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y\Desktop\ALL DOCUMENTS UP TO DATE\APF\State Chairman\Mississippi\2017\"/>
    </mc:Choice>
  </mc:AlternateContent>
  <bookViews>
    <workbookView xWindow="0" yWindow="0" windowWidth="28800" windowHeight="12432" activeTab="6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3-Lift" sheetId="14601" r:id="rId7"/>
    <sheet name="Squat" sheetId="14603" r:id="rId8"/>
    <sheet name="Bench" sheetId="14604" r:id="rId9"/>
    <sheet name="Deadlift" sheetId="14605" r:id="rId10"/>
    <sheet name="DATA" sheetId="14584" state="hidden" r:id="rId11"/>
    <sheet name="Push-Pull" sheetId="14602" r:id="rId12"/>
    <sheet name="PrintSheet" sheetId="14607" r:id="rId13"/>
    <sheet name="Awards" sheetId="14600" r:id="rId14"/>
    <sheet name="Please read" sheetId="14585" r:id="rId15"/>
    <sheet name="Black &amp; White load sheet" sheetId="14606" r:id="rId16"/>
  </sheets>
  <definedNames>
    <definedName name="_xlnm.Print_Area" localSheetId="6">'3-Lift'!$A$1:$AC$13</definedName>
    <definedName name="_xlnm.Print_Area" localSheetId="8">Bench!$A$1:$Q$2</definedName>
    <definedName name="_xlnm.Print_Area" localSheetId="9">Deadlift!$A$1:$Q$3</definedName>
    <definedName name="_xlnm.Print_Area" localSheetId="12">PrintSheet!$A$1:$AI$26</definedName>
    <definedName name="_xlnm.Print_Area" localSheetId="11">'Push-Pull'!$A$1:$W$2</definedName>
    <definedName name="_xlnm.Print_Area" localSheetId="7">Squat!$A$1:$Q$2</definedName>
    <definedName name="_xlnm.Print_Titles" localSheetId="15">'Black &amp; White load sheet'!$1:$2</definedName>
    <definedName name="_xlnm.Print_Titles" localSheetId="12">PrintSheet!$1:$2</definedName>
  </definedNames>
  <calcPr calcId="152511" refMode="R1C1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</workbook>
</file>

<file path=xl/calcChain.xml><?xml version="1.0" encoding="utf-8"?>
<calcChain xmlns="http://schemas.openxmlformats.org/spreadsheetml/2006/main">
  <c r="A11" i="2" l="1"/>
  <c r="A13" i="2"/>
  <c r="A12" i="2"/>
  <c r="A15" i="2"/>
  <c r="A17" i="2"/>
  <c r="A14" i="2"/>
  <c r="A19" i="2"/>
  <c r="A21" i="2"/>
  <c r="A16" i="2"/>
  <c r="A18" i="2"/>
  <c r="A20" i="2"/>
  <c r="A22" i="2"/>
  <c r="A10" i="2"/>
  <c r="AW22" i="2"/>
  <c r="AO22" i="2"/>
  <c r="AL22" i="2"/>
  <c r="AE22" i="2"/>
  <c r="AY22" i="2" s="1"/>
  <c r="AA22" i="2"/>
  <c r="U22" i="2"/>
  <c r="O22" i="2"/>
  <c r="H22" i="2"/>
  <c r="G22" i="2"/>
  <c r="AW15" i="2"/>
  <c r="AO15" i="2"/>
  <c r="AL15" i="2"/>
  <c r="H15" i="2" s="1"/>
  <c r="AE15" i="2"/>
  <c r="AA15" i="2"/>
  <c r="U15" i="2"/>
  <c r="O15" i="2"/>
  <c r="G15" i="2"/>
  <c r="AW19" i="2"/>
  <c r="AO19" i="2"/>
  <c r="AL19" i="2"/>
  <c r="H19" i="2" s="1"/>
  <c r="AE19" i="2"/>
  <c r="AA19" i="2"/>
  <c r="U19" i="2"/>
  <c r="O19" i="2"/>
  <c r="G19" i="2"/>
  <c r="AW16" i="2"/>
  <c r="AO16" i="2"/>
  <c r="AL16" i="2"/>
  <c r="H16" i="2" s="1"/>
  <c r="AE16" i="2"/>
  <c r="AA16" i="2"/>
  <c r="U16" i="2"/>
  <c r="O16" i="2"/>
  <c r="G16" i="2"/>
  <c r="AW21" i="2"/>
  <c r="AO21" i="2"/>
  <c r="AL21" i="2"/>
  <c r="H21" i="2" s="1"/>
  <c r="AE21" i="2"/>
  <c r="AA21" i="2"/>
  <c r="U21" i="2"/>
  <c r="O21" i="2"/>
  <c r="G21" i="2"/>
  <c r="AW11" i="2"/>
  <c r="AO11" i="2"/>
  <c r="AL11" i="2"/>
  <c r="H11" i="2" s="1"/>
  <c r="AE11" i="2"/>
  <c r="AA11" i="2"/>
  <c r="U11" i="2"/>
  <c r="O11" i="2"/>
  <c r="G11" i="2"/>
  <c r="AW17" i="2"/>
  <c r="AO17" i="2"/>
  <c r="AL17" i="2"/>
  <c r="H17" i="2" s="1"/>
  <c r="AE17" i="2"/>
  <c r="AA17" i="2"/>
  <c r="U17" i="2"/>
  <c r="O17" i="2"/>
  <c r="G17" i="2"/>
  <c r="AW12" i="2"/>
  <c r="AO12" i="2"/>
  <c r="AL12" i="2"/>
  <c r="H12" i="2" s="1"/>
  <c r="AE12" i="2"/>
  <c r="AA12" i="2"/>
  <c r="U12" i="2"/>
  <c r="O12" i="2"/>
  <c r="G12" i="2"/>
  <c r="AW10" i="2"/>
  <c r="AO10" i="2"/>
  <c r="AL10" i="2"/>
  <c r="H10" i="2" s="1"/>
  <c r="AE10" i="2"/>
  <c r="AA10" i="2"/>
  <c r="U10" i="2"/>
  <c r="O10" i="2"/>
  <c r="G10" i="2"/>
  <c r="AW13" i="2"/>
  <c r="AO13" i="2"/>
  <c r="AL13" i="2"/>
  <c r="H13" i="2" s="1"/>
  <c r="AE13" i="2"/>
  <c r="AA13" i="2"/>
  <c r="U13" i="2"/>
  <c r="O13" i="2"/>
  <c r="G13" i="2"/>
  <c r="AW20" i="2"/>
  <c r="AO20" i="2"/>
  <c r="AL20" i="2"/>
  <c r="H20" i="2" s="1"/>
  <c r="AE20" i="2"/>
  <c r="AA20" i="2"/>
  <c r="U20" i="2"/>
  <c r="O20" i="2"/>
  <c r="G20" i="2"/>
  <c r="AW14" i="2"/>
  <c r="AO14" i="2"/>
  <c r="AL14" i="2"/>
  <c r="H14" i="2" s="1"/>
  <c r="AE14" i="2"/>
  <c r="AA14" i="2"/>
  <c r="U14" i="2"/>
  <c r="O14" i="2"/>
  <c r="G14" i="2"/>
  <c r="AW18" i="2"/>
  <c r="AO18" i="2"/>
  <c r="AL18" i="2"/>
  <c r="H18" i="2" s="1"/>
  <c r="AE18" i="2"/>
  <c r="AA18" i="2"/>
  <c r="U18" i="2"/>
  <c r="O18" i="2"/>
  <c r="G18" i="2"/>
  <c r="V13" i="2" l="1"/>
  <c r="AN18" i="2"/>
  <c r="V12" i="2"/>
  <c r="AM11" i="2"/>
  <c r="AX14" i="2"/>
  <c r="V14" i="2"/>
  <c r="AM16" i="2"/>
  <c r="AM17" i="2"/>
  <c r="AN16" i="2"/>
  <c r="AM14" i="2"/>
  <c r="AN14" i="2"/>
  <c r="AM21" i="2"/>
  <c r="AN10" i="2"/>
  <c r="AN21" i="2"/>
  <c r="AN19" i="2"/>
  <c r="AN22" i="2"/>
  <c r="V15" i="2"/>
  <c r="AM18" i="2"/>
  <c r="AX22" i="2"/>
  <c r="AR22" i="2" s="1"/>
  <c r="AN13" i="2"/>
  <c r="AX20" i="2"/>
  <c r="V16" i="2"/>
  <c r="AM15" i="2"/>
  <c r="AN17" i="2"/>
  <c r="AN15" i="2"/>
  <c r="AM13" i="2"/>
  <c r="AM12" i="2"/>
  <c r="AM20" i="2"/>
  <c r="AN12" i="2"/>
  <c r="AN20" i="2"/>
  <c r="AM19" i="2"/>
  <c r="AN11" i="2"/>
  <c r="AX18" i="2"/>
  <c r="AM10" i="2"/>
  <c r="V11" i="2"/>
  <c r="AM22" i="2"/>
  <c r="V18" i="2"/>
  <c r="V20" i="2"/>
  <c r="V10" i="2"/>
  <c r="V17" i="2"/>
  <c r="V21" i="2"/>
  <c r="V19" i="2"/>
  <c r="V22" i="2"/>
  <c r="AX13" i="2"/>
  <c r="AX12" i="2"/>
  <c r="AX11" i="2"/>
  <c r="AX16" i="2"/>
  <c r="AX15" i="2"/>
  <c r="AX10" i="2"/>
  <c r="AX17" i="2"/>
  <c r="AX21" i="2"/>
  <c r="AX19" i="2"/>
  <c r="AF5" i="9"/>
  <c r="AF4" i="9"/>
  <c r="AF3" i="9"/>
  <c r="A9" i="2"/>
  <c r="C7" i="9"/>
  <c r="AE5" i="9"/>
  <c r="AE4" i="9"/>
  <c r="AE3" i="9"/>
  <c r="AT22" i="2" l="1"/>
  <c r="AY1" i="6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AS7" i="2"/>
  <c r="AU7" i="2"/>
  <c r="F8" i="2"/>
  <c r="AJ7" i="2"/>
  <c r="L21" i="9"/>
  <c r="L22" i="9" s="1"/>
  <c r="L23" i="9" s="1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L14" i="14606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1" i="2"/>
  <c r="A6" i="14600"/>
  <c r="AJ22" i="2" l="1"/>
  <c r="AB22" i="2" s="1"/>
  <c r="AJ12" i="2"/>
  <c r="AB12" i="2" s="1"/>
  <c r="AJ10" i="2"/>
  <c r="AB10" i="2" s="1"/>
  <c r="AJ13" i="2"/>
  <c r="AB13" i="2" s="1"/>
  <c r="AJ19" i="2"/>
  <c r="AB19" i="2" s="1"/>
  <c r="AJ15" i="2"/>
  <c r="AB15" i="2" s="1"/>
  <c r="AJ16" i="2"/>
  <c r="AB16" i="2" s="1"/>
  <c r="AJ14" i="2"/>
  <c r="AB14" i="2" s="1"/>
  <c r="AJ18" i="2"/>
  <c r="AB18" i="2" s="1"/>
  <c r="AJ21" i="2"/>
  <c r="AB21" i="2" s="1"/>
  <c r="AJ11" i="2"/>
  <c r="AB11" i="2" s="1"/>
  <c r="AJ20" i="2"/>
  <c r="AB20" i="2" s="1"/>
  <c r="AJ17" i="2"/>
  <c r="AB17" i="2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AF6" i="2"/>
  <c r="A7" i="2"/>
  <c r="B7" i="14600"/>
  <c r="V9" i="2"/>
  <c r="AM9" i="2"/>
  <c r="M14" i="14606"/>
  <c r="L15" i="14606"/>
  <c r="AJ9" i="2"/>
  <c r="B9" i="14600"/>
  <c r="AQ14" i="2" l="1"/>
  <c r="AD14" i="2"/>
  <c r="AC14" i="2"/>
  <c r="AQ16" i="2"/>
  <c r="AC16" i="2"/>
  <c r="AD16" i="2" s="1"/>
  <c r="AQ15" i="2"/>
  <c r="AC15" i="2"/>
  <c r="AD15" i="2" s="1"/>
  <c r="AC17" i="2"/>
  <c r="AD17" i="2" s="1"/>
  <c r="AQ17" i="2"/>
  <c r="AC19" i="2"/>
  <c r="AD19" i="2" s="1"/>
  <c r="AQ19" i="2"/>
  <c r="AC20" i="2"/>
  <c r="AQ20" i="2"/>
  <c r="AD20" i="2"/>
  <c r="AC13" i="2"/>
  <c r="AQ13" i="2"/>
  <c r="AD13" i="2"/>
  <c r="AD11" i="2"/>
  <c r="AQ11" i="2"/>
  <c r="AC11" i="2"/>
  <c r="AQ10" i="2"/>
  <c r="AD10" i="2"/>
  <c r="AC10" i="2"/>
  <c r="AQ21" i="2"/>
  <c r="AC21" i="2"/>
  <c r="AD21" i="2" s="1"/>
  <c r="AQ12" i="2"/>
  <c r="AC12" i="2"/>
  <c r="AD12" i="2" s="1"/>
  <c r="AC18" i="2"/>
  <c r="AD18" i="2" s="1"/>
  <c r="AQ18" i="2"/>
  <c r="AQ22" i="2"/>
  <c r="AD22" i="2"/>
  <c r="AG22" i="2"/>
  <c r="AF22" i="2"/>
  <c r="AC22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B10" i="14600"/>
  <c r="B11" i="14600"/>
  <c r="B13" i="14600"/>
  <c r="P9" i="14600"/>
  <c r="B14" i="14600"/>
  <c r="B12" i="14600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Y21" i="2"/>
  <c r="AY14" i="2"/>
  <c r="AY16" i="2"/>
  <c r="AY15" i="2"/>
  <c r="AY17" i="2"/>
  <c r="AY19" i="2"/>
  <c r="AY20" i="2"/>
  <c r="AY13" i="2"/>
  <c r="AY11" i="2"/>
  <c r="AY10" i="2"/>
  <c r="AY12" i="2"/>
  <c r="AY18" i="2"/>
  <c r="K10" i="14600"/>
  <c r="K11" i="14600"/>
  <c r="A4" i="2"/>
  <c r="K14" i="14600"/>
  <c r="K13" i="14600"/>
  <c r="K12" i="14600"/>
  <c r="AR21" i="2" l="1"/>
  <c r="AT21" i="2" s="1"/>
  <c r="AR18" i="2"/>
  <c r="AR12" i="2"/>
  <c r="AR10" i="2"/>
  <c r="AR11" i="2"/>
  <c r="AR13" i="2"/>
  <c r="AR20" i="2"/>
  <c r="AR19" i="2"/>
  <c r="AR17" i="2"/>
  <c r="AR15" i="2"/>
  <c r="AR16" i="2"/>
  <c r="AR14" i="2"/>
  <c r="D11" i="14606"/>
  <c r="E11" i="14606" s="1"/>
  <c r="L12" i="14600"/>
  <c r="P12" i="14600"/>
  <c r="N12" i="14600"/>
  <c r="O12" i="14600"/>
  <c r="M12" i="14600"/>
  <c r="O14" i="14600"/>
  <c r="L14" i="14600"/>
  <c r="N14" i="14600"/>
  <c r="M14" i="14600"/>
  <c r="P14" i="14600"/>
  <c r="N13" i="14600"/>
  <c r="L13" i="14600"/>
  <c r="O13" i="14600"/>
  <c r="P13" i="14600"/>
  <c r="M13" i="14600"/>
  <c r="L11" i="14600"/>
  <c r="O11" i="14600"/>
  <c r="P11" i="14600"/>
  <c r="N11" i="14600"/>
  <c r="M11" i="14600"/>
  <c r="O10" i="14600"/>
  <c r="P10" i="14600"/>
  <c r="M10" i="14600"/>
  <c r="N10" i="14600"/>
  <c r="L10" i="14600"/>
  <c r="AD9" i="2"/>
  <c r="AG9" i="2"/>
  <c r="AQ9" i="2"/>
  <c r="AF9" i="2"/>
  <c r="AC9" i="2"/>
  <c r="AS18" i="2"/>
  <c r="AS15" i="2"/>
  <c r="AS12" i="2"/>
  <c r="AS16" i="2"/>
  <c r="AS21" i="2"/>
  <c r="AS22" i="2"/>
  <c r="AS10" i="2"/>
  <c r="AS14" i="2"/>
  <c r="AS11" i="2"/>
  <c r="AS13" i="2"/>
  <c r="AS20" i="2"/>
  <c r="AS19" i="2"/>
  <c r="AS17" i="2"/>
  <c r="A2" i="2"/>
  <c r="B4" i="2"/>
  <c r="A3" i="14608"/>
  <c r="F2" i="2"/>
  <c r="AT17" i="2" l="1"/>
  <c r="AT19" i="2"/>
  <c r="AT20" i="2"/>
  <c r="AT13" i="2"/>
  <c r="AT11" i="2"/>
  <c r="AT14" i="2"/>
  <c r="AT10" i="2"/>
  <c r="AT16" i="2"/>
  <c r="AT12" i="2"/>
  <c r="AT15" i="2"/>
  <c r="AT18" i="2"/>
  <c r="D6" i="14606"/>
  <c r="E6" i="14606" s="1"/>
  <c r="D14" i="14606"/>
  <c r="E14" i="14606" s="1"/>
  <c r="F14" i="14606" s="1"/>
  <c r="J1" i="2"/>
  <c r="A5" i="2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AU14" i="2"/>
  <c r="AU21" i="2"/>
  <c r="AU22" i="2"/>
  <c r="AU10" i="2"/>
  <c r="AU16" i="2"/>
  <c r="AU17" i="2"/>
  <c r="AU12" i="2"/>
  <c r="AU19" i="2"/>
  <c r="AU15" i="2"/>
  <c r="AU18" i="2"/>
  <c r="AU13" i="2"/>
  <c r="AU11" i="2"/>
  <c r="AU20" i="2"/>
  <c r="D3" i="2"/>
  <c r="AS9" i="2"/>
  <c r="H2" i="2"/>
  <c r="AV20" i="2" l="1"/>
  <c r="AV11" i="2"/>
  <c r="AV13" i="2"/>
  <c r="AV18" i="2"/>
  <c r="AV15" i="2"/>
  <c r="AV19" i="2"/>
  <c r="AV12" i="2"/>
  <c r="AV17" i="2"/>
  <c r="AV16" i="2"/>
  <c r="AV10" i="2"/>
  <c r="AV22" i="2"/>
  <c r="AV21" i="2"/>
  <c r="AV14" i="2"/>
  <c r="H4" i="14608"/>
  <c r="A6" i="14608"/>
  <c r="F7" i="14606"/>
  <c r="G7" i="14606" s="1"/>
  <c r="H7" i="14606" s="1"/>
  <c r="F4" i="14606"/>
  <c r="G4" i="14606" s="1"/>
  <c r="H4" i="14606" s="1"/>
  <c r="G13" i="14606"/>
  <c r="H13" i="14606" s="1"/>
  <c r="I2" i="2"/>
  <c r="G7" i="9"/>
  <c r="D4" i="2"/>
  <c r="H3" i="2"/>
  <c r="I3" i="2" s="1"/>
  <c r="D7" i="9"/>
  <c r="M17" i="14606"/>
  <c r="A17" i="14606" s="1"/>
  <c r="L18" i="14606"/>
  <c r="G9" i="14606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9" i="14606"/>
  <c r="H11" i="14606"/>
  <c r="AU9" i="2"/>
  <c r="AG21" i="2" l="1"/>
  <c r="AF21" i="2"/>
  <c r="AG12" i="2"/>
  <c r="AF12" i="2"/>
  <c r="AG16" i="2"/>
  <c r="AF16" i="2"/>
  <c r="AG17" i="2"/>
  <c r="AF17" i="2"/>
  <c r="AF19" i="2"/>
  <c r="AG19" i="2"/>
  <c r="AG14" i="2"/>
  <c r="AF14" i="2"/>
  <c r="AG15" i="2"/>
  <c r="AF15" i="2"/>
  <c r="AG18" i="2"/>
  <c r="AF18" i="2"/>
  <c r="AF13" i="2"/>
  <c r="AG13" i="2"/>
  <c r="AG10" i="2"/>
  <c r="AF10" i="2"/>
  <c r="AG11" i="2"/>
  <c r="AF11" i="2"/>
  <c r="AG20" i="2"/>
  <c r="AF20" i="2"/>
  <c r="E20" i="9"/>
  <c r="E18" i="9"/>
  <c r="E19" i="9"/>
  <c r="E16" i="9"/>
  <c r="E17" i="9"/>
  <c r="E14" i="9"/>
  <c r="E15" i="9"/>
  <c r="E12" i="9"/>
  <c r="E13" i="9"/>
  <c r="E10" i="9"/>
  <c r="E11" i="9"/>
  <c r="H10" i="9"/>
  <c r="H11" i="9" s="1"/>
  <c r="A16" i="14608"/>
  <c r="I4" i="14606"/>
  <c r="J4" i="14606" s="1"/>
  <c r="N4" i="14606" s="1"/>
  <c r="AV9" i="2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H12" i="9" l="1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H13" i="9" l="1"/>
  <c r="H14" i="9" s="1"/>
  <c r="L5" i="14608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H15" i="9" l="1"/>
  <c r="H16" i="9" s="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H17" i="9" l="1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9" i="9" l="1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H46" i="14606"/>
  <c r="M50" i="14606"/>
  <c r="A50" i="14606" s="1"/>
  <c r="L51" i="14606"/>
  <c r="B49" i="14606"/>
  <c r="C49" i="14606" s="1"/>
  <c r="F47" i="14606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G55" i="14606"/>
  <c r="H55" i="14606" s="1"/>
  <c r="I55" i="14606" s="1"/>
  <c r="J55" i="14606" s="1"/>
  <c r="E59" i="14606"/>
  <c r="F59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G70" i="14606"/>
  <c r="H70" i="14606" s="1"/>
  <c r="C71" i="14606"/>
  <c r="D71" i="14606" s="1"/>
  <c r="H68" i="14606"/>
  <c r="I68" i="14606" s="1"/>
  <c r="J68" i="14606" s="1"/>
  <c r="I69" i="14606"/>
  <c r="J69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E145" i="14606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B174" i="14606"/>
  <c r="C174" i="14606" s="1"/>
  <c r="C173" i="14606"/>
  <c r="E172" i="14606"/>
  <c r="I170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7" i="14606"/>
  <c r="H197" i="14606" s="1"/>
  <c r="D199" i="14606"/>
  <c r="E199" i="14606" s="1"/>
  <c r="F199" i="14606" s="1"/>
  <c r="G199" i="14606" s="1"/>
  <c r="G196" i="14606"/>
  <c r="H196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3" i="14606"/>
  <c r="I213" i="14606" s="1"/>
  <c r="J213" i="14606" s="1"/>
  <c r="H214" i="14606"/>
  <c r="I214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AB2" i="14607"/>
  <c r="H2" i="14607"/>
  <c r="G2" i="14607"/>
  <c r="F2" i="14607"/>
  <c r="D1" i="14607"/>
  <c r="C1" i="14607"/>
  <c r="BQ1" i="2" l="1"/>
  <c r="BQ2" i="2"/>
  <c r="BQ3" i="2"/>
  <c r="BQ4" i="2"/>
  <c r="BQ5" i="2"/>
  <c r="BQ6" i="2"/>
  <c r="BQ7" i="2"/>
  <c r="BQ8" i="2"/>
  <c r="AK11" i="2"/>
  <c r="AK15" i="2"/>
  <c r="AK12" i="2"/>
  <c r="AK14" i="2"/>
  <c r="AK13" i="2"/>
  <c r="AK22" i="2"/>
  <c r="AK16" i="2"/>
  <c r="AK19" i="2"/>
  <c r="AK10" i="2"/>
  <c r="AK20" i="2"/>
  <c r="AK21" i="2"/>
  <c r="AK18" i="2"/>
  <c r="AK17" i="2"/>
</calcChain>
</file>

<file path=xl/sharedStrings.xml><?xml version="1.0" encoding="utf-8"?>
<sst xmlns="http://schemas.openxmlformats.org/spreadsheetml/2006/main" count="1223" uniqueCount="687">
  <si>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</si>
  <si>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</si>
  <si>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</si>
  <si>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</si>
  <si>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</si>
  <si>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</si>
  <si>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</si>
  <si>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</si>
  <si>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</si>
  <si>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</si>
  <si>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</si>
  <si>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</si>
  <si>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</si>
  <si>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</si>
  <si>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</si>
  <si>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</si>
  <si>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</si>
  <si>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</si>
  <si>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</si>
  <si>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</si>
  <si>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</si>
  <si>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</si>
  <si>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</si>
  <si>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</si>
  <si>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</si>
  <si>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</si>
  <si>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</si>
  <si>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</si>
  <si>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</si>
  <si>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</si>
  <si>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</si>
  <si>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</si>
  <si>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</si>
  <si>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</si>
  <si>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</si>
  <si>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</si>
  <si>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</si>
  <si>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</si>
  <si>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</si>
  <si>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</si>
  <si>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</si>
  <si>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</si>
  <si>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</si>
  <si>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</si>
  <si>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</si>
  <si>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</si>
  <si>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</si>
  <si>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</si>
  <si>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</si>
  <si>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</si>
  <si>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</si>
  <si>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</si>
  <si>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</si>
  <si>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</si>
  <si>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</si>
  <si>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</si>
  <si>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</si>
  <si>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</si>
  <si>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</si>
  <si>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</si>
  <si>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</si>
  <si>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</si>
  <si>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</si>
  <si>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</si>
  <si>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</si>
  <si>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</si>
  <si>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</si>
  <si>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</si>
  <si>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</si>
  <si>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</si>
  <si>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</si>
  <si>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</si>
  <si>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</si>
  <si>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</si>
  <si>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</si>
  <si>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</si>
  <si>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</si>
  <si>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</si>
  <si>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</si>
  <si>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</si>
  <si>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</si>
  <si>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</si>
  <si>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</si>
  <si>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</si>
  <si>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</si>
  <si>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</si>
  <si>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</si>
  <si>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</si>
  <si>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</si>
  <si>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</si>
  <si>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</si>
  <si>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</si>
  <si>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</si>
  <si>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</si>
  <si>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</si>
  <si>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</si>
  <si>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</si>
  <si>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</si>
  <si>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</si>
  <si>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</si>
  <si>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</si>
  <si>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</si>
  <si>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</si>
  <si>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</si>
  <si>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</si>
  <si>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</si>
  <si>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</si>
  <si>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</si>
  <si>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</si>
  <si>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</si>
  <si>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</si>
  <si>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</si>
  <si>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</si>
  <si>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</si>
  <si>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</si>
  <si>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</si>
  <si>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</si>
  <si>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</si>
  <si>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</si>
  <si>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</si>
  <si>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</si>
  <si>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</si>
  <si>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</si>
  <si>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</si>
  <si>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</si>
  <si>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Female open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</si>
  <si>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</si>
  <si>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</si>
  <si>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</si>
  <si>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</si>
  <si>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</si>
  <si>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</si>
  <si>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</si>
  <si>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</si>
  <si>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</si>
  <si>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</si>
  <si>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</si>
  <si>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</si>
  <si>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</si>
  <si>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</si>
  <si>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</si>
  <si>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</si>
  <si>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</si>
  <si>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</si>
  <si>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</si>
  <si>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</si>
  <si>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</si>
  <si>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</si>
  <si>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</si>
  <si>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</si>
  <si>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</si>
  <si>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</si>
  <si>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</si>
  <si>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</si>
  <si>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</si>
  <si>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</si>
  <si>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</si>
  <si>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Glossbrenner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</si>
  <si>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</si>
  <si>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</si>
  <si>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</si>
  <si>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</si>
  <si>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</si>
  <si>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</si>
  <si>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</si>
  <si>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</si>
  <si>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</si>
  <si>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</si>
  <si>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Sort-on</t>
  </si>
  <si>
    <t>Wt Cls:</t>
  </si>
  <si>
    <t>M_OR_APF</t>
  </si>
  <si>
    <t>M_OR_AAPF</t>
  </si>
  <si>
    <t>M_OEM_APF</t>
  </si>
  <si>
    <t>M_OEM_AAPF</t>
  </si>
  <si>
    <t>M_OES_APF</t>
  </si>
  <si>
    <t>M_OES_AAPF</t>
  </si>
  <si>
    <t>M_TR_1_APF</t>
  </si>
  <si>
    <t>M_TR_1_AAPF</t>
  </si>
  <si>
    <t>M_TEM_1_APF</t>
  </si>
  <si>
    <t>M_TEM_1_AAPF</t>
  </si>
  <si>
    <t>M_TES_1_APF</t>
  </si>
  <si>
    <t>M_TES_1_AAPF</t>
  </si>
  <si>
    <t>M_TR_2_APF</t>
  </si>
  <si>
    <t>M_TR_2_AAPF</t>
  </si>
  <si>
    <t>M_TEM_2_APF</t>
  </si>
  <si>
    <t>M_TEM_2_AAPF</t>
  </si>
  <si>
    <t>M_TES_2_APF</t>
  </si>
  <si>
    <t>M_TES_2_AAPF</t>
  </si>
  <si>
    <t>M_TR_3_APF</t>
  </si>
  <si>
    <t>M_TR_3_AAPF</t>
  </si>
  <si>
    <t>M_TEM_3_APF</t>
  </si>
  <si>
    <t>M_TEM_3_AAPF</t>
  </si>
  <si>
    <t>M_TES_3_APF</t>
  </si>
  <si>
    <t>M_TES_3_AAPF</t>
  </si>
  <si>
    <t>M_JR_APF</t>
  </si>
  <si>
    <t>M_JR_AAPF</t>
  </si>
  <si>
    <t>M_JEM_APF</t>
  </si>
  <si>
    <t>M_JEM_AAPF</t>
  </si>
  <si>
    <t>M_JES_APF</t>
  </si>
  <si>
    <t>M_JES_AAPF</t>
  </si>
  <si>
    <t>M_SR_APF</t>
  </si>
  <si>
    <t>M_SR_AAPF</t>
  </si>
  <si>
    <t>M_SEM_APF</t>
  </si>
  <si>
    <t>M_SEM_AAPF</t>
  </si>
  <si>
    <t>M_SES_APF</t>
  </si>
  <si>
    <t>M_SES_AAPF</t>
  </si>
  <si>
    <t>M_MR_1_APF</t>
  </si>
  <si>
    <t>M_MR_1_AAPF</t>
  </si>
  <si>
    <t>M_MEM_1_APF</t>
  </si>
  <si>
    <t>M_MEM_1_AAPF</t>
  </si>
  <si>
    <t>M_MES_1_APF</t>
  </si>
  <si>
    <t>M_MES_1_AAPF</t>
  </si>
  <si>
    <t>M_MR_2_APF</t>
  </si>
  <si>
    <t>M_MR_2_AAPF</t>
  </si>
  <si>
    <t>M_MEM_2_APF</t>
  </si>
  <si>
    <t>M_MEM_2_AAPF</t>
  </si>
  <si>
    <t>M_MES_2_APF</t>
  </si>
  <si>
    <t>M_MES_2_AAPF</t>
  </si>
  <si>
    <t>M_MR_3_APF</t>
  </si>
  <si>
    <t>M_MR_3_AAPF</t>
  </si>
  <si>
    <t>M_MEM_3_APF</t>
  </si>
  <si>
    <t>M_MEM_3_AAPF</t>
  </si>
  <si>
    <t>M_MES_3_APF</t>
  </si>
  <si>
    <t>M_MES_3_AAPF</t>
  </si>
  <si>
    <t>M_MR_4_APF</t>
  </si>
  <si>
    <t>M_MR_4_AAPF</t>
  </si>
  <si>
    <t>M_MEM_4_APF</t>
  </si>
  <si>
    <t>M_MEM_4_AAPF</t>
  </si>
  <si>
    <t>M_MES_4_APF</t>
  </si>
  <si>
    <t>M_MES_4_AAPF</t>
  </si>
  <si>
    <t>M_MR_5_APF</t>
  </si>
  <si>
    <t>M_MR_5_AAPF</t>
  </si>
  <si>
    <t>M_MEM_5_APF</t>
  </si>
  <si>
    <t>M_MEM_5_AAPF</t>
  </si>
  <si>
    <t>M_MES_5_APF</t>
  </si>
  <si>
    <t>M_MES_5_AAPF</t>
  </si>
  <si>
    <t>M_MR_6_APF</t>
  </si>
  <si>
    <t>M_MR_6_AAPF</t>
  </si>
  <si>
    <t>M_MEM_6_APF</t>
  </si>
  <si>
    <t>M_MEM_6_AAPF</t>
  </si>
  <si>
    <t>M_MES_6_APF</t>
  </si>
  <si>
    <t>M_MES_6_AAPF</t>
  </si>
  <si>
    <t>M_MR_7_APF</t>
  </si>
  <si>
    <t>M_MR_7_AAPF</t>
  </si>
  <si>
    <t>M_MEM_7_APF</t>
  </si>
  <si>
    <t>M_MEM_7_AAPF</t>
  </si>
  <si>
    <t>M_MES_7_APF</t>
  </si>
  <si>
    <t>M_MES_7_AAPF</t>
  </si>
  <si>
    <t>M_MR_8_APF</t>
  </si>
  <si>
    <t>M_MR_8_AAPF</t>
  </si>
  <si>
    <t>M_MEM_8_APF</t>
  </si>
  <si>
    <t>M_MEM_8_AAPF</t>
  </si>
  <si>
    <t>M_MES_8_APF</t>
  </si>
  <si>
    <t>M_MES_8_AAPF</t>
  </si>
  <si>
    <t>M_MR_9_APF</t>
  </si>
  <si>
    <t>M_MR_9_AAPF</t>
  </si>
  <si>
    <t>M_MEM_9_APF</t>
  </si>
  <si>
    <t>M_MEM_9_AAPF</t>
  </si>
  <si>
    <t>M_MES_9_APF</t>
  </si>
  <si>
    <t>M_MES_9_AAPF</t>
  </si>
  <si>
    <t>F_OR_APF</t>
  </si>
  <si>
    <t>F_OR_AAPF</t>
  </si>
  <si>
    <t>F_OEM_APF</t>
  </si>
  <si>
    <t>F_OEM_AAPF</t>
  </si>
  <si>
    <t>F_OES_APF</t>
  </si>
  <si>
    <t>F_OES_AAPF</t>
  </si>
  <si>
    <t>F_TR_1_APF</t>
  </si>
  <si>
    <t>F_TR_1_AAPF</t>
  </si>
  <si>
    <t>F_TEM_1_APF</t>
  </si>
  <si>
    <t>F_TEM_1_AAPF</t>
  </si>
  <si>
    <t>F_TES_1_APF</t>
  </si>
  <si>
    <t>F_TES_1_AAPF</t>
  </si>
  <si>
    <t>F_TR_2_APF</t>
  </si>
  <si>
    <t>F_TR_2_AAPF</t>
  </si>
  <si>
    <t>F_TEM_2_APF</t>
  </si>
  <si>
    <t>F_TEM_2_AAPF</t>
  </si>
  <si>
    <t>F_TES_2_APF</t>
  </si>
  <si>
    <t>F_TES_2_AAPF</t>
  </si>
  <si>
    <t>F_TR_3_APF</t>
  </si>
  <si>
    <t>F_TR_3_AAPF</t>
  </si>
  <si>
    <t>F_TEM_3_APF</t>
  </si>
  <si>
    <t>F_TEM_3_AAPF</t>
  </si>
  <si>
    <t>F_TES_3_APF</t>
  </si>
  <si>
    <t>F_TES_3_AAPF</t>
  </si>
  <si>
    <t>F_JR_APF</t>
  </si>
  <si>
    <t>F_JR_AAPF</t>
  </si>
  <si>
    <t>F_JEM_APF</t>
  </si>
  <si>
    <t>F_JEM_AAPF</t>
  </si>
  <si>
    <t>F_JES_APF</t>
  </si>
  <si>
    <t>F_JES_AAPF</t>
  </si>
  <si>
    <t>F_SR_APF</t>
  </si>
  <si>
    <t>F_SR_AAPF</t>
  </si>
  <si>
    <t>F_SEM_APF</t>
  </si>
  <si>
    <t>F_SEM_AAPF</t>
  </si>
  <si>
    <t>F_SES_APF</t>
  </si>
  <si>
    <t>F_SES_AAPF</t>
  </si>
  <si>
    <t>F_MR_1_APF</t>
  </si>
  <si>
    <t>F_MR_1_AAPF</t>
  </si>
  <si>
    <t>F_MEM_1_APF</t>
  </si>
  <si>
    <t>F_MEM_1_AAPF</t>
  </si>
  <si>
    <t>F_MES_1_APF</t>
  </si>
  <si>
    <t>F_MES_1_AAPF</t>
  </si>
  <si>
    <t>F_MR_2_APF</t>
  </si>
  <si>
    <t>F_MR_2_AAPF</t>
  </si>
  <si>
    <t>F_MEM_2_APF</t>
  </si>
  <si>
    <t>F_MEM_2_AAPF</t>
  </si>
  <si>
    <t>F_MES_2_APF</t>
  </si>
  <si>
    <t>F_MES_2_AAPF</t>
  </si>
  <si>
    <t>F_MR_3_APF</t>
  </si>
  <si>
    <t>F_MR_3_AAPF</t>
  </si>
  <si>
    <t>F_MEM_3_APF</t>
  </si>
  <si>
    <t>F_MEM_3_AAPF</t>
  </si>
  <si>
    <t>F_MES_3_APF</t>
  </si>
  <si>
    <t>F_MES_3_AAPF</t>
  </si>
  <si>
    <t>F_MR_4_APF</t>
  </si>
  <si>
    <t>F_MR_4_AAPF</t>
  </si>
  <si>
    <t>F_MEM_4_APF</t>
  </si>
  <si>
    <t>F_MEM_4_AAPF</t>
  </si>
  <si>
    <t>F_MES_4_APF</t>
  </si>
  <si>
    <t>F_MES_4_AAPF</t>
  </si>
  <si>
    <t>F_MR_5_APF</t>
  </si>
  <si>
    <t>F_MR_5_AAPF</t>
  </si>
  <si>
    <t>F_MEM_5_APF</t>
  </si>
  <si>
    <t>F_MEM_5_AAPF</t>
  </si>
  <si>
    <t>F_MES_5_APF</t>
  </si>
  <si>
    <t>F_MES_5_AAPF</t>
  </si>
  <si>
    <t>F_MR_6_APF</t>
  </si>
  <si>
    <t>F_MR_6_AAPF</t>
  </si>
  <si>
    <t>F_MEM_6_APF</t>
  </si>
  <si>
    <t>F_MEM_6_AAPF</t>
  </si>
  <si>
    <t>F_MES_6_APF</t>
  </si>
  <si>
    <t>F_MES_6_AAPF</t>
  </si>
  <si>
    <t>F_MR_7_APF</t>
  </si>
  <si>
    <t>F_MR_7_AAPF</t>
  </si>
  <si>
    <t>F_MEM_7_APF</t>
  </si>
  <si>
    <t>F_MEM_7_AAPF</t>
  </si>
  <si>
    <t>F_MES_7_APF</t>
  </si>
  <si>
    <t>F_MES_7_AAPF</t>
  </si>
  <si>
    <t>F_MR_8_APF</t>
  </si>
  <si>
    <t>F_MR_8_AAPF</t>
  </si>
  <si>
    <t>F_MEM_8_APF</t>
  </si>
  <si>
    <t>F_MEM_8_AAPF</t>
  </si>
  <si>
    <t>F_MES_8_APF</t>
  </si>
  <si>
    <t>F_MES_8_AAPF</t>
  </si>
  <si>
    <t>F_MR_9_APF</t>
  </si>
  <si>
    <t>F_MR_9_AAPF</t>
  </si>
  <si>
    <t>F_MEM_9_APF</t>
  </si>
  <si>
    <t>F_MEM_9_AAPF</t>
  </si>
  <si>
    <t>F_MES_9_APF</t>
  </si>
  <si>
    <t>F_MES_9_AAPF</t>
  </si>
  <si>
    <t>BP</t>
  </si>
  <si>
    <t>DL</t>
  </si>
  <si>
    <t>S</t>
  </si>
  <si>
    <t>Male Open Raw APF</t>
  </si>
  <si>
    <t>Male Open Raw AAPF</t>
  </si>
  <si>
    <t>M_OCR_APF</t>
  </si>
  <si>
    <t>Male Open Classic Raw APF</t>
  </si>
  <si>
    <t>M_OCR_AAPF</t>
  </si>
  <si>
    <t>Male Open Classic Raw AAPF</t>
  </si>
  <si>
    <t>Male Open Equipped Multiply APF</t>
  </si>
  <si>
    <t>Male Open Equipped Multiply AAPF</t>
  </si>
  <si>
    <t>Male Open Equipped Single-Ply APF</t>
  </si>
  <si>
    <t>Male Open Equipped Single-Ply AAPF</t>
  </si>
  <si>
    <t>Male Teen 1 Raw APF: 13-15</t>
  </si>
  <si>
    <t>Male Teen 1 Raw AAPF: 13-15</t>
  </si>
  <si>
    <t>M_TCR_1_APF</t>
  </si>
  <si>
    <t>Male Teen 1 Classic Raw APF: 13-15</t>
  </si>
  <si>
    <t>M_TCR_1_AAPF</t>
  </si>
  <si>
    <t>Male Teen 1 Classic Raw AAPF: 13-15</t>
  </si>
  <si>
    <t>Male Teen 1 Equipped Multiply APF: 13-15</t>
  </si>
  <si>
    <t>Male Teen 1 Equipped Multiply AAPF: 13-15</t>
  </si>
  <si>
    <t>Male Teen 1 Equipped Single-Ply APF: 13-15</t>
  </si>
  <si>
    <t>Male Teen 1 Equipped Single-PlyAAPF: 13-15</t>
  </si>
  <si>
    <t>Male Teen 2 Raw APF: 16-17</t>
  </si>
  <si>
    <t>Male Teen 2 Raw AAPF: 16-17</t>
  </si>
  <si>
    <t>M_TCR_2_APF</t>
  </si>
  <si>
    <t>Male Teen 2 Classic Raw APF: 16-17</t>
  </si>
  <si>
    <t>M_TCR_2_AAPF</t>
  </si>
  <si>
    <t>Male Teen 2 Classic Raw AAPF: 16-17</t>
  </si>
  <si>
    <t>Male Teen 2 Equipped Multiply APF: 16-17</t>
  </si>
  <si>
    <t>Male Teen 2 Equipped Multiply AAPF: 16-17</t>
  </si>
  <si>
    <t>Male Teen 2 Equipped Single-Ply APF: 16-17</t>
  </si>
  <si>
    <t>Male Teen 2 Equipped Single-Ply AAPF: 16-17</t>
  </si>
  <si>
    <t>Male Teen 3 Raw APF: 18-19</t>
  </si>
  <si>
    <t>Male Teen 3 Raw AAPF: 18-19</t>
  </si>
  <si>
    <t>M_TCR_3_APF</t>
  </si>
  <si>
    <t>Male Teen 3 Classic Raw APF: 18-19</t>
  </si>
  <si>
    <t>M_TCR_3_AAPF</t>
  </si>
  <si>
    <t>Male Teen 3 Classic Raw AAPF: 18-19</t>
  </si>
  <si>
    <t>Male Teen 3 Equipped Mulitply APF: 18-19</t>
  </si>
  <si>
    <t>Male Teen 3 Equipped Mulitply AAPF: 18-19</t>
  </si>
  <si>
    <t>Male Teen 3 Equipped Single-Ply APF: 18-19</t>
  </si>
  <si>
    <t>Male Teen 3 Equipped Single-Ply AAPF: 18-19</t>
  </si>
  <si>
    <t>Male Junior Raw APF: 20-23</t>
  </si>
  <si>
    <t>Male Junior Raw AAPF: 20-23</t>
  </si>
  <si>
    <t>M_JCR_APF</t>
  </si>
  <si>
    <t>Male Junior Classic Raw APF: 20-23</t>
  </si>
  <si>
    <t>M_JCR_AAPF</t>
  </si>
  <si>
    <t>Male Junior Classic Raw AAPF: 20-23</t>
  </si>
  <si>
    <t>Male Junior Equipped Mulitply APF: 20-23</t>
  </si>
  <si>
    <t>Male Junior Equipped Mulitply AAPF: 20-23</t>
  </si>
  <si>
    <t>Male Junior Equipped Single-Ply APF: 20-23</t>
  </si>
  <si>
    <t>Male Junior Equipped Single-Ply AAPF: 20-23</t>
  </si>
  <si>
    <t>Male Sub-Master Raw APF: 33-39</t>
  </si>
  <si>
    <t>Male Sub-Master Raw AAPF: 33-39</t>
  </si>
  <si>
    <t>M_SCR_APF</t>
  </si>
  <si>
    <t>Male Sub-Master Classic Raw APF: 33-39</t>
  </si>
  <si>
    <t>M_SCR_AAPF</t>
  </si>
  <si>
    <t>Male Sub-Master Classic Raw AAPF: 33-39</t>
  </si>
  <si>
    <t>Male Sub-Master Equipped Multiply APF: 33-39</t>
  </si>
  <si>
    <t>Male Sub-Master Equipped Multiply AAPF: 33-39</t>
  </si>
  <si>
    <t>Male Sub-Master Equipped Single-Ply APF: 33-39</t>
  </si>
  <si>
    <t>Male Sub-Master Equipped Single-Ply AAPF: 33-39</t>
  </si>
  <si>
    <t>Male Master 1 Raw APF: 40-44</t>
  </si>
  <si>
    <t>Male Master 1 Raw AAPF: 40-44</t>
  </si>
  <si>
    <t>M_MCR_1_APF</t>
  </si>
  <si>
    <t>Male Master 1 Classic Raw APF: 40-44</t>
  </si>
  <si>
    <t>M_MCR_1_AAPF</t>
  </si>
  <si>
    <t>Male Master 1 Classic Raw AAPF: 40-44</t>
  </si>
  <si>
    <t>Male Master 1 Equipped Multiply APF: 40-44</t>
  </si>
  <si>
    <t>Male Master 1 Equipped Multiply AAPF: 40-44</t>
  </si>
  <si>
    <t>Male Master 1 Equipped Single-Ply APF: 40-44</t>
  </si>
  <si>
    <t>Male Master 1 Equipped Single-Ply AAPF: 40-44</t>
  </si>
  <si>
    <t>Male Master 2 Raw APF: 45-49</t>
  </si>
  <si>
    <t>Male Master 2 Raw AAPF: 45-49</t>
  </si>
  <si>
    <t>M_MCR_2_APF</t>
  </si>
  <si>
    <t>Male Master 2 Classic Raw APF: 45-49</t>
  </si>
  <si>
    <t>M_MCR_2_AAPF</t>
  </si>
  <si>
    <t>Male Master 2 Classic Raw AAPF: 45-49</t>
  </si>
  <si>
    <t>Male Master 2 Equipped Mulitply APF: 45-49</t>
  </si>
  <si>
    <t>Male Master 2 Equipped Multiply AAPF: 45-49</t>
  </si>
  <si>
    <t>Male Master 2 Equipped Single-Ply APF: 45-49</t>
  </si>
  <si>
    <t>Male Master 2 Equipped Sinlge-Ply AAPF: 45-49</t>
  </si>
  <si>
    <t>Male Master 3 Raw APF: 50-54</t>
  </si>
  <si>
    <t>Male Master 3 Raw AAPF: 50-54</t>
  </si>
  <si>
    <t>M_MCR_3_APF</t>
  </si>
  <si>
    <t>Male Master 3 Classic Raw APF: 50-54</t>
  </si>
  <si>
    <t>M_MCR_3_AAPF</t>
  </si>
  <si>
    <t>Male Master 3 Classic Raw AAPF: 50-54</t>
  </si>
  <si>
    <t>Male Master 3 Equipped Mulitply APF: 50-54</t>
  </si>
  <si>
    <t>Male Master 3 Equipped Multiply AAPF: 50-54</t>
  </si>
  <si>
    <t>Male Master 3 Equipped Single-Ply APF: 50-54</t>
  </si>
  <si>
    <t>Male Master 3 Equipped Single-Ply AAPF: 50-54</t>
  </si>
  <si>
    <t>Male Master 4 Raw APF: 55-59</t>
  </si>
  <si>
    <t>Male Master 4 Raw AAPF: 55-59</t>
  </si>
  <si>
    <t>M_MCR_4_APF</t>
  </si>
  <si>
    <t>Male Master 4 Classic Raw APF: 55-59</t>
  </si>
  <si>
    <t>M_MCR_4_AAPF</t>
  </si>
  <si>
    <t>Male Master 4 Classic Raw AAPF: 55-59</t>
  </si>
  <si>
    <t>Male Master 4 Equipped Mulitply APF: 55-59</t>
  </si>
  <si>
    <t>Male Master 4 Equipped Multiply AAPF: 55-59</t>
  </si>
  <si>
    <t>Male Master 4 Equipped Single-Ply APF: 55-59</t>
  </si>
  <si>
    <t>Male Master 4 Equipped Single-Ply AAPF: 55-59</t>
  </si>
  <si>
    <t>Male Master 5 Raw APF: 60-64</t>
  </si>
  <si>
    <t>Male Master 5 Raw AAPF: 60-64</t>
  </si>
  <si>
    <t>M_MCR_5_APF</t>
  </si>
  <si>
    <t>Male Master 5 Classic Raw APF: 60-64</t>
  </si>
  <si>
    <t>M_MCR_5_AAPF</t>
  </si>
  <si>
    <t>Male Master 5 Classic Raw AAPF: 60-64</t>
  </si>
  <si>
    <t>Male Master 5 Equipped Multiply APF: 60-64</t>
  </si>
  <si>
    <t>Male Master 5 Equipped Multiply AAPF: 60-64</t>
  </si>
  <si>
    <t>Male Master 5 Equipped Single-Ply APF: 60-64</t>
  </si>
  <si>
    <t>Male Master 5 Equipped Single-Ply AAPF: 60-64</t>
  </si>
  <si>
    <t>Male Master 6 Raw APF: 65-69</t>
  </si>
  <si>
    <t>Male Master 6 Raw AAPF: 65-69</t>
  </si>
  <si>
    <t>M_MCR_6_APF</t>
  </si>
  <si>
    <t>Male Master 6 Classic Raw APF: 65-69</t>
  </si>
  <si>
    <t>M_MCR_6_AAPF</t>
  </si>
  <si>
    <t>Male Master 6 Classic Raw AAPF: 65-69</t>
  </si>
  <si>
    <t>Male Master 6 Equipped Multiply APF: 65-69</t>
  </si>
  <si>
    <t>Male Master 6 Equipped Multiply AAPF: 65-69</t>
  </si>
  <si>
    <t>Male Master 6 Equipped Single-Ply APF: 65-69</t>
  </si>
  <si>
    <t>Male Master 6 Equipped Single-Ply AAPF: 65-69</t>
  </si>
  <si>
    <t>Male Master 7 Raw APF: 70-74</t>
  </si>
  <si>
    <t>Male Master 7 Raw AAPF: 70-74</t>
  </si>
  <si>
    <t>M_MCR_7_APF</t>
  </si>
  <si>
    <t>Male Master 7 Classic Raw APF: 70-74</t>
  </si>
  <si>
    <t>M_MCR_7_AAPF</t>
  </si>
  <si>
    <t>Male Master 7 Classic Raw AAPF: 70-74</t>
  </si>
  <si>
    <t>Male Master 7 Equipped Multiply APF: 70-74</t>
  </si>
  <si>
    <t>Male Master 7 Equipped Multiply AAPF: 70-74</t>
  </si>
  <si>
    <t>Male Master 7 Equipped Single-Ply APF: 70-74</t>
  </si>
  <si>
    <t>Male Master 7 Equipped Single-Ply AAPF: 70-74</t>
  </si>
  <si>
    <t>Male Master 8 Raw APF: 75-79</t>
  </si>
  <si>
    <t>Male Master 8 Raw AAPF: 75-79</t>
  </si>
  <si>
    <t>M_MCR_8_APF</t>
  </si>
  <si>
    <t>Male Master 8 Classic Raw APF: 75-79</t>
  </si>
  <si>
    <t>M_MCR_8_AAPF</t>
  </si>
  <si>
    <t>Male Master 8 Classic Raw AAPF: 75-79</t>
  </si>
  <si>
    <t>Male Master 8 Equipped Mulitply APF: 75-79</t>
  </si>
  <si>
    <t>Male Master 8 Equipped Multiply AAPF: 75-79</t>
  </si>
  <si>
    <t>Male Master 8 Equipped Single-Ply  APF: 75-79</t>
  </si>
  <si>
    <t>Male Master 8 Equipped Single-Ply AAPF: 75-79</t>
  </si>
  <si>
    <t>Male Master 9 Raw APF: 80+</t>
  </si>
  <si>
    <t>Male Master 9 Raw AAPF: 80+</t>
  </si>
  <si>
    <t>M_MCR_9_APF</t>
  </si>
  <si>
    <t>Male Master 9 Classic Raw APF: 80+</t>
  </si>
  <si>
    <t>M_MCR_9_AAPF</t>
  </si>
  <si>
    <t>Male Master 9 Classic Raw AAPF: 80+</t>
  </si>
  <si>
    <t>Male Master 9 Equipped Multiply APF: 80+</t>
  </si>
  <si>
    <t>Male Master 9 Equipped Multiply AAPF: 80+</t>
  </si>
  <si>
    <t>Male Master 9 Equipped Single-Ply APF: 80+</t>
  </si>
  <si>
    <t>Male Master 9 Equipped Single-Ply AAPF: 80+</t>
  </si>
  <si>
    <t>Female Open Raw APF</t>
  </si>
  <si>
    <t>Female Open Raw AAPF</t>
  </si>
  <si>
    <t>F_OCR_APF</t>
  </si>
  <si>
    <t>Female Open Classic Raw APF</t>
  </si>
  <si>
    <t>F_OCR_AAPF</t>
  </si>
  <si>
    <t>Female Open Classic Raw AAPF</t>
  </si>
  <si>
    <t>Female Open Equipped Multiply APF</t>
  </si>
  <si>
    <t>Female Open Equipped Multiply AAPF</t>
  </si>
  <si>
    <t>Female Open Equipped Single-Ply APF</t>
  </si>
  <si>
    <t>Female Open Equipped Single-Ply AAPF</t>
  </si>
  <si>
    <t>Female Teen 1 Raw APF: 13-15</t>
  </si>
  <si>
    <t>Female Teen 1 Raw AAPF: 13-15</t>
  </si>
  <si>
    <t>F_TCR_1_APF</t>
  </si>
  <si>
    <t>Female Teen 1 Classic Raw APF: 13-15</t>
  </si>
  <si>
    <t>F_TCR_1_AAPF</t>
  </si>
  <si>
    <t>Female Teen 1 Classic Raw AAPF: 13-15</t>
  </si>
  <si>
    <t>Female Teen 1 Equipped Multiply APF: 13-15</t>
  </si>
  <si>
    <t>Female Teen 1 Equipped Multiply AAPF: 13-15</t>
  </si>
  <si>
    <t>Female Teen 1 Equipped Single-Ply APF: 13-15</t>
  </si>
  <si>
    <t>Female Teen 1 Equipped Single-PlyAAPF: 13-15</t>
  </si>
  <si>
    <t>Female Teen 2 Raw APF: 16-17</t>
  </si>
  <si>
    <t>Female Teen 2 Raw AAPF: 16-17</t>
  </si>
  <si>
    <t>F_TCR_2_APF</t>
  </si>
  <si>
    <t>Female Teen 2 Classic Raw APF: 16-17</t>
  </si>
  <si>
    <t>F_TCR_2_AAPF</t>
  </si>
  <si>
    <t>Female Teen 2 Classic Raw AAPF: 16-17</t>
  </si>
  <si>
    <t>Female Teen 2 Equipped Multiply APF: 16-17</t>
  </si>
  <si>
    <t>Female Teen 2 Equipped Multiply AAPF: 16-17</t>
  </si>
  <si>
    <t>Female Teen 2 Equipped Single-Ply APF: 16-17</t>
  </si>
  <si>
    <t>Female Teen 2 Equipped Single-Ply AAPF: 16-17</t>
  </si>
  <si>
    <t>Female Teen 3 Raw APF: 18-19</t>
  </si>
  <si>
    <t>Female Teen 3 Raw AAPF: 18-19</t>
  </si>
  <si>
    <t>F_TCR_3_APF</t>
  </si>
  <si>
    <t>Female Teen 3 Classic Raw APF: 18-19</t>
  </si>
  <si>
    <t>F_TCR_3_AAPF</t>
  </si>
  <si>
    <t>Female Teen 3 Classic Raw AAPF: 18-19</t>
  </si>
  <si>
    <t>Female Teen 3 Equipped Mulitply APF: 18-19</t>
  </si>
  <si>
    <t>Female Teen 3 Equipped Mulitply AAPF: 18-19</t>
  </si>
  <si>
    <t>Female Teen 3 Equipped Single-Ply APF: 18-19</t>
  </si>
  <si>
    <t>Female Teen 3 Equipped Single-Ply AAPF: 18-19</t>
  </si>
  <si>
    <t>Female Junior Raw APF: 20-23</t>
  </si>
  <si>
    <t>Female Junior Raw AAPF: 20-23</t>
  </si>
  <si>
    <t>F_JCR_APF</t>
  </si>
  <si>
    <t>Female Junior Classic Raw APF: 20-23</t>
  </si>
  <si>
    <t>F_JCR_AAPF</t>
  </si>
  <si>
    <t>Female Junior Classic Raw AAPF: 20-23</t>
  </si>
  <si>
    <t>Female Junior Equipped Mulitply APF: 20-23</t>
  </si>
  <si>
    <t>Female Junior Equipped Mulitply AAPF: 20-23</t>
  </si>
  <si>
    <t>Female Junior Equipped Single-Ply APF: 20-23</t>
  </si>
  <si>
    <t>Female Junior Equipped Single-Ply AAPF: 20-23</t>
  </si>
  <si>
    <t>Female Sub-Master Raw APF: 33-39</t>
  </si>
  <si>
    <t>Female Sub-Master Raw AAPF: 33-39</t>
  </si>
  <si>
    <t>F_SCR_APF</t>
  </si>
  <si>
    <t>Female Sub-Master Classic Raw APF: 33-39</t>
  </si>
  <si>
    <t>F_SCR_AAPF</t>
  </si>
  <si>
    <t>Female Sub-Master Classic Raw AAPF: 33-39</t>
  </si>
  <si>
    <t>Female Sub-Master Equipped Multiply APF: 33-39</t>
  </si>
  <si>
    <t>Female Sub-Master Equipped Multiply AAPF: 33-39</t>
  </si>
  <si>
    <t>Female Sub-Master Equipped Single-Ply APF: 33-39</t>
  </si>
  <si>
    <t>Female Sub-Master Equipped Single-Ply AAPF: 33-39</t>
  </si>
  <si>
    <t>Female Master 1 Raw APF: 40-44</t>
  </si>
  <si>
    <t>Female Master 1 Raw AAPF: 40-44</t>
  </si>
  <si>
    <t>F_MCR_1_APF</t>
  </si>
  <si>
    <t>Female Master 1 Classic Raw APF: 40-44</t>
  </si>
  <si>
    <t>F_MCR_1_AAPF</t>
  </si>
  <si>
    <t>Female Master 1 Classic Raw AAPF: 40-44</t>
  </si>
  <si>
    <t>Female Master 1 Equipped Multiply APF: 40-44</t>
  </si>
  <si>
    <t>Female Master 1 Equipped Multiply AAPF: 40-44</t>
  </si>
  <si>
    <t>Female Master 1 Equipped Single-Ply APF: 40-44</t>
  </si>
  <si>
    <t>Female Master 1 Equipped Single-Ply AAPF: 40-44</t>
  </si>
  <si>
    <t>Female Master 2 Raw APF: 45-49</t>
  </si>
  <si>
    <t>Female Master 2 Raw AAPF: 45-49</t>
  </si>
  <si>
    <t>F_MCR_2_APF</t>
  </si>
  <si>
    <t>Female Master 2 Classic Raw APF: 45-49</t>
  </si>
  <si>
    <t>F_MCR_2_AAPF</t>
  </si>
  <si>
    <t>Female Master 2 Classic Raw AAPF: 45-49</t>
  </si>
  <si>
    <t>Female Master 2 Equipped Mulitply APF: 45-49</t>
  </si>
  <si>
    <t>Female Master 2 Equipped Multiply AAPF: 45-49</t>
  </si>
  <si>
    <t>Female Master 2 Equipped Single-Ply APF: 45-49</t>
  </si>
  <si>
    <t>Female Master 2 Equipped Sinlge-Ply AAPF: 45-49</t>
  </si>
  <si>
    <t>Female Master 3 Raw APF: 50-54</t>
  </si>
  <si>
    <t>Female Master 3 Raw AAPF: 50-54</t>
  </si>
  <si>
    <t>F_MCR_3_APF</t>
  </si>
  <si>
    <t>Female Master 3 Classic Raw APF: 50-54</t>
  </si>
  <si>
    <t>F_MCR_3_AAPF</t>
  </si>
  <si>
    <t>Female Master 3 Classic Raw AAPF: 50-54</t>
  </si>
  <si>
    <t>Female Master 3 Equipped Mulitply APF: 50-54</t>
  </si>
  <si>
    <t>Female Master 3 Equipped Multiply AAPF: 50-54</t>
  </si>
  <si>
    <t>Female Master 3 Equipped Single-Ply APF: 50-54</t>
  </si>
  <si>
    <t>Female Master 3 Equipped Single-Ply AAPF: 50-54</t>
  </si>
  <si>
    <t>Female Master 4 Raw APF: 55-59</t>
  </si>
  <si>
    <t>Female Master 4 Raw AAPF: 55-59</t>
  </si>
  <si>
    <t>F_MCR_4_APF</t>
  </si>
  <si>
    <t>Female Master 4 Classic Raw APF: 55-59</t>
  </si>
  <si>
    <t>F_MCR_4_AAPF</t>
  </si>
  <si>
    <t>Female Master 4 Classic Raw AAPF: 55-59</t>
  </si>
  <si>
    <t>Female Master 4 Equipped Mulitply APF: 55-59</t>
  </si>
  <si>
    <t>Female Master 4 Equipped Multiply AAPF: 55-59</t>
  </si>
  <si>
    <t>Female Master 4 Equipped Single-Ply APF: 55-59</t>
  </si>
  <si>
    <t>Female Master 4 Equipped Single-Ply AAPF: 55-59</t>
  </si>
  <si>
    <t>Female Master 5 Raw APF: 60-64</t>
  </si>
  <si>
    <t>Female Master 5 Raw AAPF: 60-64</t>
  </si>
  <si>
    <t>F_MCR_5_APF</t>
  </si>
  <si>
    <t>Female Master 5 Classic Raw APF: 60-64</t>
  </si>
  <si>
    <t>F_MCR_5_AAPF</t>
  </si>
  <si>
    <t>Female Master 5 Classic Raw AAPF: 60-64</t>
  </si>
  <si>
    <t>Female Master 5 Equipped Multiply APF: 60-64</t>
  </si>
  <si>
    <t>Female Master 5 Equipped Multiply AAPF: 60-64</t>
  </si>
  <si>
    <t>Female Master 5 Equipped Single-Ply APF: 60-64</t>
  </si>
  <si>
    <t>Female Master 5 Equipped Single-Ply AAPF: 60-64</t>
  </si>
  <si>
    <t>Female Master 6 Raw APF: 65-69</t>
  </si>
  <si>
    <t>Female Master 6 Raw AAPF: 65-69</t>
  </si>
  <si>
    <t>F_MCR_6_APF</t>
  </si>
  <si>
    <t>Female Master 6 Classic Raw APF: 65-69</t>
  </si>
  <si>
    <t>F_MCR_6_AAPF</t>
  </si>
  <si>
    <t>Female Master 6 Classic Raw AAPF: 65-69</t>
  </si>
  <si>
    <t>Female Master 6 Equipped Multiply APF: 65-69</t>
  </si>
  <si>
    <t>Female Master 6 Equipped Multiply AAPF: 65-69</t>
  </si>
  <si>
    <t>Female Master 6 Equipped Single-Ply APF: 65-69</t>
  </si>
  <si>
    <t>Female Master 6 Equipped Single-Ply AAPF: 65-69</t>
  </si>
  <si>
    <t>Female Master 7 Raw APF: 70-74</t>
  </si>
  <si>
    <t>Female Master 7 Raw AAPF: 70-74</t>
  </si>
  <si>
    <t>F_MCR_7_APF</t>
  </si>
  <si>
    <t>Female Master 7 Classic Raw APF: 70-74</t>
  </si>
  <si>
    <t>F_MCR_7_AAPF</t>
  </si>
  <si>
    <t>Female Master 7 Classic Raw AAPF: 70-74</t>
  </si>
  <si>
    <t>Female Master 7 Equipped Multiply APF: 70-74</t>
  </si>
  <si>
    <t>Female Master 7 Equipped Multiply AAPF: 70-74</t>
  </si>
  <si>
    <t>Female Master 7 Equipped Single-Ply APF: 70-74</t>
  </si>
  <si>
    <t>Female Master 7 Equipped Single-Ply AAPF: 70-74</t>
  </si>
  <si>
    <t>Female Master 8 Raw APF: 75-79</t>
  </si>
  <si>
    <t>Female Master 8 Raw AAPF: 75-79</t>
  </si>
  <si>
    <t>F_MCR_8_APF</t>
  </si>
  <si>
    <t>Female Master 8 Classic Raw APF: 75-79</t>
  </si>
  <si>
    <t>F_MCR_8_AAPF</t>
  </si>
  <si>
    <t>Female Master 8 Classic Raw AAPF: 75-79</t>
  </si>
  <si>
    <t>Female Master 8 Equipped Mulitply APF: 75-79</t>
  </si>
  <si>
    <t>Female Master 8 Equipped Multiply AAPF: 75-79</t>
  </si>
  <si>
    <t>Female Master 8 Equipped Single-Ply  APF: 75-79</t>
  </si>
  <si>
    <t>Female Master 8 Equipped Single-Ply AAPF: 75-79</t>
  </si>
  <si>
    <t>Female Master 9 Raw APF: 80+</t>
  </si>
  <si>
    <t>Female Master 9 Raw AAPF: 80+</t>
  </si>
  <si>
    <t>F_MCR_9_APF</t>
  </si>
  <si>
    <t>Female Master 9 Classic Raw APF: 80+</t>
  </si>
  <si>
    <t>F_MCR_9_AAPF</t>
  </si>
  <si>
    <t>Female Master 9 Classic Raw AAPF: 80+</t>
  </si>
  <si>
    <t>Female Master 9 Equipped Multiply APF: 80+</t>
  </si>
  <si>
    <t>Female Master 9 Equipped Multiply AAPF: 80+</t>
  </si>
  <si>
    <t>Female Master 9 Equipped Single-Ply APF: 80+</t>
  </si>
  <si>
    <t>Female Master 9 Equipped Single-Ply AAPF: 80+</t>
  </si>
  <si>
    <t>PL</t>
  </si>
  <si>
    <t>Joe Vayda</t>
  </si>
  <si>
    <t>Jeremy Owens</t>
  </si>
  <si>
    <t>Jared Ray</t>
  </si>
  <si>
    <t>Billy Sigrest</t>
  </si>
  <si>
    <t xml:space="preserve"> </t>
  </si>
  <si>
    <t>Ella Browning</t>
  </si>
  <si>
    <t>Vince Breaux</t>
  </si>
  <si>
    <t>Scott Johnson</t>
  </si>
  <si>
    <t>Hayden Thompson</t>
  </si>
  <si>
    <t>Trey Love</t>
  </si>
  <si>
    <t>Jimmy Bishop</t>
  </si>
  <si>
    <t>Terry Jacobs</t>
  </si>
  <si>
    <t>Jodie Reynolds</t>
  </si>
  <si>
    <t>Flt A</t>
  </si>
  <si>
    <t>L20</t>
  </si>
  <si>
    <t>F_YCR_APF</t>
  </si>
  <si>
    <t>Female Youth Classic Raw APF</t>
  </si>
  <si>
    <t>1-F_YCR_APF-67.5</t>
  </si>
  <si>
    <t>1-F_TCR_1_APF-67.5</t>
  </si>
  <si>
    <t>1-M_OCR_APF-90</t>
  </si>
  <si>
    <t>1-M_MES_7_APF-100</t>
  </si>
  <si>
    <t>1-F_MEM_4_APF-82.5</t>
  </si>
  <si>
    <t>1-M_MCR_2_APF-110</t>
  </si>
  <si>
    <t>1-M_SR_APF-100</t>
  </si>
  <si>
    <t>1-M_MES_4_APF-100</t>
  </si>
  <si>
    <t>1-M_MES_6_APF-100</t>
  </si>
  <si>
    <t>1-M_OCR_APF-110</t>
  </si>
  <si>
    <t>1-M_OCR_APF-SHW</t>
  </si>
  <si>
    <t>1-M_MR_2_APF-125</t>
  </si>
  <si>
    <t>APF Power Pit Classic</t>
  </si>
  <si>
    <t>October 7th 2017</t>
  </si>
  <si>
    <t>APF Power Pit Classic-Kg Results</t>
  </si>
  <si>
    <t>APF Power Pit Classic-Lb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</si>
</sst>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54"/>
      <name val="Arial"/>
      <family val="2"/>
    </font>
    <font>
      <sz val="54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7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9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7" fillId="0" borderId="0"/>
    <xf numFmtId="0" fontId="49" fillId="0" borderId="0" applyNumberFormat="0" applyFill="0" applyBorder="0" applyAlignment="0" applyProtection="0"/>
    <xf numFmtId="0" fontId="50" fillId="0" borderId="62" applyNumberFormat="0" applyFill="0" applyAlignment="0" applyProtection="0"/>
    <xf numFmtId="0" fontId="51" fillId="0" borderId="63" applyNumberFormat="0" applyFill="0" applyAlignment="0" applyProtection="0"/>
    <xf numFmtId="0" fontId="52" fillId="0" borderId="64" applyNumberFormat="0" applyFill="0" applyAlignment="0" applyProtection="0"/>
    <xf numFmtId="0" fontId="52" fillId="0" borderId="0" applyNumberFormat="0" applyFill="0" applyBorder="0" applyAlignment="0" applyProtection="0"/>
    <xf numFmtId="0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65" applyNumberFormat="0" applyAlignment="0" applyProtection="0"/>
    <xf numFmtId="0" fontId="57" fillId="15" borderId="66" applyNumberFormat="0" applyAlignment="0" applyProtection="0"/>
    <xf numFmtId="0" fontId="58" fillId="15" borderId="65" applyNumberFormat="0" applyAlignment="0" applyProtection="0"/>
    <xf numFmtId="0" fontId="59" fillId="0" borderId="67" applyNumberFormat="0" applyFill="0" applyAlignment="0" applyProtection="0"/>
    <xf numFmtId="0" fontId="60" fillId="16" borderId="68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70" applyNumberFormat="0" applyFill="0" applyAlignment="0" applyProtection="0"/>
    <xf numFmtId="0" fontId="6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0" fillId="0" borderId="0" xfId="1" applyAlignment="1" applyProtection="1"/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1" fillId="2" borderId="0" xfId="0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9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9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3" fillId="2" borderId="0" xfId="0" applyFont="1" applyFill="1" applyBorder="1" applyAlignment="1" applyProtection="1">
      <alignment horizontal="center"/>
    </xf>
    <xf numFmtId="0" fontId="9" fillId="2" borderId="1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5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165" fontId="18" fillId="0" borderId="6" xfId="0" applyNumberFormat="1" applyFont="1" applyBorder="1" applyAlignment="1" applyProtection="1">
      <alignment horizontal="center"/>
      <protection locked="0"/>
    </xf>
    <xf numFmtId="166" fontId="18" fillId="0" borderId="6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  <protection locked="0"/>
    </xf>
    <xf numFmtId="164" fontId="18" fillId="0" borderId="0" xfId="0" applyNumberFormat="1" applyFont="1" applyBorder="1" applyAlignment="1" applyProtection="1">
      <alignment horizontal="center"/>
      <protection locked="0"/>
    </xf>
    <xf numFmtId="166" fontId="18" fillId="0" borderId="0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Alignment="1" applyProtection="1">
      <alignment horizontal="center"/>
      <protection locked="0"/>
    </xf>
    <xf numFmtId="2" fontId="18" fillId="0" borderId="6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shrinkToFit="1"/>
      <protection locked="0"/>
    </xf>
    <xf numFmtId="0" fontId="18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Fill="1"/>
    <xf numFmtId="0" fontId="9" fillId="0" borderId="17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6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4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9" fillId="2" borderId="21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6" fillId="8" borderId="25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left"/>
    </xf>
    <xf numFmtId="0" fontId="21" fillId="8" borderId="25" xfId="0" applyFont="1" applyFill="1" applyBorder="1" applyAlignment="1" applyProtection="1">
      <alignment horizontal="center" vertical="center" wrapText="1"/>
      <protection locked="0"/>
    </xf>
    <xf numFmtId="2" fontId="18" fillId="0" borderId="6" xfId="0" applyNumberFormat="1" applyFont="1" applyBorder="1" applyAlignment="1" applyProtection="1">
      <alignment horizontal="center" shrinkToFit="1"/>
      <protection locked="0"/>
    </xf>
    <xf numFmtId="2" fontId="18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9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1" fillId="2" borderId="12" xfId="0" applyFont="1" applyFill="1" applyBorder="1" applyProtection="1"/>
    <xf numFmtId="0" fontId="18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18" fillId="2" borderId="18" xfId="0" applyFont="1" applyFill="1" applyBorder="1" applyProtection="1"/>
    <xf numFmtId="0" fontId="18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1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19" fillId="2" borderId="22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23" fillId="0" borderId="1" xfId="0" applyFont="1" applyBorder="1" applyAlignment="1">
      <alignment horizontal="center"/>
    </xf>
    <xf numFmtId="0" fontId="30" fillId="8" borderId="0" xfId="0" applyFont="1" applyFill="1" applyBorder="1" applyProtection="1">
      <protection locked="0"/>
    </xf>
    <xf numFmtId="0" fontId="30" fillId="8" borderId="0" xfId="0" applyFont="1" applyFill="1" applyBorder="1" applyAlignment="1" applyProtection="1">
      <alignment horizontal="center"/>
      <protection locked="0"/>
    </xf>
    <xf numFmtId="0" fontId="30" fillId="8" borderId="0" xfId="0" applyFont="1" applyFill="1" applyProtection="1">
      <protection locked="0"/>
    </xf>
    <xf numFmtId="0" fontId="30" fillId="8" borderId="0" xfId="0" applyFont="1" applyFill="1" applyAlignment="1" applyProtection="1">
      <alignment horizontal="center"/>
      <protection locked="0"/>
    </xf>
    <xf numFmtId="0" fontId="32" fillId="8" borderId="0" xfId="0" applyFont="1" applyFill="1" applyBorder="1" applyAlignment="1" applyProtection="1">
      <alignment horizontal="center" wrapText="1"/>
      <protection locked="0"/>
    </xf>
    <xf numFmtId="0" fontId="30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0" fillId="8" borderId="0" xfId="0" applyNumberFormat="1" applyFont="1" applyFill="1" applyAlignment="1" applyProtection="1">
      <alignment horizontal="center"/>
      <protection locked="0"/>
    </xf>
    <xf numFmtId="0" fontId="33" fillId="8" borderId="0" xfId="0" applyFont="1" applyFill="1" applyAlignment="1" applyProtection="1">
      <alignment horizontal="left" vertical="center" wrapText="1"/>
    </xf>
    <xf numFmtId="0" fontId="30" fillId="8" borderId="0" xfId="0" applyFont="1" applyFill="1" applyAlignment="1" applyProtection="1">
      <alignment horizontal="center"/>
    </xf>
    <xf numFmtId="0" fontId="30" fillId="8" borderId="0" xfId="0" applyFont="1" applyFill="1" applyProtection="1"/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center" vertical="center" wrapText="1"/>
    </xf>
    <xf numFmtId="0" fontId="36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 vertical="center" wrapText="1"/>
    </xf>
    <xf numFmtId="0" fontId="30" fillId="8" borderId="0" xfId="0" applyFont="1" applyFill="1" applyAlignment="1" applyProtection="1">
      <alignment horizontal="left" vertical="center"/>
      <protection locked="0"/>
    </xf>
    <xf numFmtId="0" fontId="36" fillId="8" borderId="0" xfId="0" applyFont="1" applyFill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left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  <protection locked="0"/>
    </xf>
    <xf numFmtId="0" fontId="30" fillId="8" borderId="0" xfId="0" applyFont="1" applyFill="1" applyBorder="1" applyAlignment="1" applyProtection="1">
      <alignment horizontal="center" vertical="center" wrapText="1"/>
      <protection locked="0"/>
    </xf>
    <xf numFmtId="15" fontId="13" fillId="0" borderId="23" xfId="0" applyNumberFormat="1" applyFont="1" applyBorder="1" applyAlignment="1" applyProtection="1">
      <alignment horizontal="center" shrinkToFit="1"/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2" fontId="19" fillId="0" borderId="28" xfId="0" applyNumberFormat="1" applyFont="1" applyFill="1" applyBorder="1" applyAlignment="1" applyProtection="1">
      <alignment horizontal="center" vertical="center" wrapText="1"/>
    </xf>
    <xf numFmtId="166" fontId="19" fillId="0" borderId="28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/>
    </xf>
    <xf numFmtId="0" fontId="37" fillId="2" borderId="0" xfId="0" applyFont="1" applyFill="1" applyBorder="1" applyProtection="1"/>
    <xf numFmtId="0" fontId="37" fillId="0" borderId="0" xfId="0" applyFont="1" applyBorder="1" applyProtection="1"/>
    <xf numFmtId="0" fontId="38" fillId="2" borderId="22" xfId="0" applyFont="1" applyFill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/>
    </xf>
    <xf numFmtId="0" fontId="37" fillId="0" borderId="1" xfId="0" applyFont="1" applyBorder="1" applyProtection="1"/>
    <xf numFmtId="168" fontId="14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9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9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9" fillId="2" borderId="3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wrapText="1"/>
    </xf>
    <xf numFmtId="165" fontId="39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5" fillId="8" borderId="0" xfId="0" applyNumberFormat="1" applyFont="1" applyFill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2" fillId="0" borderId="1" xfId="2" applyNumberFormat="1" applyFont="1" applyBorder="1" applyAlignment="1">
      <alignment horizontal="center" wrapText="1"/>
    </xf>
    <xf numFmtId="0" fontId="40" fillId="2" borderId="1" xfId="2" applyFont="1" applyFill="1" applyBorder="1" applyAlignment="1" applyProtection="1">
      <alignment horizontal="center" wrapText="1"/>
      <protection locked="0"/>
    </xf>
    <xf numFmtId="0" fontId="40" fillId="0" borderId="1" xfId="2" applyFont="1" applyFill="1" applyBorder="1" applyAlignment="1" applyProtection="1">
      <alignment horizontal="center" wrapText="1"/>
      <protection locked="0"/>
    </xf>
    <xf numFmtId="0" fontId="41" fillId="0" borderId="0" xfId="2" applyAlignment="1">
      <alignment horizontal="center" wrapText="1"/>
    </xf>
    <xf numFmtId="0" fontId="41" fillId="0" borderId="0" xfId="2" applyAlignment="1">
      <alignment wrapText="1"/>
    </xf>
    <xf numFmtId="164" fontId="42" fillId="0" borderId="1" xfId="2" applyNumberFormat="1" applyFont="1" applyBorder="1" applyAlignment="1" applyProtection="1">
      <alignment horizontal="center"/>
      <protection locked="0"/>
    </xf>
    <xf numFmtId="0" fontId="40" fillId="2" borderId="1" xfId="2" applyFont="1" applyFill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0" fillId="0" borderId="1" xfId="2" applyFont="1" applyFill="1" applyBorder="1" applyAlignment="1" applyProtection="1">
      <alignment horizontal="center"/>
      <protection locked="0"/>
    </xf>
    <xf numFmtId="0" fontId="41" fillId="0" borderId="0" xfId="2" applyAlignment="1">
      <alignment horizontal="center"/>
    </xf>
    <xf numFmtId="0" fontId="41" fillId="0" borderId="0" xfId="2"/>
    <xf numFmtId="164" fontId="42" fillId="0" borderId="1" xfId="2" applyNumberFormat="1" applyFont="1" applyBorder="1" applyAlignment="1">
      <alignment horizontal="center"/>
    </xf>
    <xf numFmtId="0" fontId="23" fillId="0" borderId="0" xfId="2" applyFont="1" applyAlignment="1">
      <alignment horizontal="center"/>
    </xf>
    <xf numFmtId="0" fontId="8" fillId="2" borderId="0" xfId="2" applyFont="1" applyFill="1"/>
    <xf numFmtId="0" fontId="8" fillId="0" borderId="0" xfId="2" applyFont="1" applyFill="1"/>
    <xf numFmtId="0" fontId="9" fillId="2" borderId="1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66" fontId="0" fillId="0" borderId="6" xfId="0" applyNumberFormat="1" applyFill="1" applyBorder="1" applyAlignment="1" applyProtection="1">
      <alignment horizontal="center"/>
    </xf>
    <xf numFmtId="0" fontId="43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/>
    <xf numFmtId="0" fontId="10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5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 vertical="center" shrinkToFit="1"/>
    </xf>
    <xf numFmtId="164" fontId="24" fillId="0" borderId="8" xfId="0" applyNumberFormat="1" applyFont="1" applyFill="1" applyBorder="1" applyAlignment="1" applyProtection="1">
      <alignment vertical="center" shrinkToFit="1"/>
    </xf>
    <xf numFmtId="164" fontId="24" fillId="0" borderId="39" xfId="0" applyNumberFormat="1" applyFont="1" applyFill="1" applyBorder="1" applyAlignment="1" applyProtection="1">
      <alignment vertical="center" shrinkToFit="1"/>
    </xf>
    <xf numFmtId="164" fontId="24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18" fillId="0" borderId="0" xfId="0" applyNumberFormat="1" applyFont="1" applyFill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2" borderId="1" xfId="46" applyFont="1" applyFill="1" applyBorder="1" applyAlignment="1">
      <alignment horizontal="center"/>
    </xf>
    <xf numFmtId="0" fontId="9" fillId="2" borderId="2" xfId="46" applyFont="1" applyFill="1" applyBorder="1" applyAlignment="1">
      <alignment horizontal="center"/>
    </xf>
    <xf numFmtId="0" fontId="9" fillId="2" borderId="3" xfId="46" applyFont="1" applyFill="1" applyBorder="1" applyAlignment="1">
      <alignment horizontal="center"/>
    </xf>
    <xf numFmtId="0" fontId="8" fillId="2" borderId="1" xfId="46" applyFill="1" applyBorder="1" applyAlignment="1">
      <alignment horizontal="center"/>
    </xf>
    <xf numFmtId="0" fontId="8" fillId="0" borderId="1" xfId="46" applyFill="1" applyBorder="1" applyAlignment="1" applyProtection="1">
      <alignment horizontal="center"/>
      <protection locked="0"/>
    </xf>
    <xf numFmtId="0" fontId="8" fillId="0" borderId="1" xfId="46" applyFont="1" applyFill="1" applyBorder="1" applyAlignment="1" applyProtection="1">
      <alignment horizontal="center"/>
      <protection locked="0"/>
    </xf>
    <xf numFmtId="0" fontId="8" fillId="0" borderId="0" xfId="46" applyFont="1" applyProtection="1">
      <protection locked="0"/>
    </xf>
    <xf numFmtId="0" fontId="8" fillId="0" borderId="0" xfId="0" applyFont="1" applyBorder="1" applyAlignment="1">
      <alignment horizontal="left"/>
    </xf>
    <xf numFmtId="0" fontId="0" fillId="0" borderId="61" xfId="0" applyBorder="1"/>
    <xf numFmtId="0" fontId="65" fillId="0" borderId="0" xfId="46" applyFont="1" applyBorder="1" applyAlignment="1">
      <alignment horizontal="left" vertical="top"/>
    </xf>
    <xf numFmtId="0" fontId="8" fillId="0" borderId="0" xfId="0" applyFont="1" applyProtection="1"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3" xfId="105" applyFill="1" applyBorder="1" applyAlignment="1" applyProtection="1">
      <alignment horizontal="left"/>
      <protection locked="0"/>
    </xf>
    <xf numFmtId="0" fontId="6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8" fillId="0" borderId="0" xfId="0" quotePrefix="1" applyFont="1" applyFill="1"/>
    <xf numFmtId="0" fontId="8" fillId="0" borderId="0" xfId="0" applyFont="1" applyFill="1"/>
    <xf numFmtId="0" fontId="67" fillId="0" borderId="1" xfId="0" applyFont="1" applyBorder="1"/>
    <xf numFmtId="0" fontId="67" fillId="0" borderId="1" xfId="0" applyFont="1" applyBorder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" xfId="0" quotePrefix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15" fontId="28" fillId="2" borderId="8" xfId="46" applyNumberFormat="1" applyFont="1" applyFill="1" applyBorder="1" applyAlignment="1">
      <alignment horizontal="center" vertical="center" shrinkToFit="1"/>
    </xf>
    <xf numFmtId="0" fontId="28" fillId="2" borderId="39" xfId="46" applyFont="1" applyFill="1" applyBorder="1" applyAlignment="1">
      <alignment horizontal="center" vertical="center" shrinkToFit="1"/>
    </xf>
    <xf numFmtId="0" fontId="28" fillId="2" borderId="19" xfId="46" applyFont="1" applyFill="1" applyBorder="1" applyAlignment="1">
      <alignment horizontal="center" vertical="center" shrinkToFit="1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22" fillId="8" borderId="46" xfId="0" applyFont="1" applyFill="1" applyBorder="1" applyAlignment="1" applyProtection="1">
      <alignment horizontal="center" vertical="center" shrinkToFit="1"/>
      <protection locked="0"/>
    </xf>
    <xf numFmtId="0" fontId="22" fillId="8" borderId="47" xfId="0" applyFont="1" applyFill="1" applyBorder="1" applyAlignment="1" applyProtection="1">
      <alignment horizontal="center" vertical="center" shrinkToFit="1"/>
      <protection locked="0"/>
    </xf>
    <xf numFmtId="0" fontId="22" fillId="8" borderId="48" xfId="0" applyFont="1" applyFill="1" applyBorder="1" applyAlignment="1" applyProtection="1">
      <alignment horizontal="center" vertical="center" shrinkToFit="1"/>
      <protection locked="0"/>
    </xf>
    <xf numFmtId="0" fontId="22" fillId="8" borderId="30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  <protection locked="0"/>
    </xf>
    <xf numFmtId="0" fontId="22" fillId="8" borderId="38" xfId="0" applyFont="1" applyFill="1" applyBorder="1" applyAlignment="1" applyProtection="1">
      <alignment horizontal="center" vertical="center" shrinkToFit="1"/>
      <protection locked="0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22" fillId="8" borderId="42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2" fillId="8" borderId="43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center" vertical="center"/>
      <protection locked="0"/>
    </xf>
    <xf numFmtId="0" fontId="22" fillId="8" borderId="44" xfId="0" applyFont="1" applyFill="1" applyBorder="1" applyAlignment="1" applyProtection="1">
      <alignment horizontal="center" vertical="center"/>
      <protection locked="0"/>
    </xf>
    <xf numFmtId="0" fontId="22" fillId="8" borderId="30" xfId="0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8" fillId="2" borderId="8" xfId="44" applyFont="1" applyFill="1" applyBorder="1" applyAlignment="1" applyProtection="1">
      <alignment horizontal="center" vertical="center" shrinkToFit="1"/>
      <protection locked="0"/>
    </xf>
    <xf numFmtId="0" fontId="28" fillId="2" borderId="39" xfId="44" applyFont="1" applyFill="1" applyBorder="1" applyAlignment="1" applyProtection="1">
      <alignment horizontal="center" vertical="center" shrinkToFit="1"/>
      <protection locked="0"/>
    </xf>
    <xf numFmtId="0" fontId="28" fillId="2" borderId="19" xfId="44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16" fillId="9" borderId="8" xfId="0" applyNumberFormat="1" applyFont="1" applyFill="1" applyBorder="1" applyAlignment="1" applyProtection="1">
      <alignment horizontal="center" vertical="center"/>
    </xf>
    <xf numFmtId="164" fontId="16" fillId="9" borderId="39" xfId="0" applyNumberFormat="1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42" xfId="0" applyFont="1" applyBorder="1" applyAlignment="1" applyProtection="1">
      <alignment horizontal="center" vertical="center" shrinkToFit="1"/>
    </xf>
    <xf numFmtId="0" fontId="45" fillId="0" borderId="8" xfId="0" applyFont="1" applyBorder="1" applyAlignment="1" applyProtection="1">
      <alignment horizontal="center" vertical="center" shrinkToFit="1"/>
      <protection locked="0"/>
    </xf>
    <xf numFmtId="0" fontId="45" fillId="0" borderId="39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 shrinkToFit="1"/>
      <protection locked="0"/>
    </xf>
    <xf numFmtId="164" fontId="21" fillId="10" borderId="39" xfId="0" applyNumberFormat="1" applyFont="1" applyFill="1" applyBorder="1" applyAlignment="1" applyProtection="1">
      <alignment horizontal="center" vertical="center" shrinkToFit="1"/>
      <protection locked="0"/>
    </xf>
    <xf numFmtId="0" fontId="17" fillId="6" borderId="21" xfId="0" applyFont="1" applyFill="1" applyBorder="1" applyAlignment="1" applyProtection="1">
      <alignment horizontal="center" vertical="center" shrinkToFit="1"/>
    </xf>
    <xf numFmtId="0" fontId="17" fillId="6" borderId="55" xfId="0" applyFont="1" applyFill="1" applyBorder="1" applyAlignment="1" applyProtection="1">
      <alignment horizontal="center" vertical="center" shrinkToFit="1"/>
    </xf>
    <xf numFmtId="0" fontId="44" fillId="0" borderId="8" xfId="0" applyFont="1" applyBorder="1" applyAlignment="1" applyProtection="1">
      <alignment horizontal="center" vertical="center" shrinkToFit="1"/>
    </xf>
    <xf numFmtId="0" fontId="44" fillId="0" borderId="19" xfId="0" applyFont="1" applyBorder="1" applyAlignment="1" applyProtection="1">
      <alignment horizontal="center" vertical="center" shrinkToFit="1"/>
    </xf>
    <xf numFmtId="164" fontId="16" fillId="9" borderId="32" xfId="0" applyNumberFormat="1" applyFont="1" applyFill="1" applyBorder="1" applyAlignment="1" applyProtection="1">
      <alignment horizontal="center" vertical="center"/>
    </xf>
    <xf numFmtId="0" fontId="17" fillId="6" borderId="25" xfId="0" applyFont="1" applyFill="1" applyBorder="1" applyAlignment="1" applyProtection="1">
      <alignment horizontal="center" vertical="center" shrinkToFit="1"/>
    </xf>
    <xf numFmtId="164" fontId="46" fillId="0" borderId="58" xfId="0" applyNumberFormat="1" applyFont="1" applyBorder="1" applyAlignment="1">
      <alignment horizontal="right" vertical="center"/>
    </xf>
    <xf numFmtId="164" fontId="46" fillId="0" borderId="0" xfId="0" applyNumberFormat="1" applyFont="1" applyBorder="1" applyAlignment="1">
      <alignment horizontal="right" vertical="center"/>
    </xf>
    <xf numFmtId="164" fontId="46" fillId="0" borderId="27" xfId="0" applyNumberFormat="1" applyFont="1" applyBorder="1" applyAlignment="1">
      <alignment horizontal="right" vertical="center"/>
    </xf>
    <xf numFmtId="164" fontId="46" fillId="0" borderId="7" xfId="0" applyNumberFormat="1" applyFont="1" applyBorder="1" applyAlignment="1">
      <alignment horizontal="right" vertical="center"/>
    </xf>
    <xf numFmtId="0" fontId="47" fillId="0" borderId="0" xfId="0" applyFont="1" applyBorder="1" applyAlignment="1">
      <alignment horizontal="left" vertical="center"/>
    </xf>
    <xf numFmtId="0" fontId="47" fillId="0" borderId="61" xfId="0" applyFont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center"/>
    </xf>
    <xf numFmtId="0" fontId="46" fillId="0" borderId="47" xfId="0" applyFont="1" applyBorder="1" applyAlignment="1">
      <alignment horizontal="left" vertical="center"/>
    </xf>
    <xf numFmtId="0" fontId="46" fillId="0" borderId="71" xfId="0" applyFont="1" applyBorder="1" applyAlignment="1">
      <alignment horizontal="left" vertical="center"/>
    </xf>
    <xf numFmtId="0" fontId="46" fillId="0" borderId="58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61" xfId="0" applyFont="1" applyBorder="1" applyAlignment="1">
      <alignment horizontal="left" vertical="center"/>
    </xf>
    <xf numFmtId="0" fontId="45" fillId="0" borderId="58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right" vertical="center"/>
    </xf>
    <xf numFmtId="0" fontId="45" fillId="0" borderId="61" xfId="0" applyFont="1" applyBorder="1" applyAlignment="1">
      <alignment horizontal="right" vertical="center"/>
    </xf>
    <xf numFmtId="0" fontId="46" fillId="0" borderId="58" xfId="0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0" fontId="65" fillId="0" borderId="58" xfId="46" applyFont="1" applyBorder="1" applyAlignment="1">
      <alignment horizontal="left" vertical="top"/>
    </xf>
    <xf numFmtId="0" fontId="65" fillId="0" borderId="0" xfId="46" applyFont="1" applyBorder="1" applyAlignment="1">
      <alignment horizontal="left" vertical="top"/>
    </xf>
    <xf numFmtId="0" fontId="45" fillId="0" borderId="0" xfId="0" applyFont="1" applyBorder="1" applyAlignment="1">
      <alignment horizontal="center" vertical="center"/>
    </xf>
    <xf numFmtId="0" fontId="9" fillId="0" borderId="56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3" fillId="0" borderId="8" xfId="0" applyFont="1" applyBorder="1" applyAlignment="1" applyProtection="1">
      <alignment horizontal="center" shrinkToFit="1"/>
      <protection locked="0"/>
    </xf>
    <xf numFmtId="0" fontId="13" fillId="0" borderId="39" xfId="0" applyFont="1" applyBorder="1" applyAlignment="1" applyProtection="1">
      <alignment horizontal="center" shrinkToFit="1"/>
      <protection locked="0"/>
    </xf>
    <xf numFmtId="0" fontId="13" fillId="0" borderId="19" xfId="0" applyFont="1" applyBorder="1" applyAlignment="1" applyProtection="1">
      <alignment horizontal="center" shrinkToFit="1"/>
      <protection locked="0"/>
    </xf>
    <xf numFmtId="0" fontId="35" fillId="8" borderId="0" xfId="0" applyFont="1" applyFill="1" applyAlignment="1" applyProtection="1">
      <alignment horizontal="center" vertical="center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0" fontId="31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  <xf numFmtId="0" fontId="11" fillId="9" borderId="6" xfId="0" applyFont="1" applyFill="1" applyBorder="1" applyAlignment="1" applyProtection="1">
      <alignment horizontal="center" shrinkToFit="1"/>
      <protection locked="0"/>
    </xf>
    <xf numFmtId="0" fontId="8" fillId="0" borderId="6" xfId="0" applyFont="1" applyFill="1" applyBorder="1" applyAlignment="1" applyProtection="1">
      <alignment horizontal="center" shrinkToFit="1"/>
      <protection locked="0"/>
    </xf>
    <xf numFmtId="0" fontId="8" fillId="0" borderId="0" xfId="0" applyFont="1" applyFill="1" applyAlignment="1">
      <alignment horizontal="center"/>
    </xf>
    <xf numFmtId="0" fontId="0" fillId="0" borderId="58" xfId="0" applyFont="1" applyFill="1" applyBorder="1" applyAlignment="1" applyProtection="1">
      <alignment horizontal="left"/>
      <protection locked="0"/>
    </xf>
    <xf numFmtId="0" fontId="8" fillId="0" borderId="72" xfId="105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9" fillId="2" borderId="25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16" fillId="0" borderId="0" xfId="0" applyFont="1" applyAlignment="1">
      <alignment horizontal="center" vertical="center" wrapText="1" shrinkToFit="1"/>
    </xf>
    <xf numFmtId="0" fontId="21" fillId="8" borderId="25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6" fillId="0" borderId="0" xfId="0" applyNumberFormat="1" applyFont="1" applyAlignment="1">
      <alignment horizontal="left" vertical="center"/>
    </xf>
    <xf numFmtId="0" fontId="6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6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66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68" fillId="8" borderId="25" xfId="0" applyFont="1" applyFill="1" applyBorder="1" applyAlignment="1" applyProtection="1">
      <alignment horizontal="center" vertical="center" wrapText="1"/>
    </xf>
    <xf numFmtId="0" fontId="9" fillId="8" borderId="25" xfId="0" applyFont="1" applyFill="1" applyBorder="1" applyAlignment="1" applyProtection="1">
      <alignment horizontal="center" vertical="center" wrapText="1" shrinkToFit="1"/>
      <protection locked="0"/>
    </xf>
    <xf numFmtId="1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21" fillId="8" borderId="25" xfId="0" applyFont="1" applyFill="1" applyBorder="1" applyAlignment="1" applyProtection="1">
      <alignment horizontal="center" vertical="center" wrapText="1"/>
    </xf>
  </cellXfs>
  <cellStyles count="996">
    <cellStyle name="20% - Accent1" xfId="21" builtinId="30" customBuiltin="1"/>
    <cellStyle name="20% - Accent1 2" xfId="51"/>
    <cellStyle name="20% - Accent1 2 2" xfId="80"/>
    <cellStyle name="20% - Accent1 2 2 2" xfId="141"/>
    <cellStyle name="20% - Accent1 2 2 2 2" xfId="262"/>
    <cellStyle name="20% - Accent1 2 2 2 2 2" xfId="503"/>
    <cellStyle name="20% - Accent1 2 2 2 2 2 2" xfId="984"/>
    <cellStyle name="20% - Accent1 2 2 2 2 3" xfId="744"/>
    <cellStyle name="20% - Accent1 2 2 2 3" xfId="383"/>
    <cellStyle name="20% - Accent1 2 2 2 3 2" xfId="864"/>
    <cellStyle name="20% - Accent1 2 2 2 4" xfId="624"/>
    <cellStyle name="20% - Accent1 2 2 3" xfId="202"/>
    <cellStyle name="20% - Accent1 2 2 3 2" xfId="443"/>
    <cellStyle name="20% - Accent1 2 2 3 2 2" xfId="924"/>
    <cellStyle name="20% - Accent1 2 2 3 3" xfId="684"/>
    <cellStyle name="20% - Accent1 2 2 4" xfId="323"/>
    <cellStyle name="20% - Accent1 2 2 4 2" xfId="804"/>
    <cellStyle name="20% - Accent1 2 2 5" xfId="564"/>
    <cellStyle name="20% - Accent1 2 3" xfId="112"/>
    <cellStyle name="20% - Accent1 2 3 2" xfId="233"/>
    <cellStyle name="20% - Accent1 2 3 2 2" xfId="474"/>
    <cellStyle name="20% - Accent1 2 3 2 2 2" xfId="955"/>
    <cellStyle name="20% - Accent1 2 3 2 3" xfId="715"/>
    <cellStyle name="20% - Accent1 2 3 3" xfId="354"/>
    <cellStyle name="20% - Accent1 2 3 3 2" xfId="835"/>
    <cellStyle name="20% - Accent1 2 3 4" xfId="595"/>
    <cellStyle name="20% - Accent1 2 4" xfId="173"/>
    <cellStyle name="20% - Accent1 2 4 2" xfId="414"/>
    <cellStyle name="20% - Accent1 2 4 2 2" xfId="895"/>
    <cellStyle name="20% - Accent1 2 4 3" xfId="655"/>
    <cellStyle name="20% - Accent1 2 5" xfId="294"/>
    <cellStyle name="20% - Accent1 2 5 2" xfId="775"/>
    <cellStyle name="20% - Accent1 2 6" xfId="535"/>
    <cellStyle name="20% - Accent1 3" xfId="64"/>
    <cellStyle name="20% - Accent1 3 2" xfId="125"/>
    <cellStyle name="20% - Accent1 3 2 2" xfId="246"/>
    <cellStyle name="20% - Accent1 3 2 2 2" xfId="487"/>
    <cellStyle name="20% - Accent1 3 2 2 2 2" xfId="968"/>
    <cellStyle name="20% - Accent1 3 2 2 3" xfId="728"/>
    <cellStyle name="20% - Accent1 3 2 3" xfId="367"/>
    <cellStyle name="20% - Accent1 3 2 3 2" xfId="848"/>
    <cellStyle name="20% - Accent1 3 2 4" xfId="608"/>
    <cellStyle name="20% - Accent1 3 3" xfId="186"/>
    <cellStyle name="20% - Accent1 3 3 2" xfId="427"/>
    <cellStyle name="20% - Accent1 3 3 2 2" xfId="908"/>
    <cellStyle name="20% - Accent1 3 3 3" xfId="668"/>
    <cellStyle name="20% - Accent1 3 4" xfId="307"/>
    <cellStyle name="20% - Accent1 3 4 2" xfId="788"/>
    <cellStyle name="20% - Accent1 3 5" xfId="548"/>
    <cellStyle name="20% - Accent1 4" xfId="93"/>
    <cellStyle name="20% - Accent1 4 2" xfId="215"/>
    <cellStyle name="20% - Accent1 4 2 2" xfId="456"/>
    <cellStyle name="20% - Accent1 4 2 2 2" xfId="937"/>
    <cellStyle name="20% - Accent1 4 2 3" xfId="697"/>
    <cellStyle name="20% - Accent1 4 3" xfId="336"/>
    <cellStyle name="20% - Accent1 4 3 2" xfId="817"/>
    <cellStyle name="20% - Accent1 4 4" xfId="577"/>
    <cellStyle name="20% - Accent1 5" xfId="154"/>
    <cellStyle name="20% - Accent1 5 2" xfId="396"/>
    <cellStyle name="20% - Accent1 5 2 2" xfId="877"/>
    <cellStyle name="20% - Accent1 5 3" xfId="637"/>
    <cellStyle name="20% - Accent1 6" xfId="275"/>
    <cellStyle name="20% - Accent1 6 2" xfId="757"/>
    <cellStyle name="20% - Accent1 7" xfId="516"/>
    <cellStyle name="20% - Accent2" xfId="25" builtinId="34" customBuiltin="1"/>
    <cellStyle name="20% - Accent2 2" xfId="53"/>
    <cellStyle name="20% - Accent2 2 2" xfId="82"/>
    <cellStyle name="20% - Accent2 2 2 2" xfId="143"/>
    <cellStyle name="20% - Accent2 2 2 2 2" xfId="264"/>
    <cellStyle name="20% - Accent2 2 2 2 2 2" xfId="505"/>
    <cellStyle name="20% - Accent2 2 2 2 2 2 2" xfId="986"/>
    <cellStyle name="20% - Accent2 2 2 2 2 3" xfId="746"/>
    <cellStyle name="20% - Accent2 2 2 2 3" xfId="385"/>
    <cellStyle name="20% - Accent2 2 2 2 3 2" xfId="866"/>
    <cellStyle name="20% - Accent2 2 2 2 4" xfId="626"/>
    <cellStyle name="20% - Accent2 2 2 3" xfId="204"/>
    <cellStyle name="20% - Accent2 2 2 3 2" xfId="445"/>
    <cellStyle name="20% - Accent2 2 2 3 2 2" xfId="926"/>
    <cellStyle name="20% - Accent2 2 2 3 3" xfId="686"/>
    <cellStyle name="20% - Accent2 2 2 4" xfId="325"/>
    <cellStyle name="20% - Accent2 2 2 4 2" xfId="806"/>
    <cellStyle name="20% - Accent2 2 2 5" xfId="566"/>
    <cellStyle name="20% - Accent2 2 3" xfId="114"/>
    <cellStyle name="20% - Accent2 2 3 2" xfId="235"/>
    <cellStyle name="20% - Accent2 2 3 2 2" xfId="476"/>
    <cellStyle name="20% - Accent2 2 3 2 2 2" xfId="957"/>
    <cellStyle name="20% - Accent2 2 3 2 3" xfId="717"/>
    <cellStyle name="20% - Accent2 2 3 3" xfId="356"/>
    <cellStyle name="20% - Accent2 2 3 3 2" xfId="837"/>
    <cellStyle name="20% - Accent2 2 3 4" xfId="597"/>
    <cellStyle name="20% - Accent2 2 4" xfId="175"/>
    <cellStyle name="20% - Accent2 2 4 2" xfId="416"/>
    <cellStyle name="20% - Accent2 2 4 2 2" xfId="897"/>
    <cellStyle name="20% - Accent2 2 4 3" xfId="657"/>
    <cellStyle name="20% - Accent2 2 5" xfId="296"/>
    <cellStyle name="20% - Accent2 2 5 2" xfId="777"/>
    <cellStyle name="20% - Accent2 2 6" xfId="537"/>
    <cellStyle name="20% - Accent2 3" xfId="66"/>
    <cellStyle name="20% - Accent2 3 2" xfId="127"/>
    <cellStyle name="20% - Accent2 3 2 2" xfId="248"/>
    <cellStyle name="20% - Accent2 3 2 2 2" xfId="489"/>
    <cellStyle name="20% - Accent2 3 2 2 2 2" xfId="970"/>
    <cellStyle name="20% - Accent2 3 2 2 3" xfId="730"/>
    <cellStyle name="20% - Accent2 3 2 3" xfId="369"/>
    <cellStyle name="20% - Accent2 3 2 3 2" xfId="850"/>
    <cellStyle name="20% - Accent2 3 2 4" xfId="610"/>
    <cellStyle name="20% - Accent2 3 3" xfId="188"/>
    <cellStyle name="20% - Accent2 3 3 2" xfId="429"/>
    <cellStyle name="20% - Accent2 3 3 2 2" xfId="910"/>
    <cellStyle name="20% - Accent2 3 3 3" xfId="670"/>
    <cellStyle name="20% - Accent2 3 4" xfId="309"/>
    <cellStyle name="20% - Accent2 3 4 2" xfId="790"/>
    <cellStyle name="20% - Accent2 3 5" xfId="550"/>
    <cellStyle name="20% - Accent2 4" xfId="95"/>
    <cellStyle name="20% - Accent2 4 2" xfId="217"/>
    <cellStyle name="20% - Accent2 4 2 2" xfId="458"/>
    <cellStyle name="20% - Accent2 4 2 2 2" xfId="939"/>
    <cellStyle name="20% - Accent2 4 2 3" xfId="699"/>
    <cellStyle name="20% - Accent2 4 3" xfId="338"/>
    <cellStyle name="20% - Accent2 4 3 2" xfId="819"/>
    <cellStyle name="20% - Accent2 4 4" xfId="579"/>
    <cellStyle name="20% - Accent2 5" xfId="156"/>
    <cellStyle name="20% - Accent2 5 2" xfId="398"/>
    <cellStyle name="20% - Accent2 5 2 2" xfId="879"/>
    <cellStyle name="20% - Accent2 5 3" xfId="639"/>
    <cellStyle name="20% - Accent2 6" xfId="277"/>
    <cellStyle name="20% - Accent2 6 2" xfId="759"/>
    <cellStyle name="20% - Accent2 7" xfId="518"/>
    <cellStyle name="20% - Accent3" xfId="29" builtinId="38" customBuiltin="1"/>
    <cellStyle name="20% - Accent3 2" xfId="55"/>
    <cellStyle name="20% - Accent3 2 2" xfId="84"/>
    <cellStyle name="20% - Accent3 2 2 2" xfId="145"/>
    <cellStyle name="20% - Accent3 2 2 2 2" xfId="266"/>
    <cellStyle name="20% - Accent3 2 2 2 2 2" xfId="507"/>
    <cellStyle name="20% - Accent3 2 2 2 2 2 2" xfId="988"/>
    <cellStyle name="20% - Accent3 2 2 2 2 3" xfId="748"/>
    <cellStyle name="20% - Accent3 2 2 2 3" xfId="387"/>
    <cellStyle name="20% - Accent3 2 2 2 3 2" xfId="868"/>
    <cellStyle name="20% - Accent3 2 2 2 4" xfId="628"/>
    <cellStyle name="20% - Accent3 2 2 3" xfId="206"/>
    <cellStyle name="20% - Accent3 2 2 3 2" xfId="447"/>
    <cellStyle name="20% - Accent3 2 2 3 2 2" xfId="928"/>
    <cellStyle name="20% - Accent3 2 2 3 3" xfId="688"/>
    <cellStyle name="20% - Accent3 2 2 4" xfId="327"/>
    <cellStyle name="20% - Accent3 2 2 4 2" xfId="808"/>
    <cellStyle name="20% - Accent3 2 2 5" xfId="568"/>
    <cellStyle name="20% - Accent3 2 3" xfId="116"/>
    <cellStyle name="20% - Accent3 2 3 2" xfId="237"/>
    <cellStyle name="20% - Accent3 2 3 2 2" xfId="478"/>
    <cellStyle name="20% - Accent3 2 3 2 2 2" xfId="959"/>
    <cellStyle name="20% - Accent3 2 3 2 3" xfId="719"/>
    <cellStyle name="20% - Accent3 2 3 3" xfId="358"/>
    <cellStyle name="20% - Accent3 2 3 3 2" xfId="839"/>
    <cellStyle name="20% - Accent3 2 3 4" xfId="599"/>
    <cellStyle name="20% - Accent3 2 4" xfId="177"/>
    <cellStyle name="20% - Accent3 2 4 2" xfId="418"/>
    <cellStyle name="20% - Accent3 2 4 2 2" xfId="899"/>
    <cellStyle name="20% - Accent3 2 4 3" xfId="659"/>
    <cellStyle name="20% - Accent3 2 5" xfId="298"/>
    <cellStyle name="20% - Accent3 2 5 2" xfId="779"/>
    <cellStyle name="20% - Accent3 2 6" xfId="539"/>
    <cellStyle name="20% - Accent3 3" xfId="68"/>
    <cellStyle name="20% - Accent3 3 2" xfId="129"/>
    <cellStyle name="20% - Accent3 3 2 2" xfId="250"/>
    <cellStyle name="20% - Accent3 3 2 2 2" xfId="491"/>
    <cellStyle name="20% - Accent3 3 2 2 2 2" xfId="972"/>
    <cellStyle name="20% - Accent3 3 2 2 3" xfId="732"/>
    <cellStyle name="20% - Accent3 3 2 3" xfId="371"/>
    <cellStyle name="20% - Accent3 3 2 3 2" xfId="852"/>
    <cellStyle name="20% - Accent3 3 2 4" xfId="612"/>
    <cellStyle name="20% - Accent3 3 3" xfId="190"/>
    <cellStyle name="20% - Accent3 3 3 2" xfId="431"/>
    <cellStyle name="20% - Accent3 3 3 2 2" xfId="912"/>
    <cellStyle name="20% - Accent3 3 3 3" xfId="672"/>
    <cellStyle name="20% - Accent3 3 4" xfId="311"/>
    <cellStyle name="20% - Accent3 3 4 2" xfId="792"/>
    <cellStyle name="20% - Accent3 3 5" xfId="552"/>
    <cellStyle name="20% - Accent3 4" xfId="97"/>
    <cellStyle name="20% - Accent3 4 2" xfId="219"/>
    <cellStyle name="20% - Accent3 4 2 2" xfId="460"/>
    <cellStyle name="20% - Accent3 4 2 2 2" xfId="941"/>
    <cellStyle name="20% - Accent3 4 2 3" xfId="701"/>
    <cellStyle name="20% - Accent3 4 3" xfId="340"/>
    <cellStyle name="20% - Accent3 4 3 2" xfId="821"/>
    <cellStyle name="20% - Accent3 4 4" xfId="581"/>
    <cellStyle name="20% - Accent3 5" xfId="158"/>
    <cellStyle name="20% - Accent3 5 2" xfId="400"/>
    <cellStyle name="20% - Accent3 5 2 2" xfId="881"/>
    <cellStyle name="20% - Accent3 5 3" xfId="641"/>
    <cellStyle name="20% - Accent3 6" xfId="279"/>
    <cellStyle name="20% - Accent3 6 2" xfId="761"/>
    <cellStyle name="20% - Accent3 7" xfId="520"/>
    <cellStyle name="20% - Accent4" xfId="33" builtinId="42" customBuiltin="1"/>
    <cellStyle name="20% - Accent4 2" xfId="57"/>
    <cellStyle name="20% - Accent4 2 2" xfId="86"/>
    <cellStyle name="20% - Accent4 2 2 2" xfId="147"/>
    <cellStyle name="20% - Accent4 2 2 2 2" xfId="268"/>
    <cellStyle name="20% - Accent4 2 2 2 2 2" xfId="509"/>
    <cellStyle name="20% - Accent4 2 2 2 2 2 2" xfId="990"/>
    <cellStyle name="20% - Accent4 2 2 2 2 3" xfId="750"/>
    <cellStyle name="20% - Accent4 2 2 2 3" xfId="389"/>
    <cellStyle name="20% - Accent4 2 2 2 3 2" xfId="870"/>
    <cellStyle name="20% - Accent4 2 2 2 4" xfId="630"/>
    <cellStyle name="20% - Accent4 2 2 3" xfId="208"/>
    <cellStyle name="20% - Accent4 2 2 3 2" xfId="449"/>
    <cellStyle name="20% - Accent4 2 2 3 2 2" xfId="930"/>
    <cellStyle name="20% - Accent4 2 2 3 3" xfId="690"/>
    <cellStyle name="20% - Accent4 2 2 4" xfId="329"/>
    <cellStyle name="20% - Accent4 2 2 4 2" xfId="810"/>
    <cellStyle name="20% - Accent4 2 2 5" xfId="570"/>
    <cellStyle name="20% - Accent4 2 3" xfId="118"/>
    <cellStyle name="20% - Accent4 2 3 2" xfId="239"/>
    <cellStyle name="20% - Accent4 2 3 2 2" xfId="480"/>
    <cellStyle name="20% - Accent4 2 3 2 2 2" xfId="961"/>
    <cellStyle name="20% - Accent4 2 3 2 3" xfId="721"/>
    <cellStyle name="20% - Accent4 2 3 3" xfId="360"/>
    <cellStyle name="20% - Accent4 2 3 3 2" xfId="841"/>
    <cellStyle name="20% - Accent4 2 3 4" xfId="601"/>
    <cellStyle name="20% - Accent4 2 4" xfId="179"/>
    <cellStyle name="20% - Accent4 2 4 2" xfId="420"/>
    <cellStyle name="20% - Accent4 2 4 2 2" xfId="901"/>
    <cellStyle name="20% - Accent4 2 4 3" xfId="661"/>
    <cellStyle name="20% - Accent4 2 5" xfId="300"/>
    <cellStyle name="20% - Accent4 2 5 2" xfId="781"/>
    <cellStyle name="20% - Accent4 2 6" xfId="541"/>
    <cellStyle name="20% - Accent4 3" xfId="70"/>
    <cellStyle name="20% - Accent4 3 2" xfId="131"/>
    <cellStyle name="20% - Accent4 3 2 2" xfId="252"/>
    <cellStyle name="20% - Accent4 3 2 2 2" xfId="493"/>
    <cellStyle name="20% - Accent4 3 2 2 2 2" xfId="974"/>
    <cellStyle name="20% - Accent4 3 2 2 3" xfId="734"/>
    <cellStyle name="20% - Accent4 3 2 3" xfId="373"/>
    <cellStyle name="20% - Accent4 3 2 3 2" xfId="854"/>
    <cellStyle name="20% - Accent4 3 2 4" xfId="614"/>
    <cellStyle name="20% - Accent4 3 3" xfId="192"/>
    <cellStyle name="20% - Accent4 3 3 2" xfId="433"/>
    <cellStyle name="20% - Accent4 3 3 2 2" xfId="914"/>
    <cellStyle name="20% - Accent4 3 3 3" xfId="674"/>
    <cellStyle name="20% - Accent4 3 4" xfId="313"/>
    <cellStyle name="20% - Accent4 3 4 2" xfId="794"/>
    <cellStyle name="20% - Accent4 3 5" xfId="554"/>
    <cellStyle name="20% - Accent4 4" xfId="99"/>
    <cellStyle name="20% - Accent4 4 2" xfId="221"/>
    <cellStyle name="20% - Accent4 4 2 2" xfId="462"/>
    <cellStyle name="20% - Accent4 4 2 2 2" xfId="943"/>
    <cellStyle name="20% - Accent4 4 2 3" xfId="703"/>
    <cellStyle name="20% - Accent4 4 3" xfId="342"/>
    <cellStyle name="20% - Accent4 4 3 2" xfId="823"/>
    <cellStyle name="20% - Accent4 4 4" xfId="583"/>
    <cellStyle name="20% - Accent4 5" xfId="160"/>
    <cellStyle name="20% - Accent4 5 2" xfId="402"/>
    <cellStyle name="20% - Accent4 5 2 2" xfId="883"/>
    <cellStyle name="20% - Accent4 5 3" xfId="643"/>
    <cellStyle name="20% - Accent4 6" xfId="281"/>
    <cellStyle name="20% - Accent4 6 2" xfId="763"/>
    <cellStyle name="20% - Accent4 7" xfId="522"/>
    <cellStyle name="20% - Accent5" xfId="37" builtinId="46" customBuiltin="1"/>
    <cellStyle name="20% - Accent5 2" xfId="59"/>
    <cellStyle name="20% - Accent5 2 2" xfId="88"/>
    <cellStyle name="20% - Accent5 2 2 2" xfId="149"/>
    <cellStyle name="20% - Accent5 2 2 2 2" xfId="270"/>
    <cellStyle name="20% - Accent5 2 2 2 2 2" xfId="511"/>
    <cellStyle name="20% - Accent5 2 2 2 2 2 2" xfId="992"/>
    <cellStyle name="20% - Accent5 2 2 2 2 3" xfId="752"/>
    <cellStyle name="20% - Accent5 2 2 2 3" xfId="391"/>
    <cellStyle name="20% - Accent5 2 2 2 3 2" xfId="872"/>
    <cellStyle name="20% - Accent5 2 2 2 4" xfId="632"/>
    <cellStyle name="20% - Accent5 2 2 3" xfId="210"/>
    <cellStyle name="20% - Accent5 2 2 3 2" xfId="451"/>
    <cellStyle name="20% - Accent5 2 2 3 2 2" xfId="932"/>
    <cellStyle name="20% - Accent5 2 2 3 3" xfId="692"/>
    <cellStyle name="20% - Accent5 2 2 4" xfId="331"/>
    <cellStyle name="20% - Accent5 2 2 4 2" xfId="812"/>
    <cellStyle name="20% - Accent5 2 2 5" xfId="572"/>
    <cellStyle name="20% - Accent5 2 3" xfId="120"/>
    <cellStyle name="20% - Accent5 2 3 2" xfId="241"/>
    <cellStyle name="20% - Accent5 2 3 2 2" xfId="482"/>
    <cellStyle name="20% - Accent5 2 3 2 2 2" xfId="963"/>
    <cellStyle name="20% - Accent5 2 3 2 3" xfId="723"/>
    <cellStyle name="20% - Accent5 2 3 3" xfId="362"/>
    <cellStyle name="20% - Accent5 2 3 3 2" xfId="843"/>
    <cellStyle name="20% - Accent5 2 3 4" xfId="603"/>
    <cellStyle name="20% - Accent5 2 4" xfId="181"/>
    <cellStyle name="20% - Accent5 2 4 2" xfId="422"/>
    <cellStyle name="20% - Accent5 2 4 2 2" xfId="903"/>
    <cellStyle name="20% - Accent5 2 4 3" xfId="663"/>
    <cellStyle name="20% - Accent5 2 5" xfId="302"/>
    <cellStyle name="20% - Accent5 2 5 2" xfId="783"/>
    <cellStyle name="20% - Accent5 2 6" xfId="543"/>
    <cellStyle name="20% - Accent5 3" xfId="72"/>
    <cellStyle name="20% - Accent5 3 2" xfId="133"/>
    <cellStyle name="20% - Accent5 3 2 2" xfId="254"/>
    <cellStyle name="20% - Accent5 3 2 2 2" xfId="495"/>
    <cellStyle name="20% - Accent5 3 2 2 2 2" xfId="976"/>
    <cellStyle name="20% - Accent5 3 2 2 3" xfId="736"/>
    <cellStyle name="20% - Accent5 3 2 3" xfId="375"/>
    <cellStyle name="20% - Accent5 3 2 3 2" xfId="856"/>
    <cellStyle name="20% - Accent5 3 2 4" xfId="616"/>
    <cellStyle name="20% - Accent5 3 3" xfId="194"/>
    <cellStyle name="20% - Accent5 3 3 2" xfId="435"/>
    <cellStyle name="20% - Accent5 3 3 2 2" xfId="916"/>
    <cellStyle name="20% - Accent5 3 3 3" xfId="676"/>
    <cellStyle name="20% - Accent5 3 4" xfId="315"/>
    <cellStyle name="20% - Accent5 3 4 2" xfId="796"/>
    <cellStyle name="20% - Accent5 3 5" xfId="556"/>
    <cellStyle name="20% - Accent5 4" xfId="101"/>
    <cellStyle name="20% - Accent5 4 2" xfId="223"/>
    <cellStyle name="20% - Accent5 4 2 2" xfId="464"/>
    <cellStyle name="20% - Accent5 4 2 2 2" xfId="945"/>
    <cellStyle name="20% - Accent5 4 2 3" xfId="705"/>
    <cellStyle name="20% - Accent5 4 3" xfId="344"/>
    <cellStyle name="20% - Accent5 4 3 2" xfId="825"/>
    <cellStyle name="20% - Accent5 4 4" xfId="585"/>
    <cellStyle name="20% - Accent5 5" xfId="162"/>
    <cellStyle name="20% - Accent5 5 2" xfId="404"/>
    <cellStyle name="20% - Accent5 5 2 2" xfId="885"/>
    <cellStyle name="20% - Accent5 5 3" xfId="645"/>
    <cellStyle name="20% - Accent5 6" xfId="283"/>
    <cellStyle name="20% - Accent5 6 2" xfId="765"/>
    <cellStyle name="20% - Accent5 7" xfId="524"/>
    <cellStyle name="20% - Accent6" xfId="41" builtinId="50" customBuiltin="1"/>
    <cellStyle name="20% - Accent6 2" xfId="61"/>
    <cellStyle name="20% - Accent6 2 2" xfId="90"/>
    <cellStyle name="20% - Accent6 2 2 2" xfId="151"/>
    <cellStyle name="20% - Accent6 2 2 2 2" xfId="272"/>
    <cellStyle name="20% - Accent6 2 2 2 2 2" xfId="513"/>
    <cellStyle name="20% - Accent6 2 2 2 2 2 2" xfId="994"/>
    <cellStyle name="20% - Accent6 2 2 2 2 3" xfId="754"/>
    <cellStyle name="20% - Accent6 2 2 2 3" xfId="393"/>
    <cellStyle name="20% - Accent6 2 2 2 3 2" xfId="874"/>
    <cellStyle name="20% - Accent6 2 2 2 4" xfId="634"/>
    <cellStyle name="20% - Accent6 2 2 3" xfId="212"/>
    <cellStyle name="20% - Accent6 2 2 3 2" xfId="453"/>
    <cellStyle name="20% - Accent6 2 2 3 2 2" xfId="934"/>
    <cellStyle name="20% - Accent6 2 2 3 3" xfId="694"/>
    <cellStyle name="20% - Accent6 2 2 4" xfId="333"/>
    <cellStyle name="20% - Accent6 2 2 4 2" xfId="814"/>
    <cellStyle name="20% - Accent6 2 2 5" xfId="574"/>
    <cellStyle name="20% - Accent6 2 3" xfId="122"/>
    <cellStyle name="20% - Accent6 2 3 2" xfId="243"/>
    <cellStyle name="20% - Accent6 2 3 2 2" xfId="484"/>
    <cellStyle name="20% - Accent6 2 3 2 2 2" xfId="965"/>
    <cellStyle name="20% - Accent6 2 3 2 3" xfId="725"/>
    <cellStyle name="20% - Accent6 2 3 3" xfId="364"/>
    <cellStyle name="20% - Accent6 2 3 3 2" xfId="845"/>
    <cellStyle name="20% - Accent6 2 3 4" xfId="605"/>
    <cellStyle name="20% - Accent6 2 4" xfId="183"/>
    <cellStyle name="20% - Accent6 2 4 2" xfId="424"/>
    <cellStyle name="20% - Accent6 2 4 2 2" xfId="905"/>
    <cellStyle name="20% - Accent6 2 4 3" xfId="665"/>
    <cellStyle name="20% - Accent6 2 5" xfId="304"/>
    <cellStyle name="20% - Accent6 2 5 2" xfId="785"/>
    <cellStyle name="20% - Accent6 2 6" xfId="545"/>
    <cellStyle name="20% - Accent6 3" xfId="74"/>
    <cellStyle name="20% - Accent6 3 2" xfId="135"/>
    <cellStyle name="20% - Accent6 3 2 2" xfId="256"/>
    <cellStyle name="20% - Accent6 3 2 2 2" xfId="497"/>
    <cellStyle name="20% - Accent6 3 2 2 2 2" xfId="978"/>
    <cellStyle name="20% - Accent6 3 2 2 3" xfId="738"/>
    <cellStyle name="20% - Accent6 3 2 3" xfId="377"/>
    <cellStyle name="20% - Accent6 3 2 3 2" xfId="858"/>
    <cellStyle name="20% - Accent6 3 2 4" xfId="618"/>
    <cellStyle name="20% - Accent6 3 3" xfId="196"/>
    <cellStyle name="20% - Accent6 3 3 2" xfId="437"/>
    <cellStyle name="20% - Accent6 3 3 2 2" xfId="918"/>
    <cellStyle name="20% - Accent6 3 3 3" xfId="678"/>
    <cellStyle name="20% - Accent6 3 4" xfId="317"/>
    <cellStyle name="20% - Accent6 3 4 2" xfId="798"/>
    <cellStyle name="20% - Accent6 3 5" xfId="558"/>
    <cellStyle name="20% - Accent6 4" xfId="103"/>
    <cellStyle name="20% - Accent6 4 2" xfId="225"/>
    <cellStyle name="20% - Accent6 4 2 2" xfId="466"/>
    <cellStyle name="20% - Accent6 4 2 2 2" xfId="947"/>
    <cellStyle name="20% - Accent6 4 2 3" xfId="707"/>
    <cellStyle name="20% - Accent6 4 3" xfId="346"/>
    <cellStyle name="20% - Accent6 4 3 2" xfId="827"/>
    <cellStyle name="20% - Accent6 4 4" xfId="587"/>
    <cellStyle name="20% - Accent6 5" xfId="164"/>
    <cellStyle name="20% - Accent6 5 2" xfId="406"/>
    <cellStyle name="20% - Accent6 5 2 2" xfId="887"/>
    <cellStyle name="20% - Accent6 5 3" xfId="647"/>
    <cellStyle name="20% - Accent6 6" xfId="285"/>
    <cellStyle name="20% - Accent6 6 2" xfId="767"/>
    <cellStyle name="20% - Accent6 7" xfId="526"/>
    <cellStyle name="40% - Accent1" xfId="22" builtinId="31" customBuiltin="1"/>
    <cellStyle name="40% - Accent1 2" xfId="52"/>
    <cellStyle name="40% - Accent1 2 2" xfId="81"/>
    <cellStyle name="40% - Accent1 2 2 2" xfId="142"/>
    <cellStyle name="40% - Accent1 2 2 2 2" xfId="263"/>
    <cellStyle name="40% - Accent1 2 2 2 2 2" xfId="504"/>
    <cellStyle name="40% - Accent1 2 2 2 2 2 2" xfId="985"/>
    <cellStyle name="40% - Accent1 2 2 2 2 3" xfId="745"/>
    <cellStyle name="40% - Accent1 2 2 2 3" xfId="384"/>
    <cellStyle name="40% - Accent1 2 2 2 3 2" xfId="865"/>
    <cellStyle name="40% - Accent1 2 2 2 4" xfId="625"/>
    <cellStyle name="40% - Accent1 2 2 3" xfId="203"/>
    <cellStyle name="40% - Accent1 2 2 3 2" xfId="444"/>
    <cellStyle name="40% - Accent1 2 2 3 2 2" xfId="925"/>
    <cellStyle name="40% - Accent1 2 2 3 3" xfId="685"/>
    <cellStyle name="40% - Accent1 2 2 4" xfId="324"/>
    <cellStyle name="40% - Accent1 2 2 4 2" xfId="805"/>
    <cellStyle name="40% - Accent1 2 2 5" xfId="565"/>
    <cellStyle name="40% - Accent1 2 3" xfId="113"/>
    <cellStyle name="40% - Accent1 2 3 2" xfId="234"/>
    <cellStyle name="40% - Accent1 2 3 2 2" xfId="475"/>
    <cellStyle name="40% - Accent1 2 3 2 2 2" xfId="956"/>
    <cellStyle name="40% - Accent1 2 3 2 3" xfId="716"/>
    <cellStyle name="40% - Accent1 2 3 3" xfId="355"/>
    <cellStyle name="40% - Accent1 2 3 3 2" xfId="836"/>
    <cellStyle name="40% - Accent1 2 3 4" xfId="596"/>
    <cellStyle name="40% - Accent1 2 4" xfId="174"/>
    <cellStyle name="40% - Accent1 2 4 2" xfId="415"/>
    <cellStyle name="40% - Accent1 2 4 2 2" xfId="896"/>
    <cellStyle name="40% - Accent1 2 4 3" xfId="656"/>
    <cellStyle name="40% - Accent1 2 5" xfId="295"/>
    <cellStyle name="40% - Accent1 2 5 2" xfId="776"/>
    <cellStyle name="40% - Accent1 2 6" xfId="536"/>
    <cellStyle name="40% - Accent1 3" xfId="65"/>
    <cellStyle name="40% - Accent1 3 2" xfId="126"/>
    <cellStyle name="40% - Accent1 3 2 2" xfId="247"/>
    <cellStyle name="40% - Accent1 3 2 2 2" xfId="488"/>
    <cellStyle name="40% - Accent1 3 2 2 2 2" xfId="969"/>
    <cellStyle name="40% - Accent1 3 2 2 3" xfId="729"/>
    <cellStyle name="40% - Accent1 3 2 3" xfId="368"/>
    <cellStyle name="40% - Accent1 3 2 3 2" xfId="849"/>
    <cellStyle name="40% - Accent1 3 2 4" xfId="609"/>
    <cellStyle name="40% - Accent1 3 3" xfId="187"/>
    <cellStyle name="40% - Accent1 3 3 2" xfId="428"/>
    <cellStyle name="40% - Accent1 3 3 2 2" xfId="909"/>
    <cellStyle name="40% - Accent1 3 3 3" xfId="669"/>
    <cellStyle name="40% - Accent1 3 4" xfId="308"/>
    <cellStyle name="40% - Accent1 3 4 2" xfId="789"/>
    <cellStyle name="40% - Accent1 3 5" xfId="549"/>
    <cellStyle name="40% - Accent1 4" xfId="94"/>
    <cellStyle name="40% - Accent1 4 2" xfId="216"/>
    <cellStyle name="40% - Accent1 4 2 2" xfId="457"/>
    <cellStyle name="40% - Accent1 4 2 2 2" xfId="938"/>
    <cellStyle name="40% - Accent1 4 2 3" xfId="698"/>
    <cellStyle name="40% - Accent1 4 3" xfId="337"/>
    <cellStyle name="40% - Accent1 4 3 2" xfId="818"/>
    <cellStyle name="40% - Accent1 4 4" xfId="578"/>
    <cellStyle name="40% - Accent1 5" xfId="155"/>
    <cellStyle name="40% - Accent1 5 2" xfId="397"/>
    <cellStyle name="40% - Accent1 5 2 2" xfId="878"/>
    <cellStyle name="40% - Accent1 5 3" xfId="638"/>
    <cellStyle name="40% - Accent1 6" xfId="276"/>
    <cellStyle name="40% - Accent1 6 2" xfId="758"/>
    <cellStyle name="40% - Accent1 7" xfId="517"/>
    <cellStyle name="40% - Accent2" xfId="26" builtinId="35" customBuiltin="1"/>
    <cellStyle name="40% - Accent2 2" xfId="54"/>
    <cellStyle name="40% - Accent2 2 2" xfId="83"/>
    <cellStyle name="40% - Accent2 2 2 2" xfId="144"/>
    <cellStyle name="40% - Accent2 2 2 2 2" xfId="265"/>
    <cellStyle name="40% - Accent2 2 2 2 2 2" xfId="506"/>
    <cellStyle name="40% - Accent2 2 2 2 2 2 2" xfId="987"/>
    <cellStyle name="40% - Accent2 2 2 2 2 3" xfId="747"/>
    <cellStyle name="40% - Accent2 2 2 2 3" xfId="386"/>
    <cellStyle name="40% - Accent2 2 2 2 3 2" xfId="867"/>
    <cellStyle name="40% - Accent2 2 2 2 4" xfId="627"/>
    <cellStyle name="40% - Accent2 2 2 3" xfId="205"/>
    <cellStyle name="40% - Accent2 2 2 3 2" xfId="446"/>
    <cellStyle name="40% - Accent2 2 2 3 2 2" xfId="927"/>
    <cellStyle name="40% - Accent2 2 2 3 3" xfId="687"/>
    <cellStyle name="40% - Accent2 2 2 4" xfId="326"/>
    <cellStyle name="40% - Accent2 2 2 4 2" xfId="807"/>
    <cellStyle name="40% - Accent2 2 2 5" xfId="567"/>
    <cellStyle name="40% - Accent2 2 3" xfId="115"/>
    <cellStyle name="40% - Accent2 2 3 2" xfId="236"/>
    <cellStyle name="40% - Accent2 2 3 2 2" xfId="477"/>
    <cellStyle name="40% - Accent2 2 3 2 2 2" xfId="958"/>
    <cellStyle name="40% - Accent2 2 3 2 3" xfId="718"/>
    <cellStyle name="40% - Accent2 2 3 3" xfId="357"/>
    <cellStyle name="40% - Accent2 2 3 3 2" xfId="838"/>
    <cellStyle name="40% - Accent2 2 3 4" xfId="598"/>
    <cellStyle name="40% - Accent2 2 4" xfId="176"/>
    <cellStyle name="40% - Accent2 2 4 2" xfId="417"/>
    <cellStyle name="40% - Accent2 2 4 2 2" xfId="898"/>
    <cellStyle name="40% - Accent2 2 4 3" xfId="658"/>
    <cellStyle name="40% - Accent2 2 5" xfId="297"/>
    <cellStyle name="40% - Accent2 2 5 2" xfId="778"/>
    <cellStyle name="40% - Accent2 2 6" xfId="538"/>
    <cellStyle name="40% - Accent2 3" xfId="67"/>
    <cellStyle name="40% - Accent2 3 2" xfId="128"/>
    <cellStyle name="40% - Accent2 3 2 2" xfId="249"/>
    <cellStyle name="40% - Accent2 3 2 2 2" xfId="490"/>
    <cellStyle name="40% - Accent2 3 2 2 2 2" xfId="971"/>
    <cellStyle name="40% - Accent2 3 2 2 3" xfId="731"/>
    <cellStyle name="40% - Accent2 3 2 3" xfId="370"/>
    <cellStyle name="40% - Accent2 3 2 3 2" xfId="851"/>
    <cellStyle name="40% - Accent2 3 2 4" xfId="611"/>
    <cellStyle name="40% - Accent2 3 3" xfId="189"/>
    <cellStyle name="40% - Accent2 3 3 2" xfId="430"/>
    <cellStyle name="40% - Accent2 3 3 2 2" xfId="911"/>
    <cellStyle name="40% - Accent2 3 3 3" xfId="671"/>
    <cellStyle name="40% - Accent2 3 4" xfId="310"/>
    <cellStyle name="40% - Accent2 3 4 2" xfId="791"/>
    <cellStyle name="40% - Accent2 3 5" xfId="551"/>
    <cellStyle name="40% - Accent2 4" xfId="96"/>
    <cellStyle name="40% - Accent2 4 2" xfId="218"/>
    <cellStyle name="40% - Accent2 4 2 2" xfId="459"/>
    <cellStyle name="40% - Accent2 4 2 2 2" xfId="940"/>
    <cellStyle name="40% - Accent2 4 2 3" xfId="700"/>
    <cellStyle name="40% - Accent2 4 3" xfId="339"/>
    <cellStyle name="40% - Accent2 4 3 2" xfId="820"/>
    <cellStyle name="40% - Accent2 4 4" xfId="580"/>
    <cellStyle name="40% - Accent2 5" xfId="157"/>
    <cellStyle name="40% - Accent2 5 2" xfId="399"/>
    <cellStyle name="40% - Accent2 5 2 2" xfId="880"/>
    <cellStyle name="40% - Accent2 5 3" xfId="640"/>
    <cellStyle name="40% - Accent2 6" xfId="278"/>
    <cellStyle name="40% - Accent2 6 2" xfId="760"/>
    <cellStyle name="40% - Accent2 7" xfId="519"/>
    <cellStyle name="40% - Accent3" xfId="30" builtinId="39" customBuiltin="1"/>
    <cellStyle name="40% - Accent3 2" xfId="56"/>
    <cellStyle name="40% - Accent3 2 2" xfId="85"/>
    <cellStyle name="40% - Accent3 2 2 2" xfId="146"/>
    <cellStyle name="40% - Accent3 2 2 2 2" xfId="267"/>
    <cellStyle name="40% - Accent3 2 2 2 2 2" xfId="508"/>
    <cellStyle name="40% - Accent3 2 2 2 2 2 2" xfId="989"/>
    <cellStyle name="40% - Accent3 2 2 2 2 3" xfId="749"/>
    <cellStyle name="40% - Accent3 2 2 2 3" xfId="388"/>
    <cellStyle name="40% - Accent3 2 2 2 3 2" xfId="869"/>
    <cellStyle name="40% - Accent3 2 2 2 4" xfId="629"/>
    <cellStyle name="40% - Accent3 2 2 3" xfId="207"/>
    <cellStyle name="40% - Accent3 2 2 3 2" xfId="448"/>
    <cellStyle name="40% - Accent3 2 2 3 2 2" xfId="929"/>
    <cellStyle name="40% - Accent3 2 2 3 3" xfId="689"/>
    <cellStyle name="40% - Accent3 2 2 4" xfId="328"/>
    <cellStyle name="40% - Accent3 2 2 4 2" xfId="809"/>
    <cellStyle name="40% - Accent3 2 2 5" xfId="569"/>
    <cellStyle name="40% - Accent3 2 3" xfId="117"/>
    <cellStyle name="40% - Accent3 2 3 2" xfId="238"/>
    <cellStyle name="40% - Accent3 2 3 2 2" xfId="479"/>
    <cellStyle name="40% - Accent3 2 3 2 2 2" xfId="960"/>
    <cellStyle name="40% - Accent3 2 3 2 3" xfId="720"/>
    <cellStyle name="40% - Accent3 2 3 3" xfId="359"/>
    <cellStyle name="40% - Accent3 2 3 3 2" xfId="840"/>
    <cellStyle name="40% - Accent3 2 3 4" xfId="600"/>
    <cellStyle name="40% - Accent3 2 4" xfId="178"/>
    <cellStyle name="40% - Accent3 2 4 2" xfId="419"/>
    <cellStyle name="40% - Accent3 2 4 2 2" xfId="900"/>
    <cellStyle name="40% - Accent3 2 4 3" xfId="660"/>
    <cellStyle name="40% - Accent3 2 5" xfId="299"/>
    <cellStyle name="40% - Accent3 2 5 2" xfId="780"/>
    <cellStyle name="40% - Accent3 2 6" xfId="540"/>
    <cellStyle name="40% - Accent3 3" xfId="69"/>
    <cellStyle name="40% - Accent3 3 2" xfId="130"/>
    <cellStyle name="40% - Accent3 3 2 2" xfId="251"/>
    <cellStyle name="40% - Accent3 3 2 2 2" xfId="492"/>
    <cellStyle name="40% - Accent3 3 2 2 2 2" xfId="973"/>
    <cellStyle name="40% - Accent3 3 2 2 3" xfId="733"/>
    <cellStyle name="40% - Accent3 3 2 3" xfId="372"/>
    <cellStyle name="40% - Accent3 3 2 3 2" xfId="853"/>
    <cellStyle name="40% - Accent3 3 2 4" xfId="613"/>
    <cellStyle name="40% - Accent3 3 3" xfId="191"/>
    <cellStyle name="40% - Accent3 3 3 2" xfId="432"/>
    <cellStyle name="40% - Accent3 3 3 2 2" xfId="913"/>
    <cellStyle name="40% - Accent3 3 3 3" xfId="673"/>
    <cellStyle name="40% - Accent3 3 4" xfId="312"/>
    <cellStyle name="40% - Accent3 3 4 2" xfId="793"/>
    <cellStyle name="40% - Accent3 3 5" xfId="553"/>
    <cellStyle name="40% - Accent3 4" xfId="98"/>
    <cellStyle name="40% - Accent3 4 2" xfId="220"/>
    <cellStyle name="40% - Accent3 4 2 2" xfId="461"/>
    <cellStyle name="40% - Accent3 4 2 2 2" xfId="942"/>
    <cellStyle name="40% - Accent3 4 2 3" xfId="702"/>
    <cellStyle name="40% - Accent3 4 3" xfId="341"/>
    <cellStyle name="40% - Accent3 4 3 2" xfId="822"/>
    <cellStyle name="40% - Accent3 4 4" xfId="582"/>
    <cellStyle name="40% - Accent3 5" xfId="159"/>
    <cellStyle name="40% - Accent3 5 2" xfId="401"/>
    <cellStyle name="40% - Accent3 5 2 2" xfId="882"/>
    <cellStyle name="40% - Accent3 5 3" xfId="642"/>
    <cellStyle name="40% - Accent3 6" xfId="280"/>
    <cellStyle name="40% - Accent3 6 2" xfId="762"/>
    <cellStyle name="40% - Accent3 7" xfId="521"/>
    <cellStyle name="40% - Accent4" xfId="34" builtinId="43" customBuiltin="1"/>
    <cellStyle name="40% - Accent4 2" xfId="58"/>
    <cellStyle name="40% - Accent4 2 2" xfId="87"/>
    <cellStyle name="40% - Accent4 2 2 2" xfId="148"/>
    <cellStyle name="40% - Accent4 2 2 2 2" xfId="269"/>
    <cellStyle name="40% - Accent4 2 2 2 2 2" xfId="510"/>
    <cellStyle name="40% - Accent4 2 2 2 2 2 2" xfId="991"/>
    <cellStyle name="40% - Accent4 2 2 2 2 3" xfId="751"/>
    <cellStyle name="40% - Accent4 2 2 2 3" xfId="390"/>
    <cellStyle name="40% - Accent4 2 2 2 3 2" xfId="871"/>
    <cellStyle name="40% - Accent4 2 2 2 4" xfId="631"/>
    <cellStyle name="40% - Accent4 2 2 3" xfId="209"/>
    <cellStyle name="40% - Accent4 2 2 3 2" xfId="450"/>
    <cellStyle name="40% - Accent4 2 2 3 2 2" xfId="931"/>
    <cellStyle name="40% - Accent4 2 2 3 3" xfId="691"/>
    <cellStyle name="40% - Accent4 2 2 4" xfId="330"/>
    <cellStyle name="40% - Accent4 2 2 4 2" xfId="811"/>
    <cellStyle name="40% - Accent4 2 2 5" xfId="571"/>
    <cellStyle name="40% - Accent4 2 3" xfId="119"/>
    <cellStyle name="40% - Accent4 2 3 2" xfId="240"/>
    <cellStyle name="40% - Accent4 2 3 2 2" xfId="481"/>
    <cellStyle name="40% - Accent4 2 3 2 2 2" xfId="962"/>
    <cellStyle name="40% - Accent4 2 3 2 3" xfId="722"/>
    <cellStyle name="40% - Accent4 2 3 3" xfId="361"/>
    <cellStyle name="40% - Accent4 2 3 3 2" xfId="842"/>
    <cellStyle name="40% - Accent4 2 3 4" xfId="602"/>
    <cellStyle name="40% - Accent4 2 4" xfId="180"/>
    <cellStyle name="40% - Accent4 2 4 2" xfId="421"/>
    <cellStyle name="40% - Accent4 2 4 2 2" xfId="902"/>
    <cellStyle name="40% - Accent4 2 4 3" xfId="662"/>
    <cellStyle name="40% - Accent4 2 5" xfId="301"/>
    <cellStyle name="40% - Accent4 2 5 2" xfId="782"/>
    <cellStyle name="40% - Accent4 2 6" xfId="542"/>
    <cellStyle name="40% - Accent4 3" xfId="71"/>
    <cellStyle name="40% - Accent4 3 2" xfId="132"/>
    <cellStyle name="40% - Accent4 3 2 2" xfId="253"/>
    <cellStyle name="40% - Accent4 3 2 2 2" xfId="494"/>
    <cellStyle name="40% - Accent4 3 2 2 2 2" xfId="975"/>
    <cellStyle name="40% - Accent4 3 2 2 3" xfId="735"/>
    <cellStyle name="40% - Accent4 3 2 3" xfId="374"/>
    <cellStyle name="40% - Accent4 3 2 3 2" xfId="855"/>
    <cellStyle name="40% - Accent4 3 2 4" xfId="615"/>
    <cellStyle name="40% - Accent4 3 3" xfId="193"/>
    <cellStyle name="40% - Accent4 3 3 2" xfId="434"/>
    <cellStyle name="40% - Accent4 3 3 2 2" xfId="915"/>
    <cellStyle name="40% - Accent4 3 3 3" xfId="675"/>
    <cellStyle name="40% - Accent4 3 4" xfId="314"/>
    <cellStyle name="40% - Accent4 3 4 2" xfId="795"/>
    <cellStyle name="40% - Accent4 3 5" xfId="555"/>
    <cellStyle name="40% - Accent4 4" xfId="100"/>
    <cellStyle name="40% - Accent4 4 2" xfId="222"/>
    <cellStyle name="40% - Accent4 4 2 2" xfId="463"/>
    <cellStyle name="40% - Accent4 4 2 2 2" xfId="944"/>
    <cellStyle name="40% - Accent4 4 2 3" xfId="704"/>
    <cellStyle name="40% - Accent4 4 3" xfId="343"/>
    <cellStyle name="40% - Accent4 4 3 2" xfId="824"/>
    <cellStyle name="40% - Accent4 4 4" xfId="584"/>
    <cellStyle name="40% - Accent4 5" xfId="161"/>
    <cellStyle name="40% - Accent4 5 2" xfId="403"/>
    <cellStyle name="40% - Accent4 5 2 2" xfId="884"/>
    <cellStyle name="40% - Accent4 5 3" xfId="644"/>
    <cellStyle name="40% - Accent4 6" xfId="282"/>
    <cellStyle name="40% - Accent4 6 2" xfId="764"/>
    <cellStyle name="40% - Accent4 7" xfId="523"/>
    <cellStyle name="40% - Accent5" xfId="38" builtinId="47" customBuiltin="1"/>
    <cellStyle name="40% - Accent5 2" xfId="60"/>
    <cellStyle name="40% - Accent5 2 2" xfId="89"/>
    <cellStyle name="40% - Accent5 2 2 2" xfId="150"/>
    <cellStyle name="40% - Accent5 2 2 2 2" xfId="271"/>
    <cellStyle name="40% - Accent5 2 2 2 2 2" xfId="512"/>
    <cellStyle name="40% - Accent5 2 2 2 2 2 2" xfId="993"/>
    <cellStyle name="40% - Accent5 2 2 2 2 3" xfId="753"/>
    <cellStyle name="40% - Accent5 2 2 2 3" xfId="392"/>
    <cellStyle name="40% - Accent5 2 2 2 3 2" xfId="873"/>
    <cellStyle name="40% - Accent5 2 2 2 4" xfId="633"/>
    <cellStyle name="40% - Accent5 2 2 3" xfId="211"/>
    <cellStyle name="40% - Accent5 2 2 3 2" xfId="452"/>
    <cellStyle name="40% - Accent5 2 2 3 2 2" xfId="933"/>
    <cellStyle name="40% - Accent5 2 2 3 3" xfId="693"/>
    <cellStyle name="40% - Accent5 2 2 4" xfId="332"/>
    <cellStyle name="40% - Accent5 2 2 4 2" xfId="813"/>
    <cellStyle name="40% - Accent5 2 2 5" xfId="573"/>
    <cellStyle name="40% - Accent5 2 3" xfId="121"/>
    <cellStyle name="40% - Accent5 2 3 2" xfId="242"/>
    <cellStyle name="40% - Accent5 2 3 2 2" xfId="483"/>
    <cellStyle name="40% - Accent5 2 3 2 2 2" xfId="964"/>
    <cellStyle name="40% - Accent5 2 3 2 3" xfId="724"/>
    <cellStyle name="40% - Accent5 2 3 3" xfId="363"/>
    <cellStyle name="40% - Accent5 2 3 3 2" xfId="844"/>
    <cellStyle name="40% - Accent5 2 3 4" xfId="604"/>
    <cellStyle name="40% - Accent5 2 4" xfId="182"/>
    <cellStyle name="40% - Accent5 2 4 2" xfId="423"/>
    <cellStyle name="40% - Accent5 2 4 2 2" xfId="904"/>
    <cellStyle name="40% - Accent5 2 4 3" xfId="664"/>
    <cellStyle name="40% - Accent5 2 5" xfId="303"/>
    <cellStyle name="40% - Accent5 2 5 2" xfId="784"/>
    <cellStyle name="40% - Accent5 2 6" xfId="544"/>
    <cellStyle name="40% - Accent5 3" xfId="73"/>
    <cellStyle name="40% - Accent5 3 2" xfId="134"/>
    <cellStyle name="40% - Accent5 3 2 2" xfId="255"/>
    <cellStyle name="40% - Accent5 3 2 2 2" xfId="496"/>
    <cellStyle name="40% - Accent5 3 2 2 2 2" xfId="977"/>
    <cellStyle name="40% - Accent5 3 2 2 3" xfId="737"/>
    <cellStyle name="40% - Accent5 3 2 3" xfId="376"/>
    <cellStyle name="40% - Accent5 3 2 3 2" xfId="857"/>
    <cellStyle name="40% - Accent5 3 2 4" xfId="617"/>
    <cellStyle name="40% - Accent5 3 3" xfId="195"/>
    <cellStyle name="40% - Accent5 3 3 2" xfId="436"/>
    <cellStyle name="40% - Accent5 3 3 2 2" xfId="917"/>
    <cellStyle name="40% - Accent5 3 3 3" xfId="677"/>
    <cellStyle name="40% - Accent5 3 4" xfId="316"/>
    <cellStyle name="40% - Accent5 3 4 2" xfId="797"/>
    <cellStyle name="40% - Accent5 3 5" xfId="557"/>
    <cellStyle name="40% - Accent5 4" xfId="102"/>
    <cellStyle name="40% - Accent5 4 2" xfId="224"/>
    <cellStyle name="40% - Accent5 4 2 2" xfId="465"/>
    <cellStyle name="40% - Accent5 4 2 2 2" xfId="946"/>
    <cellStyle name="40% - Accent5 4 2 3" xfId="706"/>
    <cellStyle name="40% - Accent5 4 3" xfId="345"/>
    <cellStyle name="40% - Accent5 4 3 2" xfId="826"/>
    <cellStyle name="40% - Accent5 4 4" xfId="586"/>
    <cellStyle name="40% - Accent5 5" xfId="163"/>
    <cellStyle name="40% - Accent5 5 2" xfId="405"/>
    <cellStyle name="40% - Accent5 5 2 2" xfId="886"/>
    <cellStyle name="40% - Accent5 5 3" xfId="646"/>
    <cellStyle name="40% - Accent5 6" xfId="284"/>
    <cellStyle name="40% - Accent5 6 2" xfId="766"/>
    <cellStyle name="40% - Accent5 7" xfId="525"/>
    <cellStyle name="40% - Accent6" xfId="42" builtinId="51" customBuiltin="1"/>
    <cellStyle name="40% - Accent6 2" xfId="62"/>
    <cellStyle name="40% - Accent6 2 2" xfId="91"/>
    <cellStyle name="40% - Accent6 2 2 2" xfId="152"/>
    <cellStyle name="40% - Accent6 2 2 2 2" xfId="273"/>
    <cellStyle name="40% - Accent6 2 2 2 2 2" xfId="514"/>
    <cellStyle name="40% - Accent6 2 2 2 2 2 2" xfId="995"/>
    <cellStyle name="40% - Accent6 2 2 2 2 3" xfId="755"/>
    <cellStyle name="40% - Accent6 2 2 2 3" xfId="394"/>
    <cellStyle name="40% - Accent6 2 2 2 3 2" xfId="875"/>
    <cellStyle name="40% - Accent6 2 2 2 4" xfId="635"/>
    <cellStyle name="40% - Accent6 2 2 3" xfId="213"/>
    <cellStyle name="40% - Accent6 2 2 3 2" xfId="454"/>
    <cellStyle name="40% - Accent6 2 2 3 2 2" xfId="935"/>
    <cellStyle name="40% - Accent6 2 2 3 3" xfId="695"/>
    <cellStyle name="40% - Accent6 2 2 4" xfId="334"/>
    <cellStyle name="40% - Accent6 2 2 4 2" xfId="815"/>
    <cellStyle name="40% - Accent6 2 2 5" xfId="575"/>
    <cellStyle name="40% - Accent6 2 3" xfId="123"/>
    <cellStyle name="40% - Accent6 2 3 2" xfId="244"/>
    <cellStyle name="40% - Accent6 2 3 2 2" xfId="485"/>
    <cellStyle name="40% - Accent6 2 3 2 2 2" xfId="966"/>
    <cellStyle name="40% - Accent6 2 3 2 3" xfId="726"/>
    <cellStyle name="40% - Accent6 2 3 3" xfId="365"/>
    <cellStyle name="40% - Accent6 2 3 3 2" xfId="846"/>
    <cellStyle name="40% - Accent6 2 3 4" xfId="606"/>
    <cellStyle name="40% - Accent6 2 4" xfId="184"/>
    <cellStyle name="40% - Accent6 2 4 2" xfId="425"/>
    <cellStyle name="40% - Accent6 2 4 2 2" xfId="906"/>
    <cellStyle name="40% - Accent6 2 4 3" xfId="666"/>
    <cellStyle name="40% - Accent6 2 5" xfId="305"/>
    <cellStyle name="40% - Accent6 2 5 2" xfId="786"/>
    <cellStyle name="40% - Accent6 2 6" xfId="546"/>
    <cellStyle name="40% - Accent6 3" xfId="75"/>
    <cellStyle name="40% - Accent6 3 2" xfId="136"/>
    <cellStyle name="40% - Accent6 3 2 2" xfId="257"/>
    <cellStyle name="40% - Accent6 3 2 2 2" xfId="498"/>
    <cellStyle name="40% - Accent6 3 2 2 2 2" xfId="979"/>
    <cellStyle name="40% - Accent6 3 2 2 3" xfId="739"/>
    <cellStyle name="40% - Accent6 3 2 3" xfId="378"/>
    <cellStyle name="40% - Accent6 3 2 3 2" xfId="859"/>
    <cellStyle name="40% - Accent6 3 2 4" xfId="619"/>
    <cellStyle name="40% - Accent6 3 3" xfId="197"/>
    <cellStyle name="40% - Accent6 3 3 2" xfId="438"/>
    <cellStyle name="40% - Accent6 3 3 2 2" xfId="919"/>
    <cellStyle name="40% - Accent6 3 3 3" xfId="679"/>
    <cellStyle name="40% - Accent6 3 4" xfId="318"/>
    <cellStyle name="40% - Accent6 3 4 2" xfId="799"/>
    <cellStyle name="40% - Accent6 3 5" xfId="559"/>
    <cellStyle name="40% - Accent6 4" xfId="104"/>
    <cellStyle name="40% - Accent6 4 2" xfId="226"/>
    <cellStyle name="40% - Accent6 4 2 2" xfId="467"/>
    <cellStyle name="40% - Accent6 4 2 2 2" xfId="948"/>
    <cellStyle name="40% - Accent6 4 2 3" xfId="708"/>
    <cellStyle name="40% - Accent6 4 3" xfId="347"/>
    <cellStyle name="40% - Accent6 4 3 2" xfId="828"/>
    <cellStyle name="40% - Accent6 4 4" xfId="588"/>
    <cellStyle name="40% - Accent6 5" xfId="165"/>
    <cellStyle name="40% - Accent6 5 2" xfId="407"/>
    <cellStyle name="40% - Accent6 5 2 2" xfId="888"/>
    <cellStyle name="40% - Accent6 5 3" xfId="648"/>
    <cellStyle name="40% - Accent6 6" xfId="286"/>
    <cellStyle name="40% - Accent6 6 2" xfId="768"/>
    <cellStyle name="40% - Accent6 7" xfId="52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287"/>
    <cellStyle name="Normal 11" xfId="274"/>
    <cellStyle name="Normal 11 2" xfId="756"/>
    <cellStyle name="Normal 12" xfId="528"/>
    <cellStyle name="Normal 13" xfId="515"/>
    <cellStyle name="Normal 2" xfId="46"/>
    <cellStyle name="Normal 3" xfId="47"/>
    <cellStyle name="Normal 3 2" xfId="3"/>
    <cellStyle name="Normal 3 2 2" xfId="45"/>
    <cellStyle name="Normal 3 2 2 2" xfId="107"/>
    <cellStyle name="Normal 3 2 2 2 2" xfId="228"/>
    <cellStyle name="Normal 3 2 2 2 2 2" xfId="469"/>
    <cellStyle name="Normal 3 2 2 2 2 2 2" xfId="950"/>
    <cellStyle name="Normal 3 2 2 2 2 3" xfId="710"/>
    <cellStyle name="Normal 3 2 2 2 3" xfId="349"/>
    <cellStyle name="Normal 3 2 2 2 3 2" xfId="830"/>
    <cellStyle name="Normal 3 2 2 2 4" xfId="590"/>
    <cellStyle name="Normal 3 2 2 3" xfId="168"/>
    <cellStyle name="Normal 3 2 2 3 2" xfId="409"/>
    <cellStyle name="Normal 3 2 2 3 2 2" xfId="890"/>
    <cellStyle name="Normal 3 2 2 3 3" xfId="650"/>
    <cellStyle name="Normal 3 2 2 4" xfId="289"/>
    <cellStyle name="Normal 3 2 2 4 2" xfId="770"/>
    <cellStyle name="Normal 3 2 2 5" xfId="530"/>
    <cellStyle name="Normal 3 2 3" xfId="63"/>
    <cellStyle name="Normal 3 2 3 2" xfId="124"/>
    <cellStyle name="Normal 3 2 3 2 2" xfId="245"/>
    <cellStyle name="Normal 3 2 3 2 2 2" xfId="486"/>
    <cellStyle name="Normal 3 2 3 2 2 2 2" xfId="967"/>
    <cellStyle name="Normal 3 2 3 2 2 3" xfId="727"/>
    <cellStyle name="Normal 3 2 3 2 3" xfId="366"/>
    <cellStyle name="Normal 3 2 3 2 3 2" xfId="847"/>
    <cellStyle name="Normal 3 2 3 2 4" xfId="607"/>
    <cellStyle name="Normal 3 2 3 3" xfId="185"/>
    <cellStyle name="Normal 3 2 3 3 2" xfId="426"/>
    <cellStyle name="Normal 3 2 3 3 2 2" xfId="907"/>
    <cellStyle name="Normal 3 2 3 3 3" xfId="667"/>
    <cellStyle name="Normal 3 2 3 4" xfId="306"/>
    <cellStyle name="Normal 3 2 3 4 2" xfId="787"/>
    <cellStyle name="Normal 3 2 3 5" xfId="547"/>
    <cellStyle name="Normal 3 2 4" xfId="106"/>
    <cellStyle name="Normal 3 2 4 2" xfId="227"/>
    <cellStyle name="Normal 3 2 4 2 2" xfId="468"/>
    <cellStyle name="Normal 3 2 4 2 2 2" xfId="949"/>
    <cellStyle name="Normal 3 2 4 2 3" xfId="709"/>
    <cellStyle name="Normal 3 2 4 3" xfId="348"/>
    <cellStyle name="Normal 3 2 4 3 2" xfId="829"/>
    <cellStyle name="Normal 3 2 4 4" xfId="589"/>
    <cellStyle name="Normal 3 2 5" xfId="167"/>
    <cellStyle name="Normal 3 2 5 2" xfId="408"/>
    <cellStyle name="Normal 3 2 5 2 2" xfId="889"/>
    <cellStyle name="Normal 3 2 5 3" xfId="649"/>
    <cellStyle name="Normal 3 2 6" xfId="288"/>
    <cellStyle name="Normal 3 2 6 2" xfId="769"/>
    <cellStyle name="Normal 3 2 7" xfId="529"/>
    <cellStyle name="Normal 3 3" xfId="76"/>
    <cellStyle name="Normal 3 3 2" xfId="137"/>
    <cellStyle name="Normal 3 3 2 2" xfId="258"/>
    <cellStyle name="Normal 3 3 2 2 2" xfId="499"/>
    <cellStyle name="Normal 3 3 2 2 2 2" xfId="980"/>
    <cellStyle name="Normal 3 3 2 2 3" xfId="740"/>
    <cellStyle name="Normal 3 3 2 3" xfId="379"/>
    <cellStyle name="Normal 3 3 2 3 2" xfId="860"/>
    <cellStyle name="Normal 3 3 2 4" xfId="620"/>
    <cellStyle name="Normal 3 3 3" xfId="198"/>
    <cellStyle name="Normal 3 3 3 2" xfId="439"/>
    <cellStyle name="Normal 3 3 3 2 2" xfId="920"/>
    <cellStyle name="Normal 3 3 3 3" xfId="680"/>
    <cellStyle name="Normal 3 3 4" xfId="319"/>
    <cellStyle name="Normal 3 3 4 2" xfId="800"/>
    <cellStyle name="Normal 3 3 5" xfId="560"/>
    <cellStyle name="Normal 3 4" xfId="108"/>
    <cellStyle name="Normal 3 4 2" xfId="229"/>
    <cellStyle name="Normal 3 4 2 2" xfId="470"/>
    <cellStyle name="Normal 3 4 2 2 2" xfId="951"/>
    <cellStyle name="Normal 3 4 2 3" xfId="711"/>
    <cellStyle name="Normal 3 4 3" xfId="350"/>
    <cellStyle name="Normal 3 4 3 2" xfId="831"/>
    <cellStyle name="Normal 3 4 4" xfId="591"/>
    <cellStyle name="Normal 3 5" xfId="169"/>
    <cellStyle name="Normal 3 5 2" xfId="410"/>
    <cellStyle name="Normal 3 5 2 2" xfId="891"/>
    <cellStyle name="Normal 3 5 3" xfId="651"/>
    <cellStyle name="Normal 3 6" xfId="290"/>
    <cellStyle name="Normal 3 6 2" xfId="771"/>
    <cellStyle name="Normal 3 7" xfId="531"/>
    <cellStyle name="Normal 4" xfId="49"/>
    <cellStyle name="Normal 4 2" xfId="78"/>
    <cellStyle name="Normal 4 2 2" xfId="139"/>
    <cellStyle name="Normal 4 2 2 2" xfId="260"/>
    <cellStyle name="Normal 4 2 2 2 2" xfId="501"/>
    <cellStyle name="Normal 4 2 2 2 2 2" xfId="982"/>
    <cellStyle name="Normal 4 2 2 2 3" xfId="742"/>
    <cellStyle name="Normal 4 2 2 3" xfId="381"/>
    <cellStyle name="Normal 4 2 2 3 2" xfId="862"/>
    <cellStyle name="Normal 4 2 2 4" xfId="622"/>
    <cellStyle name="Normal 4 2 3" xfId="200"/>
    <cellStyle name="Normal 4 2 3 2" xfId="441"/>
    <cellStyle name="Normal 4 2 3 2 2" xfId="922"/>
    <cellStyle name="Normal 4 2 3 3" xfId="682"/>
    <cellStyle name="Normal 4 2 4" xfId="321"/>
    <cellStyle name="Normal 4 2 4 2" xfId="802"/>
    <cellStyle name="Normal 4 2 5" xfId="562"/>
    <cellStyle name="Normal 4 3" xfId="110"/>
    <cellStyle name="Normal 4 3 2" xfId="231"/>
    <cellStyle name="Normal 4 3 2 2" xfId="472"/>
    <cellStyle name="Normal 4 3 2 2 2" xfId="953"/>
    <cellStyle name="Normal 4 3 2 3" xfId="713"/>
    <cellStyle name="Normal 4 3 3" xfId="352"/>
    <cellStyle name="Normal 4 3 3 2" xfId="833"/>
    <cellStyle name="Normal 4 3 4" xfId="593"/>
    <cellStyle name="Normal 4 4" xfId="171"/>
    <cellStyle name="Normal 4 4 2" xfId="412"/>
    <cellStyle name="Normal 4 4 2 2" xfId="893"/>
    <cellStyle name="Normal 4 4 3" xfId="653"/>
    <cellStyle name="Normal 4 5" xfId="292"/>
    <cellStyle name="Normal 4 5 2" xfId="773"/>
    <cellStyle name="Normal 4 6" xfId="533"/>
    <cellStyle name="Normal 5" xfId="44"/>
    <cellStyle name="Normal 6" xfId="105"/>
    <cellStyle name="Normal 7" xfId="92"/>
    <cellStyle name="Normal 7 2" xfId="214"/>
    <cellStyle name="Normal 7 2 2" xfId="455"/>
    <cellStyle name="Normal 7 2 2 2" xfId="936"/>
    <cellStyle name="Normal 7 2 3" xfId="696"/>
    <cellStyle name="Normal 7 3" xfId="335"/>
    <cellStyle name="Normal 7 3 2" xfId="816"/>
    <cellStyle name="Normal 7 4" xfId="576"/>
    <cellStyle name="Normal 8" xfId="166"/>
    <cellStyle name="Normal 9" xfId="153"/>
    <cellStyle name="Normal 9 2" xfId="395"/>
    <cellStyle name="Normal 9 2 2" xfId="876"/>
    <cellStyle name="Normal 9 3" xfId="636"/>
    <cellStyle name="Normal_BarLoader" xfId="2"/>
    <cellStyle name="Note 2" xfId="48"/>
    <cellStyle name="Note 2 2" xfId="77"/>
    <cellStyle name="Note 2 2 2" xfId="138"/>
    <cellStyle name="Note 2 2 2 2" xfId="259"/>
    <cellStyle name="Note 2 2 2 2 2" xfId="500"/>
    <cellStyle name="Note 2 2 2 2 2 2" xfId="981"/>
    <cellStyle name="Note 2 2 2 2 3" xfId="741"/>
    <cellStyle name="Note 2 2 2 3" xfId="380"/>
    <cellStyle name="Note 2 2 2 3 2" xfId="861"/>
    <cellStyle name="Note 2 2 2 4" xfId="621"/>
    <cellStyle name="Note 2 2 3" xfId="199"/>
    <cellStyle name="Note 2 2 3 2" xfId="440"/>
    <cellStyle name="Note 2 2 3 2 2" xfId="921"/>
    <cellStyle name="Note 2 2 3 3" xfId="681"/>
    <cellStyle name="Note 2 2 4" xfId="320"/>
    <cellStyle name="Note 2 2 4 2" xfId="801"/>
    <cellStyle name="Note 2 2 5" xfId="561"/>
    <cellStyle name="Note 2 3" xfId="109"/>
    <cellStyle name="Note 2 3 2" xfId="230"/>
    <cellStyle name="Note 2 3 2 2" xfId="471"/>
    <cellStyle name="Note 2 3 2 2 2" xfId="952"/>
    <cellStyle name="Note 2 3 2 3" xfId="712"/>
    <cellStyle name="Note 2 3 3" xfId="351"/>
    <cellStyle name="Note 2 3 3 2" xfId="832"/>
    <cellStyle name="Note 2 3 4" xfId="592"/>
    <cellStyle name="Note 2 4" xfId="170"/>
    <cellStyle name="Note 2 4 2" xfId="411"/>
    <cellStyle name="Note 2 4 2 2" xfId="892"/>
    <cellStyle name="Note 2 4 3" xfId="652"/>
    <cellStyle name="Note 2 5" xfId="291"/>
    <cellStyle name="Note 2 5 2" xfId="772"/>
    <cellStyle name="Note 2 6" xfId="532"/>
    <cellStyle name="Note 3" xfId="50"/>
    <cellStyle name="Note 3 2" xfId="79"/>
    <cellStyle name="Note 3 2 2" xfId="140"/>
    <cellStyle name="Note 3 2 2 2" xfId="261"/>
    <cellStyle name="Note 3 2 2 2 2" xfId="502"/>
    <cellStyle name="Note 3 2 2 2 2 2" xfId="983"/>
    <cellStyle name="Note 3 2 2 2 3" xfId="743"/>
    <cellStyle name="Note 3 2 2 3" xfId="382"/>
    <cellStyle name="Note 3 2 2 3 2" xfId="863"/>
    <cellStyle name="Note 3 2 2 4" xfId="623"/>
    <cellStyle name="Note 3 2 3" xfId="201"/>
    <cellStyle name="Note 3 2 3 2" xfId="442"/>
    <cellStyle name="Note 3 2 3 2 2" xfId="923"/>
    <cellStyle name="Note 3 2 3 3" xfId="683"/>
    <cellStyle name="Note 3 2 4" xfId="322"/>
    <cellStyle name="Note 3 2 4 2" xfId="803"/>
    <cellStyle name="Note 3 2 5" xfId="563"/>
    <cellStyle name="Note 3 3" xfId="111"/>
    <cellStyle name="Note 3 3 2" xfId="232"/>
    <cellStyle name="Note 3 3 2 2" xfId="473"/>
    <cellStyle name="Note 3 3 2 2 2" xfId="954"/>
    <cellStyle name="Note 3 3 2 3" xfId="714"/>
    <cellStyle name="Note 3 3 3" xfId="353"/>
    <cellStyle name="Note 3 3 3 2" xfId="834"/>
    <cellStyle name="Note 3 3 4" xfId="594"/>
    <cellStyle name="Note 3 4" xfId="172"/>
    <cellStyle name="Note 3 4 2" xfId="413"/>
    <cellStyle name="Note 3 4 2 2" xfId="894"/>
    <cellStyle name="Note 3 4 3" xfId="654"/>
    <cellStyle name="Note 3 5" xfId="293"/>
    <cellStyle name="Note 3 5 2" xfId="774"/>
    <cellStyle name="Note 3 6" xfId="534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12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7862648"/>
        <c:axId val="557861080"/>
      </c:barChart>
      <c:catAx>
        <c:axId val="557862648"/>
        <c:scaling>
          <c:orientation val="minMax"/>
        </c:scaling>
        <c:delete val="1"/>
        <c:axPos val="l"/>
        <c:majorTickMark val="out"/>
        <c:minorTickMark val="none"/>
        <c:tickLblPos val="none"/>
        <c:crossAx val="557861080"/>
        <c:crosses val="autoZero"/>
        <c:auto val="1"/>
        <c:lblAlgn val="ctr"/>
        <c:lblOffset val="100"/>
        <c:noMultiLvlLbl val="0"/>
      </c:catAx>
      <c:valAx>
        <c:axId val="557861080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557862648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7851672"/>
        <c:axId val="557857944"/>
      </c:barChart>
      <c:catAx>
        <c:axId val="557851672"/>
        <c:scaling>
          <c:orientation val="minMax"/>
        </c:scaling>
        <c:delete val="1"/>
        <c:axPos val="l"/>
        <c:majorTickMark val="out"/>
        <c:minorTickMark val="none"/>
        <c:tickLblPos val="none"/>
        <c:crossAx val="557857944"/>
        <c:crosses val="autoZero"/>
        <c:auto val="1"/>
        <c:lblAlgn val="ctr"/>
        <c:lblOffset val="100"/>
        <c:noMultiLvlLbl val="0"/>
      </c:catAx>
      <c:valAx>
        <c:axId val="557857944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557851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/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/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/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/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/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/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/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/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/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/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88900</xdr:colOff>
      <xdr:row>5</xdr:row>
      <xdr:rowOff>217714</xdr:rowOff>
    </xdr:to>
    <xdr:graphicFrame macro="">
      <xdr:nvGraphicFramePr>
        <xdr:cNvPr id="57518" name="Chart 3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/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1036320</xdr:colOff>
          <xdr:row>5</xdr:row>
          <xdr:rowOff>236220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236220</xdr:colOff>
          <xdr:row>5</xdr:row>
          <xdr:rowOff>38100</xdr:rowOff>
        </xdr:from>
        <xdr:to>
          <xdr:col>7</xdr:col>
          <xdr:colOff>403860</xdr:colOff>
          <xdr:row>5</xdr:row>
          <xdr:rowOff>220980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256137</xdr:colOff>
      <xdr:row>7</xdr:row>
      <xdr:rowOff>226519</xdr:rowOff>
    </xdr:from>
    <xdr:to>
      <xdr:col>14</xdr:col>
      <xdr:colOff>215315</xdr:colOff>
      <xdr:row>14</xdr:row>
      <xdr:rowOff>271343</xdr:rowOff>
    </xdr:to>
    <xdr:graphicFrame macro="">
      <xdr:nvGraphicFramePr>
        <xdr:cNvPr id="3" name="Chart 30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BF247"/>
  <sheetViews>
    <sheetView zoomScaleNormal="100" workbookViewId="0">
      <selection activeCell="N2" sqref="N2"/>
    </sheetView>
  </sheetViews>
  <sheetFormatPr defaultColWidth="9.109375" defaultRowHeight="13.2" x14ac:dyDescent="0.25"/>
  <cols>
    <col min="1" max="1" width="3.44140625" style="7" customWidth="1"/>
    <col min="2" max="2" width="1.88671875" style="7" customWidth="1"/>
    <col min="3" max="3" width="8.5546875" style="8" customWidth="1"/>
    <col min="4" max="4" width="7.88671875" style="8" customWidth="1"/>
    <col min="5" max="5" width="8" style="8" customWidth="1"/>
    <col min="6" max="6" width="8.5546875" style="7" customWidth="1"/>
    <col min="7" max="7" width="7.88671875" style="7" customWidth="1"/>
    <col min="8" max="8" width="8" style="7" customWidth="1"/>
    <col min="9" max="9" width="1.88671875" style="7" customWidth="1"/>
    <col min="10" max="10" width="9.109375" style="8" hidden="1" customWidth="1"/>
    <col min="11" max="11" width="9.109375" style="76"/>
    <col min="12" max="12" width="9.109375" style="7" hidden="1" customWidth="1"/>
    <col min="13" max="13" width="9.109375" style="169"/>
    <col min="14" max="14" width="2" style="7" customWidth="1"/>
    <col min="15" max="15" width="18" style="8" customWidth="1"/>
    <col min="16" max="16" width="44.88671875" style="7" customWidth="1"/>
    <col min="17" max="17" width="8.6640625" style="7" customWidth="1"/>
    <col min="18" max="18" width="2" style="7" customWidth="1"/>
    <col min="19" max="19" width="8.6640625" style="7" customWidth="1"/>
    <col min="20" max="20" width="8.5546875" style="7" customWidth="1"/>
    <col min="21" max="23" width="9.109375" style="7"/>
    <col min="24" max="24" width="0" style="7" hidden="1" customWidth="1"/>
    <col min="25" max="28" width="9.109375" style="7"/>
    <col min="29" max="29" width="3.44140625" style="7" customWidth="1"/>
    <col min="30" max="32" width="9.109375" style="7" hidden="1" customWidth="1"/>
    <col min="33" max="16384" width="9.109375" style="7"/>
  </cols>
  <sheetData>
    <row r="1" spans="3:58" ht="13.8" thickBot="1" x14ac:dyDescent="0.3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3">
      <c r="C2" s="347" t="s">
        <v>683</v>
      </c>
      <c r="D2" s="348"/>
      <c r="E2" s="348"/>
      <c r="F2" s="348"/>
      <c r="G2" s="348"/>
      <c r="H2" s="349"/>
      <c r="K2" s="284" t="s">
        <v>684</v>
      </c>
      <c r="L2" s="285"/>
      <c r="M2" s="286"/>
      <c r="O2" s="328" t="s">
        <v>62</v>
      </c>
      <c r="P2" s="329"/>
      <c r="Q2" s="330"/>
      <c r="S2" s="313" t="s">
        <v>109</v>
      </c>
      <c r="T2" s="314"/>
      <c r="X2" s="7" t="s">
        <v>163</v>
      </c>
    </row>
    <row r="3" spans="3:58" ht="13.8" thickBot="1" x14ac:dyDescent="0.3">
      <c r="X3" s="7" t="s">
        <v>164</v>
      </c>
      <c r="AD3" s="260" t="s">
        <v>352</v>
      </c>
      <c r="AE3" s="261">
        <f>$G$22</f>
        <v>30</v>
      </c>
      <c r="AF3" s="7">
        <f>$D$22</f>
        <v>65</v>
      </c>
    </row>
    <row r="4" spans="3:58" ht="13.5" customHeight="1" x14ac:dyDescent="0.25">
      <c r="C4" s="322" t="s">
        <v>79</v>
      </c>
      <c r="D4" s="323"/>
      <c r="E4" s="323"/>
      <c r="F4" s="323"/>
      <c r="G4" s="345"/>
      <c r="H4" s="331" t="s">
        <v>158</v>
      </c>
      <c r="K4" s="287" t="s">
        <v>84</v>
      </c>
      <c r="L4" s="288"/>
      <c r="M4" s="289"/>
      <c r="O4" s="322" t="s">
        <v>86</v>
      </c>
      <c r="P4" s="323"/>
      <c r="Q4" s="324"/>
      <c r="S4" s="315" t="s">
        <v>76</v>
      </c>
      <c r="T4" s="317" t="s">
        <v>110</v>
      </c>
      <c r="AD4" s="260" t="s">
        <v>33</v>
      </c>
      <c r="AE4" s="261">
        <f>$G$23</f>
        <v>25</v>
      </c>
      <c r="AF4" s="7">
        <f>$D$23</f>
        <v>55</v>
      </c>
    </row>
    <row r="5" spans="3:58" ht="13.5" customHeight="1" x14ac:dyDescent="0.25">
      <c r="C5" s="325"/>
      <c r="D5" s="326"/>
      <c r="E5" s="326"/>
      <c r="F5" s="326"/>
      <c r="G5" s="346"/>
      <c r="H5" s="332"/>
      <c r="K5" s="342"/>
      <c r="L5" s="343"/>
      <c r="M5" s="344"/>
      <c r="O5" s="325"/>
      <c r="P5" s="326"/>
      <c r="Q5" s="327"/>
      <c r="S5" s="316"/>
      <c r="T5" s="318"/>
      <c r="AD5" s="260" t="s">
        <v>35</v>
      </c>
      <c r="AE5" s="261">
        <f>$G$24</f>
        <v>25</v>
      </c>
      <c r="AF5" s="7">
        <f>$D$24</f>
        <v>55</v>
      </c>
    </row>
    <row r="6" spans="3:58" ht="13.5" customHeight="1" x14ac:dyDescent="0.25">
      <c r="C6" s="277" t="s">
        <v>61</v>
      </c>
      <c r="D6" s="278"/>
      <c r="E6" s="278"/>
      <c r="F6" s="278" t="s">
        <v>75</v>
      </c>
      <c r="G6" s="278"/>
      <c r="H6" s="333"/>
      <c r="K6" s="336" t="s">
        <v>159</v>
      </c>
      <c r="L6" s="337"/>
      <c r="M6" s="338"/>
      <c r="O6" s="235" t="s">
        <v>87</v>
      </c>
      <c r="P6" s="234" t="s">
        <v>88</v>
      </c>
      <c r="Q6" s="236" t="s">
        <v>89</v>
      </c>
      <c r="S6" s="78">
        <v>1</v>
      </c>
      <c r="T6" s="122">
        <v>3</v>
      </c>
    </row>
    <row r="7" spans="3:58" x14ac:dyDescent="0.25">
      <c r="C7" s="68" t="str">
        <f>LEFT(TRIM(Lifting!B3),1)</f>
        <v>S</v>
      </c>
      <c r="D7" s="6">
        <f ca="1">ABS(Lifting!D3)</f>
        <v>0</v>
      </c>
      <c r="E7" s="6"/>
      <c r="F7" s="6"/>
      <c r="G7" s="6">
        <f ca="1">ABS(Lifting!D3)</f>
        <v>0</v>
      </c>
      <c r="H7" s="10"/>
      <c r="I7" s="8"/>
      <c r="K7" s="339"/>
      <c r="L7" s="340"/>
      <c r="M7" s="341"/>
      <c r="O7" s="250" t="s">
        <v>170</v>
      </c>
      <c r="P7" s="251" t="s">
        <v>353</v>
      </c>
      <c r="Q7" s="252">
        <v>1</v>
      </c>
      <c r="S7" s="78"/>
      <c r="T7" s="122">
        <v>2</v>
      </c>
    </row>
    <row r="8" spans="3:58" ht="12.75" customHeight="1" x14ac:dyDescent="0.25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8" t="s">
        <v>9</v>
      </c>
      <c r="L8" s="77"/>
      <c r="M8" s="170" t="s">
        <v>10</v>
      </c>
      <c r="O8" s="250" t="s">
        <v>171</v>
      </c>
      <c r="P8" s="251" t="s">
        <v>354</v>
      </c>
      <c r="Q8" s="252">
        <v>1</v>
      </c>
      <c r="S8" s="78"/>
      <c r="T8" s="122">
        <v>1</v>
      </c>
    </row>
    <row r="9" spans="3:58" ht="12.75" customHeight="1" x14ac:dyDescent="0.25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72">
        <v>10</v>
      </c>
      <c r="K9" s="173">
        <v>52</v>
      </c>
      <c r="L9" s="222">
        <v>10</v>
      </c>
      <c r="M9" s="175">
        <v>44</v>
      </c>
      <c r="O9" s="250" t="s">
        <v>355</v>
      </c>
      <c r="P9" s="251" t="s">
        <v>356</v>
      </c>
      <c r="Q9" s="252">
        <v>1</v>
      </c>
      <c r="S9" s="78"/>
      <c r="T9" s="122">
        <v>0</v>
      </c>
    </row>
    <row r="10" spans="3:58" x14ac:dyDescent="0.25">
      <c r="C10" s="11">
        <v>0</v>
      </c>
      <c r="D10" s="6">
        <v>110</v>
      </c>
      <c r="E10" s="6">
        <f ca="1">IF(OR(D7=0,H4="Kg"),0,MIN(INT(($D$7-VLOOKUP($C$7,$AD$3:$AF$5,3,FALSE))/(2*D10)),C10/2))</f>
        <v>0</v>
      </c>
      <c r="F10" s="238">
        <v>0</v>
      </c>
      <c r="G10" s="237">
        <v>50</v>
      </c>
      <c r="H10" s="254">
        <f ca="1">IF(OR(G7=0,H4="Lb"),0,MIN(INT(($G$7-VLOOKUP($C$7,$AD$3:$AF$5,2,FALSE))/(2*G10)),F10/2))</f>
        <v>0</v>
      </c>
      <c r="I10" s="8"/>
      <c r="J10" s="172">
        <f>IF(K9="SHW",1000,IF(K10="",J9+1,IF(ISERROR(VLOOKUP(K9,DATA!$F$32:$G$59,2,FALSE)),K9,VLOOKUP(K9,DATA!$F$32:$G$59,2,FALSE))+0.0001))</f>
        <v>52.000100000000003</v>
      </c>
      <c r="K10" s="173">
        <v>56</v>
      </c>
      <c r="L10" s="222">
        <v>44.000100000000003</v>
      </c>
      <c r="M10" s="175">
        <v>48</v>
      </c>
      <c r="O10" s="250" t="s">
        <v>357</v>
      </c>
      <c r="P10" s="251" t="s">
        <v>358</v>
      </c>
      <c r="Q10" s="252">
        <v>1</v>
      </c>
      <c r="S10" s="78"/>
      <c r="T10" s="122">
        <v>0</v>
      </c>
    </row>
    <row r="11" spans="3:58" x14ac:dyDescent="0.25">
      <c r="C11" s="11">
        <v>8</v>
      </c>
      <c r="D11" s="6">
        <v>100</v>
      </c>
      <c r="E11" s="6">
        <f ca="1">IF(OR(D7=0,H4="Kg"),0,MIN(INT(($D$7-VLOOKUP($C$7,$AD$3:$AF$5,3,FALSE)-2*E10*D10)/(2*D11)),C11/2))</f>
        <v>0</v>
      </c>
      <c r="F11" s="238">
        <v>0</v>
      </c>
      <c r="G11" s="237">
        <v>45</v>
      </c>
      <c r="H11" s="254">
        <f ca="1">IF(OR(G7=0,H4="Lb"),0,MIN(INT(($G$7-VLOOKUP($C$7,$AD$3:$AF$5,2,FALSE)-2*H10*G10)/(2*G11)),F11/2))</f>
        <v>0</v>
      </c>
      <c r="I11" s="8"/>
      <c r="J11" s="172">
        <f>IF(K10="SHW",1000,IF(K11="",J10+1,IF(ISERROR(VLOOKUP(K10,DATA!$F$32:$G$59,2,FALSE)),K10,VLOOKUP(K10,DATA!$F$32:$G$59,2,FALSE))+0.001))</f>
        <v>56.000999999999998</v>
      </c>
      <c r="K11" s="173">
        <v>60</v>
      </c>
      <c r="L11" s="222">
        <v>48.000999999999998</v>
      </c>
      <c r="M11" s="175">
        <v>52</v>
      </c>
      <c r="O11" s="250" t="s">
        <v>172</v>
      </c>
      <c r="P11" s="251" t="s">
        <v>359</v>
      </c>
      <c r="Q11" s="252">
        <v>1</v>
      </c>
      <c r="S11" s="78"/>
      <c r="T11" s="122">
        <v>0</v>
      </c>
    </row>
    <row r="12" spans="3:58" x14ac:dyDescent="0.25">
      <c r="C12" s="11">
        <v>0</v>
      </c>
      <c r="D12" s="6">
        <v>50</v>
      </c>
      <c r="E12" s="6">
        <f ca="1">IF(OR(D7=0,H4="Kg"),0,MIN(INT(($D$7-VLOOKUP($C$7,$AD$3:$AF$5,3,FALSE)-2*E10*D10-2*E11*D11)/(2*D12)),C12/2))</f>
        <v>0</v>
      </c>
      <c r="F12" s="238">
        <v>16</v>
      </c>
      <c r="G12" s="237">
        <v>25</v>
      </c>
      <c r="H12" s="254">
        <f ca="1">IF(OR(G7=0,H4="Lb"),0,MIN(INT(($G$7-VLOOKUP($C$7,$AD$3:$AF$5,2,FALSE)-2*H10*G10-2*H11*G11)/(2*G12)),F12/2))</f>
        <v>0</v>
      </c>
      <c r="I12" s="8"/>
      <c r="J12" s="172">
        <f>IF(K11="SHW",1000,IF(K12="",J11+1,IF(ISERROR(VLOOKUP(K11,DATA!$F$32:$G$59,2,FALSE)),K11,VLOOKUP(K11,DATA!$F$32:$G$59,2,FALSE))+0.001))</f>
        <v>60.000999999999998</v>
      </c>
      <c r="K12" s="173">
        <v>67.5</v>
      </c>
      <c r="L12" s="222">
        <v>52.000999999999998</v>
      </c>
      <c r="M12" s="175">
        <v>56</v>
      </c>
      <c r="O12" s="250" t="s">
        <v>173</v>
      </c>
      <c r="P12" s="251" t="s">
        <v>360</v>
      </c>
      <c r="Q12" s="252">
        <v>1</v>
      </c>
      <c r="S12" s="78"/>
      <c r="T12" s="122">
        <v>0</v>
      </c>
    </row>
    <row r="13" spans="3:58" x14ac:dyDescent="0.25">
      <c r="C13" s="11">
        <v>10</v>
      </c>
      <c r="D13" s="6">
        <v>45</v>
      </c>
      <c r="E13" s="6">
        <f ca="1">IF(OR(D7=0,H4="Kg"),0,MIN(INT(($D$7-VLOOKUP($C$7,$AD$3:$AF$5,3,FALSE)-2*E10*D10-2*E11*D11-2*E12*D12)/(2*D13)),C13/2))</f>
        <v>0</v>
      </c>
      <c r="F13" s="238">
        <v>2</v>
      </c>
      <c r="G13" s="237">
        <v>20</v>
      </c>
      <c r="H13" s="254">
        <f ca="1">IF(OR(G7=0,H4="Lb"),0,MIN(INT(($G$7-VLOOKUP($C$7,$AD$3:$AF$5,2,FALSE)-2*H10*G10-2*H11*G11-2*H12*G12)/(2*G13)),F13/2))</f>
        <v>0</v>
      </c>
      <c r="I13" s="8"/>
      <c r="J13" s="172">
        <f>IF(K12="SHW",1000,IF(K13="",J12+1,IF(ISERROR(VLOOKUP(K12,DATA!$F$32:$G$59,2,FALSE)),K12,VLOOKUP(K12,DATA!$F$32:$G$59,2,FALSE))+0.001))</f>
        <v>67.501000000000005</v>
      </c>
      <c r="K13" s="173">
        <v>75</v>
      </c>
      <c r="L13" s="222">
        <v>56.000999999999998</v>
      </c>
      <c r="M13" s="175">
        <v>60</v>
      </c>
      <c r="O13" s="250" t="s">
        <v>174</v>
      </c>
      <c r="P13" s="251" t="s">
        <v>361</v>
      </c>
      <c r="Q13" s="252">
        <v>1</v>
      </c>
      <c r="S13" s="78"/>
      <c r="T13" s="122">
        <v>0</v>
      </c>
    </row>
    <row r="14" spans="3:58" x14ac:dyDescent="0.25">
      <c r="C14" s="11">
        <v>2</v>
      </c>
      <c r="D14" s="6">
        <v>35</v>
      </c>
      <c r="E14" s="6">
        <f ca="1">IF(OR(D7=0,H4="Kg"),0,MIN(INT(($D$7-VLOOKUP($C$7,$AD$3:$AF$5,3,FALSE)-2*E10*D10-2*E11*D11-2*E12*D12-2*E13*D13)/(2*D14)),C14/2))</f>
        <v>0</v>
      </c>
      <c r="F14" s="238">
        <v>2</v>
      </c>
      <c r="G14" s="237">
        <v>15</v>
      </c>
      <c r="H14" s="254">
        <f ca="1">IF(OR(G7=0,H4="Lb"),0,MIN(INT(($G$7-VLOOKUP($C$7,$AD$3:$AF$5,2,FALSE)-2*H10*G10-2*H11*G11-2*H12*G12-2*H13*G13)/(2*G14)),F14/2))</f>
        <v>0</v>
      </c>
      <c r="I14" s="8"/>
      <c r="J14" s="172">
        <f>IF(K13="SHW",1000,IF(K14="",J13+1,IF(ISERROR(VLOOKUP(K13,DATA!$F$32:$G$59,2,FALSE)),K13,VLOOKUP(K13,DATA!$F$32:$G$59,2,FALSE))+0.001))</f>
        <v>75.001000000000005</v>
      </c>
      <c r="K14" s="173">
        <v>82.5</v>
      </c>
      <c r="L14" s="222">
        <v>60.000999999999998</v>
      </c>
      <c r="M14" s="175">
        <v>67.5</v>
      </c>
      <c r="O14" s="250" t="s">
        <v>175</v>
      </c>
      <c r="P14" s="251" t="s">
        <v>362</v>
      </c>
      <c r="Q14" s="252">
        <v>1</v>
      </c>
      <c r="S14" s="78"/>
      <c r="T14" s="122">
        <v>0</v>
      </c>
      <c r="V14" s="261"/>
    </row>
    <row r="15" spans="3:58" ht="13.8" thickBot="1" x14ac:dyDescent="0.3">
      <c r="C15" s="11">
        <v>2</v>
      </c>
      <c r="D15" s="6">
        <v>25</v>
      </c>
      <c r="E15" s="6">
        <f ca="1">IF(OR(D7=0,H4="Kg"),0,MIN(INT(($D$7-VLOOKUP($C$7,$AD$3:$AF$5,3,FALSE)-2*E10*D10-2*E11*D11-2*E12*D12-2*E13*D13-2*E14*D14)/(2*D15)),C15/2))</f>
        <v>0</v>
      </c>
      <c r="F15" s="238">
        <v>2</v>
      </c>
      <c r="G15" s="237">
        <v>10</v>
      </c>
      <c r="H15" s="254">
        <f ca="1">IF(OR(G7=0,H4="Lb"),0,MIN(INT(($G$7-VLOOKUP($C$7,$AD$3:$AF$5,2,FALSE)-2*H10*G10-2*H11*G11-2*H12*G12-2*H13*G13-2*H14*G14)/(2*G15)),F15/2))</f>
        <v>0</v>
      </c>
      <c r="I15" s="8"/>
      <c r="J15" s="172">
        <f>IF(K14="SHW",1000,IF(K15="",J14+1,IF(ISERROR(VLOOKUP(K14,DATA!$F$32:$G$59,2,FALSE)),K14,VLOOKUP(K14,DATA!$F$32:$G$59,2,FALSE))+0.001))</f>
        <v>82.501000000000005</v>
      </c>
      <c r="K15" s="173">
        <v>90</v>
      </c>
      <c r="L15" s="222">
        <v>67.501000000000005</v>
      </c>
      <c r="M15" s="175">
        <v>75</v>
      </c>
      <c r="O15" s="250" t="s">
        <v>176</v>
      </c>
      <c r="P15" s="251" t="s">
        <v>363</v>
      </c>
      <c r="Q15" s="252">
        <v>1</v>
      </c>
      <c r="S15" s="79"/>
      <c r="T15" s="123">
        <v>0</v>
      </c>
    </row>
    <row r="16" spans="3:58" x14ac:dyDescent="0.25">
      <c r="C16" s="11">
        <v>4</v>
      </c>
      <c r="D16" s="6">
        <v>10</v>
      </c>
      <c r="E16" s="6">
        <f ca="1">IF(OR(D7=0,H4="Kg"),0,MIN(INT(($D$7-VLOOKUP($C$7,$AD$3:$AF$5,3,FALSE)-2*E10*D10-2*E11*D11-2*E12*D12-2*E13*D13-2*E14*D14-2*E15*D15)/(2*D16)),C16/2))</f>
        <v>0</v>
      </c>
      <c r="F16" s="238">
        <v>2</v>
      </c>
      <c r="G16" s="237">
        <v>5</v>
      </c>
      <c r="H16" s="254">
        <f ca="1">IF(OR(G7=0,H4="Lb"),0,MIN(INT(($G$7-VLOOKUP($C$7,$AD$3:$AF$5,2,FALSE)-2*H10*G10-2*H11*G11-2*H12*G12-2*H13*G13-2*H14*G14-2*H15*G15)/(2*G16)),F16/2))</f>
        <v>0</v>
      </c>
      <c r="I16" s="8"/>
      <c r="J16" s="172">
        <f>IF(K15="SHW",1000,IF(K16="",J15+1,IF(ISERROR(VLOOKUP(K15,DATA!$F$32:$G$59,2,FALSE)),K15,VLOOKUP(K15,DATA!$F$32:$G$59,2,FALSE))+0.001))</f>
        <v>90.001000000000005</v>
      </c>
      <c r="K16" s="173">
        <v>100</v>
      </c>
      <c r="L16" s="222">
        <v>75.001000000000005</v>
      </c>
      <c r="M16" s="175">
        <v>82.5</v>
      </c>
      <c r="O16" s="250" t="s">
        <v>177</v>
      </c>
      <c r="P16" s="251" t="s">
        <v>364</v>
      </c>
      <c r="Q16" s="252">
        <v>1</v>
      </c>
    </row>
    <row r="17" spans="3:17" x14ac:dyDescent="0.25">
      <c r="C17" s="11">
        <v>2</v>
      </c>
      <c r="D17" s="6">
        <v>5</v>
      </c>
      <c r="E17" s="6">
        <f ca="1">IF(OR(D7=0,H4="Kg"),0,MIN(INT(($D$7-VLOOKUP($C$7,$AD$3:$AF$5,3,FALSE)-2*E10*D10-2*E11*D11-2*E12*D12-2*E13*D13-2*E14*D14-2*E15*D15-2*E16*D16)/(2*D17)),C17/2))</f>
        <v>0</v>
      </c>
      <c r="F17" s="238">
        <v>2</v>
      </c>
      <c r="G17" s="237">
        <v>2.5</v>
      </c>
      <c r="H17" s="254">
        <f ca="1">IF(OR(G7=0,H4="Lb"),0,MIN(INT(($G$7-VLOOKUP($C$7,$AD$3:$AF$5,2,FALSE)-2*H10*G10-2*H11*G11-2*H12*G12-2*H13*G13-2*H14*G14-2*H15*G15-2*H16*G16)/(2*G17)),F17/2))</f>
        <v>0</v>
      </c>
      <c r="I17" s="8"/>
      <c r="J17" s="172">
        <f>IF(K16="SHW",1000,IF(K17="",J16+1,IF(ISERROR(VLOOKUP(K16,DATA!$F$32:$G$59,2,FALSE)),K16,VLOOKUP(K16,DATA!$F$32:$G$59,2,FALSE))+0.001))</f>
        <v>100.001</v>
      </c>
      <c r="K17" s="173">
        <v>110</v>
      </c>
      <c r="L17" s="222">
        <v>82.501000000000005</v>
      </c>
      <c r="M17" s="175">
        <v>90</v>
      </c>
      <c r="O17" s="250" t="s">
        <v>365</v>
      </c>
      <c r="P17" s="251" t="s">
        <v>366</v>
      </c>
      <c r="Q17" s="252">
        <v>1</v>
      </c>
    </row>
    <row r="18" spans="3:17" x14ac:dyDescent="0.25">
      <c r="C18" s="11">
        <v>2</v>
      </c>
      <c r="D18" s="6">
        <v>2.5</v>
      </c>
      <c r="E18" s="6">
        <f ca="1">IF(OR(D7=0,H4="Kg"),0,MIN(INT(($D$7-VLOOKUP($C$7,$AD$3:$AF$5,3,FALSE)-2*E10*D10-2*E11*D11-2*E12*D12-2*E13*D13-2*E14*D14-2*E15*D15-2*E16*D16-2*E17*D17)/(2*D18)),C18/2))</f>
        <v>0</v>
      </c>
      <c r="F18" s="238">
        <v>2</v>
      </c>
      <c r="G18" s="237">
        <v>1.25</v>
      </c>
      <c r="H18" s="254">
        <f ca="1">IF(OR(G7=0,H4="Lb"),0,INT(($G$7-VLOOKUP($C$7,$AD$3:$AF$5,2,FALSE)-2*H10*G10-2*H11*G11-2*H12*G12-2*H13*G13-2*H14*G14-2*H15*G15-2*H16*G16-2*H17*G17)/(2*G18)))</f>
        <v>0</v>
      </c>
      <c r="I18" s="8"/>
      <c r="J18" s="172">
        <f>IF(K17="SHW",1000,IF(K18="",J17+1,IF(ISERROR(VLOOKUP(K17,DATA!$F$32:$G$59,2,FALSE)),K17,VLOOKUP(K17,DATA!$F$32:$G$59,2,FALSE))+0.001))</f>
        <v>110.001</v>
      </c>
      <c r="K18" s="173">
        <v>125</v>
      </c>
      <c r="L18" s="222">
        <v>90.001000000000005</v>
      </c>
      <c r="M18" s="175" t="s">
        <v>81</v>
      </c>
      <c r="O18" s="250" t="s">
        <v>367</v>
      </c>
      <c r="P18" s="251" t="s">
        <v>368</v>
      </c>
      <c r="Q18" s="252">
        <v>1</v>
      </c>
    </row>
    <row r="19" spans="3:17" x14ac:dyDescent="0.25">
      <c r="C19" s="11">
        <v>0</v>
      </c>
      <c r="D19" s="6">
        <v>1</v>
      </c>
      <c r="E19" s="6">
        <f ca="1">IF(OR(D7=0,H4="Kg"),0,MIN(INT(($D$7-VLOOKUP($C$7,$AD$3:$AF$5,3,FALSE)-2*E10*D10-2*E11*D11-2*E12*D12-2*E13*D13-2*E14*D14-2*E15*D15-2*E16*D16-2*E17*D17-2*E18*D18)/(2*D19)),C19/2))</f>
        <v>0</v>
      </c>
      <c r="F19" s="238">
        <v>2</v>
      </c>
      <c r="G19" s="237">
        <v>0.5</v>
      </c>
      <c r="H19" s="254">
        <f ca="1">IF(OR(G7=0,H4="Lb"),0,INT(($G$7-VLOOKUP($C$7,$AD$3:$AF$5,2,FALSE)-2*H10*G10-2*H11*G11-2*H12*G12-2*H13*G13-2*H14*G14-2*H15*G15-2*H16*G16-2*H17*G17-2*H18*G18)/(2*G19)))</f>
        <v>0</v>
      </c>
      <c r="I19" s="8"/>
      <c r="J19" s="172">
        <f>IF(K18="SHW",1000,IF(K19="",J18+1,IF(ISERROR(VLOOKUP(K18,DATA!$F$32:$G$59,2,FALSE)),K18,VLOOKUP(K18,DATA!$F$32:$G$59,2,FALSE))+0.001))</f>
        <v>125.001</v>
      </c>
      <c r="K19" s="173">
        <v>140</v>
      </c>
      <c r="L19" s="222">
        <v>1000</v>
      </c>
      <c r="M19" s="175"/>
      <c r="O19" s="250" t="s">
        <v>178</v>
      </c>
      <c r="P19" s="251" t="s">
        <v>369</v>
      </c>
      <c r="Q19" s="252">
        <v>1</v>
      </c>
    </row>
    <row r="20" spans="3:17" x14ac:dyDescent="0.25">
      <c r="C20" s="11">
        <v>0</v>
      </c>
      <c r="D20" s="6">
        <v>0.5</v>
      </c>
      <c r="E20" s="6">
        <f ca="1">IF(OR(D7=0,H4="Kg"),0,MIN(INT(($D$7-VLOOKUP($C$7,$AD$3:$AF$5,3,FALSE)-2*E10*D10-2*E11*D11-2*E12*D12-2*E13*D13-2*E14*D14-2*E15*D15-2*E16*D16-2*E17*D17-2*E18*D18-2*E19*D19)/(2*D20)),C20/2))</f>
        <v>0</v>
      </c>
      <c r="F20" s="238">
        <v>0</v>
      </c>
      <c r="G20" s="237">
        <v>0.25</v>
      </c>
      <c r="H20" s="254">
        <f ca="1">IF(OR(G7=0,H4="Lb"),0,INT(($G$7-VLOOKUP($C$7,$AD$3:$AF$5,2,FALSE)-2*H10*G10-2*H11*G11-2*H12*G12-2*H13*G13-2*H14*G14-2*H15*G15-2*H16*G16-2*H17*G17-2*H18*G18-2*H19*G19)/(2*G20)))</f>
        <v>0</v>
      </c>
      <c r="I20" s="8"/>
      <c r="J20" s="172">
        <f>IF(K19="SHW",1000,IF(K20="",J19+1,IF(ISERROR(VLOOKUP(K19,DATA!$F$32:$G$59,2,FALSE)),K19,VLOOKUP(K19,DATA!$F$32:$G$59,2,FALSE))+0.001))</f>
        <v>140.001</v>
      </c>
      <c r="K20" s="173" t="s">
        <v>81</v>
      </c>
      <c r="L20" s="222">
        <v>1001</v>
      </c>
      <c r="M20" s="175"/>
      <c r="O20" s="250" t="s">
        <v>179</v>
      </c>
      <c r="P20" s="251" t="s">
        <v>370</v>
      </c>
      <c r="Q20" s="252">
        <v>1</v>
      </c>
    </row>
    <row r="21" spans="3:17" ht="13.8" thickBot="1" x14ac:dyDescent="0.3">
      <c r="C21" s="277" t="s">
        <v>78</v>
      </c>
      <c r="D21" s="278"/>
      <c r="E21" s="6">
        <v>1</v>
      </c>
      <c r="F21" s="321" t="s">
        <v>78</v>
      </c>
      <c r="G21" s="321"/>
      <c r="H21" s="10">
        <v>1</v>
      </c>
      <c r="I21" s="8"/>
      <c r="J21" s="172">
        <f>IF(K20="SHW",1000,IF(K21="",J20+1,IF(ISERROR(VLOOKUP(K20,DATA!$F$32:$G$59,2,FALSE)),K20,VLOOKUP(K20,DATA!$F$32:$G$59,2,FALSE))+0.001))</f>
        <v>1000</v>
      </c>
      <c r="K21" s="173"/>
      <c r="L21" s="172">
        <f>IF(M20="SHW",1000,IF(M21="",L20+1,IF(ISERROR(VLOOKUP(M20,DATA!$F$32:$G$59,2,FALSE)),M20,VLOOKUP(M20,DATA!$F$32:$G$59,2,FALSE))+0.001))</f>
        <v>1002</v>
      </c>
      <c r="M21" s="175"/>
      <c r="O21" s="250" t="s">
        <v>180</v>
      </c>
      <c r="P21" s="251" t="s">
        <v>371</v>
      </c>
      <c r="Q21" s="252">
        <v>1</v>
      </c>
    </row>
    <row r="22" spans="3:17" x14ac:dyDescent="0.25">
      <c r="C22" s="9" t="s">
        <v>77</v>
      </c>
      <c r="D22" s="62">
        <v>65</v>
      </c>
      <c r="E22" s="334" t="s">
        <v>61</v>
      </c>
      <c r="F22" s="253" t="s">
        <v>77</v>
      </c>
      <c r="G22" s="255">
        <v>30</v>
      </c>
      <c r="H22" s="319" t="s">
        <v>75</v>
      </c>
      <c r="I22" s="8"/>
      <c r="J22" s="172">
        <f>IF(K21="SHW",1000,IF(K22="",J21+1,IF(ISERROR(VLOOKUP(K21,DATA!$F$32:$G$59,2,FALSE)),K21,VLOOKUP(K21,DATA!$F$32:$G$59,2,FALSE))+0.001))</f>
        <v>1001</v>
      </c>
      <c r="K22" s="173"/>
      <c r="L22" s="172">
        <f>IF(M21="SHW",1000,IF(M22="",L21+1,IF(ISERROR(VLOOKUP(M21,DATA!$F$32:$G$59,2,FALSE)),M21,VLOOKUP(M21,DATA!$F$32:$G$59,2,FALSE))+0.001))</f>
        <v>1003</v>
      </c>
      <c r="M22" s="175"/>
      <c r="O22" s="250" t="s">
        <v>181</v>
      </c>
      <c r="P22" s="251" t="s">
        <v>372</v>
      </c>
      <c r="Q22" s="252">
        <v>1</v>
      </c>
    </row>
    <row r="23" spans="3:17" ht="13.8" thickBot="1" x14ac:dyDescent="0.3">
      <c r="C23" s="258" t="s">
        <v>350</v>
      </c>
      <c r="D23" s="67">
        <v>55</v>
      </c>
      <c r="E23" s="335"/>
      <c r="F23" s="256" t="s">
        <v>350</v>
      </c>
      <c r="G23" s="257">
        <v>25</v>
      </c>
      <c r="H23" s="320"/>
      <c r="I23" s="8"/>
      <c r="J23" s="172">
        <f>IF(K22="SHW",1000,IF(K23="",J22+1,IF(ISERROR(VLOOKUP(K22,DATA!$F$32:$G$59,2,FALSE)),K22,VLOOKUP(K22,DATA!$F$32:$G$59,2,FALSE))+0.001))</f>
        <v>1002</v>
      </c>
      <c r="K23" s="174"/>
      <c r="L23" s="172">
        <f>IF(M22="SHW",1000,IF(M23="",L22+1,IF(ISERROR(VLOOKUP(M22,DATA!$F$32:$G$59,2,FALSE)),M22,VLOOKUP(M22,DATA!$F$32:$G$59,2,FALSE))+0.001))</f>
        <v>1004</v>
      </c>
      <c r="M23" s="176"/>
      <c r="O23" s="250" t="s">
        <v>182</v>
      </c>
      <c r="P23" s="251" t="s">
        <v>373</v>
      </c>
      <c r="Q23" s="252">
        <v>1</v>
      </c>
    </row>
    <row r="24" spans="3:17" ht="13.8" thickBot="1" x14ac:dyDescent="0.3">
      <c r="C24" s="258" t="s">
        <v>351</v>
      </c>
      <c r="D24" s="67">
        <v>55</v>
      </c>
      <c r="F24" s="258" t="s">
        <v>351</v>
      </c>
      <c r="G24" s="259">
        <v>25</v>
      </c>
      <c r="H24" s="12"/>
      <c r="I24" s="8"/>
      <c r="O24" s="250" t="s">
        <v>183</v>
      </c>
      <c r="P24" s="251" t="s">
        <v>374</v>
      </c>
      <c r="Q24" s="252">
        <v>1</v>
      </c>
    </row>
    <row r="25" spans="3:17" ht="12.75" customHeight="1" x14ac:dyDescent="0.25">
      <c r="D25" s="287" t="s">
        <v>147</v>
      </c>
      <c r="E25" s="288"/>
      <c r="F25" s="289"/>
      <c r="G25" s="293" t="s">
        <v>156</v>
      </c>
      <c r="H25" s="12"/>
      <c r="I25" s="8"/>
      <c r="O25" s="250" t="s">
        <v>375</v>
      </c>
      <c r="P25" s="251" t="s">
        <v>376</v>
      </c>
      <c r="Q25" s="252">
        <v>1</v>
      </c>
    </row>
    <row r="26" spans="3:17" ht="12.75" customHeight="1" thickBot="1" x14ac:dyDescent="0.3">
      <c r="D26" s="290"/>
      <c r="E26" s="291"/>
      <c r="F26" s="292"/>
      <c r="G26" s="294"/>
      <c r="H26" s="12"/>
      <c r="I26" s="8"/>
      <c r="O26" s="250" t="s">
        <v>377</v>
      </c>
      <c r="P26" s="251" t="s">
        <v>378</v>
      </c>
      <c r="Q26" s="252">
        <v>1</v>
      </c>
    </row>
    <row r="27" spans="3:17" ht="13.8" thickBot="1" x14ac:dyDescent="0.3">
      <c r="H27" s="12"/>
      <c r="I27" s="8"/>
      <c r="O27" s="250" t="s">
        <v>184</v>
      </c>
      <c r="P27" s="251" t="s">
        <v>379</v>
      </c>
      <c r="Q27" s="252">
        <v>1</v>
      </c>
    </row>
    <row r="28" spans="3:17" x14ac:dyDescent="0.25">
      <c r="D28" s="301" t="s">
        <v>108</v>
      </c>
      <c r="E28" s="302"/>
      <c r="F28" s="302"/>
      <c r="G28" s="303"/>
      <c r="H28" s="12"/>
      <c r="I28" s="8"/>
      <c r="K28" s="307" t="s">
        <v>114</v>
      </c>
      <c r="L28" s="308"/>
      <c r="M28" s="309"/>
      <c r="O28" s="250" t="s">
        <v>185</v>
      </c>
      <c r="P28" s="251" t="s">
        <v>380</v>
      </c>
      <c r="Q28" s="252">
        <v>1</v>
      </c>
    </row>
    <row r="29" spans="3:17" ht="13.8" thickBot="1" x14ac:dyDescent="0.3">
      <c r="C29" s="80"/>
      <c r="D29" s="304"/>
      <c r="E29" s="305"/>
      <c r="F29" s="305"/>
      <c r="G29" s="306"/>
      <c r="H29" s="12"/>
      <c r="I29" s="8"/>
      <c r="K29" s="310"/>
      <c r="L29" s="311"/>
      <c r="M29" s="312"/>
      <c r="O29" s="250" t="s">
        <v>186</v>
      </c>
      <c r="P29" s="251" t="s">
        <v>381</v>
      </c>
      <c r="Q29" s="252">
        <v>1</v>
      </c>
    </row>
    <row r="30" spans="3:17" x14ac:dyDescent="0.25">
      <c r="H30" s="12"/>
      <c r="I30" s="8"/>
      <c r="K30" s="295" t="s">
        <v>157</v>
      </c>
      <c r="L30" s="296"/>
      <c r="M30" s="297"/>
      <c r="O30" s="250" t="s">
        <v>187</v>
      </c>
      <c r="P30" s="251" t="s">
        <v>382</v>
      </c>
      <c r="Q30" s="252">
        <v>1</v>
      </c>
    </row>
    <row r="31" spans="3:17" x14ac:dyDescent="0.25">
      <c r="K31" s="298"/>
      <c r="L31" s="299"/>
      <c r="M31" s="300"/>
      <c r="O31" s="250" t="s">
        <v>188</v>
      </c>
      <c r="P31" s="251" t="s">
        <v>383</v>
      </c>
      <c r="Q31" s="252">
        <v>1</v>
      </c>
    </row>
    <row r="32" spans="3:17" ht="13.8" thickBot="1" x14ac:dyDescent="0.3">
      <c r="O32" s="250" t="s">
        <v>189</v>
      </c>
      <c r="P32" s="251" t="s">
        <v>384</v>
      </c>
      <c r="Q32" s="252">
        <v>1</v>
      </c>
    </row>
    <row r="33" spans="3:17" x14ac:dyDescent="0.25">
      <c r="C33" s="274" t="s">
        <v>149</v>
      </c>
      <c r="D33" s="275"/>
      <c r="E33" s="275"/>
      <c r="F33" s="275" t="s">
        <v>161</v>
      </c>
      <c r="G33" s="275"/>
      <c r="H33" s="276"/>
      <c r="O33" s="250" t="s">
        <v>385</v>
      </c>
      <c r="P33" s="251" t="s">
        <v>386</v>
      </c>
      <c r="Q33" s="252">
        <v>1</v>
      </c>
    </row>
    <row r="34" spans="3:17" x14ac:dyDescent="0.25">
      <c r="C34" s="277" t="s">
        <v>150</v>
      </c>
      <c r="D34" s="278"/>
      <c r="E34" s="279"/>
      <c r="F34" s="279"/>
      <c r="G34" s="279"/>
      <c r="H34" s="280"/>
      <c r="O34" s="250" t="s">
        <v>387</v>
      </c>
      <c r="P34" s="251" t="s">
        <v>388</v>
      </c>
      <c r="Q34" s="252">
        <v>1</v>
      </c>
    </row>
    <row r="35" spans="3:17" x14ac:dyDescent="0.25">
      <c r="C35" s="277" t="s">
        <v>151</v>
      </c>
      <c r="D35" s="278"/>
      <c r="E35" s="281"/>
      <c r="F35" s="282"/>
      <c r="G35" s="282"/>
      <c r="H35" s="283"/>
      <c r="O35" s="250" t="s">
        <v>190</v>
      </c>
      <c r="P35" s="251" t="s">
        <v>389</v>
      </c>
      <c r="Q35" s="252">
        <v>1</v>
      </c>
    </row>
    <row r="36" spans="3:17" ht="13.8" thickBot="1" x14ac:dyDescent="0.3">
      <c r="C36" s="266" t="s">
        <v>152</v>
      </c>
      <c r="D36" s="267"/>
      <c r="E36" s="268"/>
      <c r="F36" s="269"/>
      <c r="G36" s="269"/>
      <c r="H36" s="270"/>
      <c r="O36" s="250" t="s">
        <v>191</v>
      </c>
      <c r="P36" s="251" t="s">
        <v>390</v>
      </c>
      <c r="Q36" s="252">
        <v>1</v>
      </c>
    </row>
    <row r="37" spans="3:17" ht="13.8" thickBot="1" x14ac:dyDescent="0.3">
      <c r="O37" s="250" t="s">
        <v>192</v>
      </c>
      <c r="P37" s="251" t="s">
        <v>391</v>
      </c>
      <c r="Q37" s="252">
        <v>1</v>
      </c>
    </row>
    <row r="38" spans="3:17" ht="13.8" thickBot="1" x14ac:dyDescent="0.3">
      <c r="C38" s="211"/>
      <c r="D38" s="210"/>
      <c r="E38" s="271" t="s">
        <v>153</v>
      </c>
      <c r="F38" s="272"/>
      <c r="G38" s="209"/>
      <c r="H38" s="209"/>
      <c r="O38" s="250" t="s">
        <v>193</v>
      </c>
      <c r="P38" s="251" t="s">
        <v>392</v>
      </c>
      <c r="Q38" s="252">
        <v>1</v>
      </c>
    </row>
    <row r="39" spans="3:17" x14ac:dyDescent="0.25">
      <c r="C39" s="273"/>
      <c r="D39" s="273"/>
      <c r="E39" s="273"/>
      <c r="F39" s="273"/>
      <c r="G39" s="273"/>
      <c r="H39" s="273"/>
      <c r="O39" s="250" t="s">
        <v>194</v>
      </c>
      <c r="P39" s="251" t="s">
        <v>393</v>
      </c>
      <c r="Q39" s="252">
        <v>1</v>
      </c>
    </row>
    <row r="40" spans="3:17" ht="13.8" thickBot="1" x14ac:dyDescent="0.3">
      <c r="O40" s="250" t="s">
        <v>195</v>
      </c>
      <c r="P40" s="251" t="s">
        <v>394</v>
      </c>
      <c r="Q40" s="252">
        <v>1</v>
      </c>
    </row>
    <row r="41" spans="3:17" x14ac:dyDescent="0.25">
      <c r="C41" s="274" t="s">
        <v>162</v>
      </c>
      <c r="D41" s="275"/>
      <c r="E41" s="275"/>
      <c r="F41" s="275" t="s">
        <v>161</v>
      </c>
      <c r="G41" s="275"/>
      <c r="H41" s="276"/>
      <c r="O41" s="250" t="s">
        <v>395</v>
      </c>
      <c r="P41" s="251" t="s">
        <v>396</v>
      </c>
      <c r="Q41" s="252">
        <v>1</v>
      </c>
    </row>
    <row r="42" spans="3:17" x14ac:dyDescent="0.25">
      <c r="C42" s="277" t="s">
        <v>164</v>
      </c>
      <c r="D42" s="278"/>
      <c r="E42" s="279" t="s">
        <v>165</v>
      </c>
      <c r="F42" s="279"/>
      <c r="G42" s="279"/>
      <c r="H42" s="280"/>
      <c r="O42" s="250" t="s">
        <v>397</v>
      </c>
      <c r="P42" s="251" t="s">
        <v>398</v>
      </c>
      <c r="Q42" s="252">
        <v>1</v>
      </c>
    </row>
    <row r="43" spans="3:17" x14ac:dyDescent="0.25">
      <c r="C43" s="277" t="s">
        <v>151</v>
      </c>
      <c r="D43" s="278"/>
      <c r="E43" s="281"/>
      <c r="F43" s="282"/>
      <c r="G43" s="282"/>
      <c r="H43" s="283"/>
      <c r="O43" s="250" t="s">
        <v>196</v>
      </c>
      <c r="P43" s="251" t="s">
        <v>399</v>
      </c>
      <c r="Q43" s="252">
        <v>1</v>
      </c>
    </row>
    <row r="44" spans="3:17" ht="13.8" thickBot="1" x14ac:dyDescent="0.3">
      <c r="C44" s="266" t="s">
        <v>152</v>
      </c>
      <c r="D44" s="267"/>
      <c r="E44" s="268" t="s">
        <v>166</v>
      </c>
      <c r="F44" s="269"/>
      <c r="G44" s="269"/>
      <c r="H44" s="270"/>
      <c r="O44" s="250" t="s">
        <v>197</v>
      </c>
      <c r="P44" s="251" t="s">
        <v>400</v>
      </c>
      <c r="Q44" s="252">
        <v>1</v>
      </c>
    </row>
    <row r="45" spans="3:17" ht="13.8" thickBot="1" x14ac:dyDescent="0.3">
      <c r="C45" s="232"/>
      <c r="D45" s="232"/>
      <c r="E45" s="232"/>
      <c r="F45" s="232"/>
      <c r="G45" s="232"/>
      <c r="H45" s="232"/>
      <c r="O45" s="250" t="s">
        <v>198</v>
      </c>
      <c r="P45" s="251" t="s">
        <v>401</v>
      </c>
      <c r="Q45" s="252">
        <v>1</v>
      </c>
    </row>
    <row r="46" spans="3:17" ht="13.8" thickBot="1" x14ac:dyDescent="0.3">
      <c r="C46" s="211"/>
      <c r="D46" s="210"/>
      <c r="E46" s="271" t="s">
        <v>153</v>
      </c>
      <c r="F46" s="272"/>
      <c r="G46" s="209"/>
      <c r="H46" s="209"/>
      <c r="O46" s="250" t="s">
        <v>199</v>
      </c>
      <c r="P46" s="251" t="s">
        <v>402</v>
      </c>
      <c r="Q46" s="252">
        <v>1</v>
      </c>
    </row>
    <row r="47" spans="3:17" x14ac:dyDescent="0.25">
      <c r="C47" s="273" t="s">
        <v>167</v>
      </c>
      <c r="D47" s="273"/>
      <c r="E47" s="273"/>
      <c r="F47" s="273"/>
      <c r="G47" s="273"/>
      <c r="H47" s="273"/>
      <c r="O47" s="250" t="s">
        <v>200</v>
      </c>
      <c r="P47" s="251" t="s">
        <v>403</v>
      </c>
      <c r="Q47" s="252">
        <v>1</v>
      </c>
    </row>
    <row r="48" spans="3:17" x14ac:dyDescent="0.25">
      <c r="O48" s="250" t="s">
        <v>201</v>
      </c>
      <c r="P48" s="251" t="s">
        <v>404</v>
      </c>
      <c r="Q48" s="252">
        <v>1</v>
      </c>
    </row>
    <row r="49" spans="15:17" x14ac:dyDescent="0.25">
      <c r="O49" s="250" t="s">
        <v>405</v>
      </c>
      <c r="P49" s="251" t="s">
        <v>406</v>
      </c>
      <c r="Q49" s="252">
        <v>1</v>
      </c>
    </row>
    <row r="50" spans="15:17" x14ac:dyDescent="0.25">
      <c r="O50" s="250" t="s">
        <v>407</v>
      </c>
      <c r="P50" s="251" t="s">
        <v>408</v>
      </c>
      <c r="Q50" s="252">
        <v>1</v>
      </c>
    </row>
    <row r="51" spans="15:17" x14ac:dyDescent="0.25">
      <c r="O51" s="250" t="s">
        <v>202</v>
      </c>
      <c r="P51" s="251" t="s">
        <v>409</v>
      </c>
      <c r="Q51" s="252">
        <v>1</v>
      </c>
    </row>
    <row r="52" spans="15:17" x14ac:dyDescent="0.25">
      <c r="O52" s="250" t="s">
        <v>203</v>
      </c>
      <c r="P52" s="251" t="s">
        <v>410</v>
      </c>
      <c r="Q52" s="252">
        <v>1</v>
      </c>
    </row>
    <row r="53" spans="15:17" x14ac:dyDescent="0.25">
      <c r="O53" s="250" t="s">
        <v>204</v>
      </c>
      <c r="P53" s="251" t="s">
        <v>411</v>
      </c>
      <c r="Q53" s="252">
        <v>1</v>
      </c>
    </row>
    <row r="54" spans="15:17" x14ac:dyDescent="0.25">
      <c r="O54" s="250" t="s">
        <v>205</v>
      </c>
      <c r="P54" s="251" t="s">
        <v>412</v>
      </c>
      <c r="Q54" s="252">
        <v>1</v>
      </c>
    </row>
    <row r="55" spans="15:17" x14ac:dyDescent="0.25">
      <c r="O55" s="250" t="s">
        <v>206</v>
      </c>
      <c r="P55" s="251" t="s">
        <v>413</v>
      </c>
      <c r="Q55" s="252">
        <v>1</v>
      </c>
    </row>
    <row r="56" spans="15:17" x14ac:dyDescent="0.25">
      <c r="O56" s="250" t="s">
        <v>207</v>
      </c>
      <c r="P56" s="251" t="s">
        <v>414</v>
      </c>
      <c r="Q56" s="252">
        <v>1</v>
      </c>
    </row>
    <row r="57" spans="15:17" x14ac:dyDescent="0.25">
      <c r="O57" s="250" t="s">
        <v>415</v>
      </c>
      <c r="P57" s="251" t="s">
        <v>416</v>
      </c>
      <c r="Q57" s="252">
        <v>1</v>
      </c>
    </row>
    <row r="58" spans="15:17" x14ac:dyDescent="0.25">
      <c r="O58" s="250" t="s">
        <v>417</v>
      </c>
      <c r="P58" s="251" t="s">
        <v>418</v>
      </c>
      <c r="Q58" s="252">
        <v>1</v>
      </c>
    </row>
    <row r="59" spans="15:17" x14ac:dyDescent="0.25">
      <c r="O59" s="250" t="s">
        <v>208</v>
      </c>
      <c r="P59" s="251" t="s">
        <v>419</v>
      </c>
      <c r="Q59" s="252">
        <v>1</v>
      </c>
    </row>
    <row r="60" spans="15:17" x14ac:dyDescent="0.25">
      <c r="O60" s="250" t="s">
        <v>209</v>
      </c>
      <c r="P60" s="251" t="s">
        <v>420</v>
      </c>
      <c r="Q60" s="252">
        <v>1</v>
      </c>
    </row>
    <row r="61" spans="15:17" x14ac:dyDescent="0.25">
      <c r="O61" s="250" t="s">
        <v>210</v>
      </c>
      <c r="P61" s="251" t="s">
        <v>421</v>
      </c>
      <c r="Q61" s="252">
        <v>1</v>
      </c>
    </row>
    <row r="62" spans="15:17" x14ac:dyDescent="0.25">
      <c r="O62" s="250" t="s">
        <v>211</v>
      </c>
      <c r="P62" s="251" t="s">
        <v>422</v>
      </c>
      <c r="Q62" s="252">
        <v>1</v>
      </c>
    </row>
    <row r="63" spans="15:17" x14ac:dyDescent="0.25">
      <c r="O63" s="250" t="s">
        <v>212</v>
      </c>
      <c r="P63" s="251" t="s">
        <v>423</v>
      </c>
      <c r="Q63" s="252">
        <v>1</v>
      </c>
    </row>
    <row r="64" spans="15:17" x14ac:dyDescent="0.25">
      <c r="O64" s="250" t="s">
        <v>213</v>
      </c>
      <c r="P64" s="251" t="s">
        <v>424</v>
      </c>
      <c r="Q64" s="252">
        <v>1</v>
      </c>
    </row>
    <row r="65" spans="15:17" x14ac:dyDescent="0.25">
      <c r="O65" s="250" t="s">
        <v>425</v>
      </c>
      <c r="P65" s="251" t="s">
        <v>426</v>
      </c>
      <c r="Q65" s="252">
        <v>1</v>
      </c>
    </row>
    <row r="66" spans="15:17" x14ac:dyDescent="0.25">
      <c r="O66" s="250" t="s">
        <v>427</v>
      </c>
      <c r="P66" s="251" t="s">
        <v>428</v>
      </c>
      <c r="Q66" s="252">
        <v>1</v>
      </c>
    </row>
    <row r="67" spans="15:17" x14ac:dyDescent="0.25">
      <c r="O67" s="250" t="s">
        <v>214</v>
      </c>
      <c r="P67" s="251" t="s">
        <v>429</v>
      </c>
      <c r="Q67" s="252">
        <v>1</v>
      </c>
    </row>
    <row r="68" spans="15:17" x14ac:dyDescent="0.25">
      <c r="O68" s="250" t="s">
        <v>215</v>
      </c>
      <c r="P68" s="251" t="s">
        <v>430</v>
      </c>
      <c r="Q68" s="252">
        <v>1</v>
      </c>
    </row>
    <row r="69" spans="15:17" x14ac:dyDescent="0.25">
      <c r="O69" s="250" t="s">
        <v>216</v>
      </c>
      <c r="P69" s="251" t="s">
        <v>431</v>
      </c>
      <c r="Q69" s="252">
        <v>1</v>
      </c>
    </row>
    <row r="70" spans="15:17" x14ac:dyDescent="0.25">
      <c r="O70" s="250" t="s">
        <v>217</v>
      </c>
      <c r="P70" s="251" t="s">
        <v>432</v>
      </c>
      <c r="Q70" s="252">
        <v>1</v>
      </c>
    </row>
    <row r="71" spans="15:17" x14ac:dyDescent="0.25">
      <c r="O71" s="250" t="s">
        <v>218</v>
      </c>
      <c r="P71" s="251" t="s">
        <v>433</v>
      </c>
      <c r="Q71" s="252">
        <v>1</v>
      </c>
    </row>
    <row r="72" spans="15:17" x14ac:dyDescent="0.25">
      <c r="O72" s="250" t="s">
        <v>219</v>
      </c>
      <c r="P72" s="251" t="s">
        <v>434</v>
      </c>
      <c r="Q72" s="252">
        <v>1</v>
      </c>
    </row>
    <row r="73" spans="15:17" x14ac:dyDescent="0.25">
      <c r="O73" s="250" t="s">
        <v>435</v>
      </c>
      <c r="P73" s="251" t="s">
        <v>436</v>
      </c>
      <c r="Q73" s="252">
        <v>1</v>
      </c>
    </row>
    <row r="74" spans="15:17" x14ac:dyDescent="0.25">
      <c r="O74" s="250" t="s">
        <v>437</v>
      </c>
      <c r="P74" s="251" t="s">
        <v>438</v>
      </c>
      <c r="Q74" s="252">
        <v>1</v>
      </c>
    </row>
    <row r="75" spans="15:17" x14ac:dyDescent="0.25">
      <c r="O75" s="250" t="s">
        <v>220</v>
      </c>
      <c r="P75" s="251" t="s">
        <v>439</v>
      </c>
      <c r="Q75" s="252">
        <v>1</v>
      </c>
    </row>
    <row r="76" spans="15:17" x14ac:dyDescent="0.25">
      <c r="O76" s="250" t="s">
        <v>221</v>
      </c>
      <c r="P76" s="251" t="s">
        <v>440</v>
      </c>
      <c r="Q76" s="252">
        <v>1</v>
      </c>
    </row>
    <row r="77" spans="15:17" x14ac:dyDescent="0.25">
      <c r="O77" s="250" t="s">
        <v>222</v>
      </c>
      <c r="P77" s="251" t="s">
        <v>441</v>
      </c>
      <c r="Q77" s="252">
        <v>1</v>
      </c>
    </row>
    <row r="78" spans="15:17" x14ac:dyDescent="0.25">
      <c r="O78" s="250" t="s">
        <v>223</v>
      </c>
      <c r="P78" s="251" t="s">
        <v>442</v>
      </c>
      <c r="Q78" s="252">
        <v>1</v>
      </c>
    </row>
    <row r="79" spans="15:17" x14ac:dyDescent="0.25">
      <c r="O79" s="250" t="s">
        <v>224</v>
      </c>
      <c r="P79" s="251" t="s">
        <v>443</v>
      </c>
      <c r="Q79" s="252">
        <v>1</v>
      </c>
    </row>
    <row r="80" spans="15:17" x14ac:dyDescent="0.25">
      <c r="O80" s="250" t="s">
        <v>225</v>
      </c>
      <c r="P80" s="251" t="s">
        <v>444</v>
      </c>
      <c r="Q80" s="252">
        <v>1</v>
      </c>
    </row>
    <row r="81" spans="15:17" x14ac:dyDescent="0.25">
      <c r="O81" s="250" t="s">
        <v>445</v>
      </c>
      <c r="P81" s="251" t="s">
        <v>446</v>
      </c>
      <c r="Q81" s="252">
        <v>1</v>
      </c>
    </row>
    <row r="82" spans="15:17" x14ac:dyDescent="0.25">
      <c r="O82" s="250" t="s">
        <v>447</v>
      </c>
      <c r="P82" s="251" t="s">
        <v>448</v>
      </c>
      <c r="Q82" s="252">
        <v>1</v>
      </c>
    </row>
    <row r="83" spans="15:17" x14ac:dyDescent="0.25">
      <c r="O83" s="250" t="s">
        <v>226</v>
      </c>
      <c r="P83" s="251" t="s">
        <v>449</v>
      </c>
      <c r="Q83" s="252">
        <v>1</v>
      </c>
    </row>
    <row r="84" spans="15:17" x14ac:dyDescent="0.25">
      <c r="O84" s="250" t="s">
        <v>227</v>
      </c>
      <c r="P84" s="251" t="s">
        <v>450</v>
      </c>
      <c r="Q84" s="252">
        <v>1</v>
      </c>
    </row>
    <row r="85" spans="15:17" x14ac:dyDescent="0.25">
      <c r="O85" s="250" t="s">
        <v>228</v>
      </c>
      <c r="P85" s="251" t="s">
        <v>451</v>
      </c>
      <c r="Q85" s="252">
        <v>1</v>
      </c>
    </row>
    <row r="86" spans="15:17" x14ac:dyDescent="0.25">
      <c r="O86" s="250" t="s">
        <v>229</v>
      </c>
      <c r="P86" s="251" t="s">
        <v>452</v>
      </c>
      <c r="Q86" s="252">
        <v>1</v>
      </c>
    </row>
    <row r="87" spans="15:17" x14ac:dyDescent="0.25">
      <c r="O87" s="250" t="s">
        <v>230</v>
      </c>
      <c r="P87" s="251" t="s">
        <v>453</v>
      </c>
      <c r="Q87" s="252">
        <v>1</v>
      </c>
    </row>
    <row r="88" spans="15:17" x14ac:dyDescent="0.25">
      <c r="O88" s="250" t="s">
        <v>231</v>
      </c>
      <c r="P88" s="251" t="s">
        <v>454</v>
      </c>
      <c r="Q88" s="252">
        <v>1</v>
      </c>
    </row>
    <row r="89" spans="15:17" x14ac:dyDescent="0.25">
      <c r="O89" s="250" t="s">
        <v>455</v>
      </c>
      <c r="P89" s="251" t="s">
        <v>456</v>
      </c>
      <c r="Q89" s="252">
        <v>1</v>
      </c>
    </row>
    <row r="90" spans="15:17" x14ac:dyDescent="0.25">
      <c r="O90" s="250" t="s">
        <v>457</v>
      </c>
      <c r="P90" s="251" t="s">
        <v>458</v>
      </c>
      <c r="Q90" s="252">
        <v>1</v>
      </c>
    </row>
    <row r="91" spans="15:17" x14ac:dyDescent="0.25">
      <c r="O91" s="250" t="s">
        <v>232</v>
      </c>
      <c r="P91" s="251" t="s">
        <v>459</v>
      </c>
      <c r="Q91" s="252">
        <v>1</v>
      </c>
    </row>
    <row r="92" spans="15:17" x14ac:dyDescent="0.25">
      <c r="O92" s="250" t="s">
        <v>233</v>
      </c>
      <c r="P92" s="251" t="s">
        <v>460</v>
      </c>
      <c r="Q92" s="252">
        <v>1</v>
      </c>
    </row>
    <row r="93" spans="15:17" x14ac:dyDescent="0.25">
      <c r="O93" s="250" t="s">
        <v>234</v>
      </c>
      <c r="P93" s="251" t="s">
        <v>461</v>
      </c>
      <c r="Q93" s="252">
        <v>1</v>
      </c>
    </row>
    <row r="94" spans="15:17" x14ac:dyDescent="0.25">
      <c r="O94" s="250" t="s">
        <v>235</v>
      </c>
      <c r="P94" s="251" t="s">
        <v>462</v>
      </c>
      <c r="Q94" s="252">
        <v>1</v>
      </c>
    </row>
    <row r="95" spans="15:17" x14ac:dyDescent="0.25">
      <c r="O95" s="250" t="s">
        <v>236</v>
      </c>
      <c r="P95" s="251" t="s">
        <v>463</v>
      </c>
      <c r="Q95" s="252">
        <v>1</v>
      </c>
    </row>
    <row r="96" spans="15:17" x14ac:dyDescent="0.25">
      <c r="O96" s="250" t="s">
        <v>237</v>
      </c>
      <c r="P96" s="251" t="s">
        <v>464</v>
      </c>
      <c r="Q96" s="252">
        <v>1</v>
      </c>
    </row>
    <row r="97" spans="15:17" x14ac:dyDescent="0.25">
      <c r="O97" s="250" t="s">
        <v>465</v>
      </c>
      <c r="P97" s="251" t="s">
        <v>466</v>
      </c>
      <c r="Q97" s="246">
        <v>1</v>
      </c>
    </row>
    <row r="98" spans="15:17" x14ac:dyDescent="0.25">
      <c r="O98" s="250" t="s">
        <v>467</v>
      </c>
      <c r="P98" s="251" t="s">
        <v>468</v>
      </c>
      <c r="Q98" s="246">
        <v>1</v>
      </c>
    </row>
    <row r="99" spans="15:17" x14ac:dyDescent="0.25">
      <c r="O99" s="250" t="s">
        <v>238</v>
      </c>
      <c r="P99" s="251" t="s">
        <v>469</v>
      </c>
      <c r="Q99" s="246">
        <v>1</v>
      </c>
    </row>
    <row r="100" spans="15:17" x14ac:dyDescent="0.25">
      <c r="O100" s="250" t="s">
        <v>239</v>
      </c>
      <c r="P100" s="251" t="s">
        <v>470</v>
      </c>
      <c r="Q100" s="246">
        <v>1</v>
      </c>
    </row>
    <row r="101" spans="15:17" x14ac:dyDescent="0.25">
      <c r="O101" s="250" t="s">
        <v>240</v>
      </c>
      <c r="P101" s="251" t="s">
        <v>471</v>
      </c>
      <c r="Q101" s="246">
        <v>1</v>
      </c>
    </row>
    <row r="102" spans="15:17" x14ac:dyDescent="0.25">
      <c r="O102" s="250" t="s">
        <v>241</v>
      </c>
      <c r="P102" s="251" t="s">
        <v>472</v>
      </c>
      <c r="Q102" s="246">
        <v>1</v>
      </c>
    </row>
    <row r="103" spans="15:17" x14ac:dyDescent="0.25">
      <c r="O103" s="250" t="s">
        <v>242</v>
      </c>
      <c r="P103" s="251" t="s">
        <v>473</v>
      </c>
      <c r="Q103" s="246">
        <v>1</v>
      </c>
    </row>
    <row r="104" spans="15:17" x14ac:dyDescent="0.25">
      <c r="O104" s="250" t="s">
        <v>243</v>
      </c>
      <c r="P104" s="251" t="s">
        <v>474</v>
      </c>
      <c r="Q104" s="246">
        <v>1</v>
      </c>
    </row>
    <row r="105" spans="15:17" x14ac:dyDescent="0.25">
      <c r="O105" s="250" t="s">
        <v>475</v>
      </c>
      <c r="P105" s="251" t="s">
        <v>476</v>
      </c>
      <c r="Q105" s="246">
        <v>1</v>
      </c>
    </row>
    <row r="106" spans="15:17" x14ac:dyDescent="0.25">
      <c r="O106" s="250" t="s">
        <v>477</v>
      </c>
      <c r="P106" s="251" t="s">
        <v>478</v>
      </c>
      <c r="Q106" s="246">
        <v>1</v>
      </c>
    </row>
    <row r="107" spans="15:17" x14ac:dyDescent="0.25">
      <c r="O107" s="250" t="s">
        <v>244</v>
      </c>
      <c r="P107" s="251" t="s">
        <v>479</v>
      </c>
      <c r="Q107" s="246">
        <v>1</v>
      </c>
    </row>
    <row r="108" spans="15:17" x14ac:dyDescent="0.25">
      <c r="O108" s="250" t="s">
        <v>245</v>
      </c>
      <c r="P108" s="251" t="s">
        <v>480</v>
      </c>
      <c r="Q108" s="246">
        <v>1</v>
      </c>
    </row>
    <row r="109" spans="15:17" x14ac:dyDescent="0.25">
      <c r="O109" s="250" t="s">
        <v>246</v>
      </c>
      <c r="P109" s="251" t="s">
        <v>481</v>
      </c>
      <c r="Q109" s="246">
        <v>1</v>
      </c>
    </row>
    <row r="110" spans="15:17" x14ac:dyDescent="0.25">
      <c r="O110" s="250" t="s">
        <v>247</v>
      </c>
      <c r="P110" s="251" t="s">
        <v>482</v>
      </c>
      <c r="Q110" s="246">
        <v>1</v>
      </c>
    </row>
    <row r="111" spans="15:17" x14ac:dyDescent="0.25">
      <c r="O111" s="250" t="s">
        <v>248</v>
      </c>
      <c r="P111" s="251" t="s">
        <v>483</v>
      </c>
      <c r="Q111" s="246">
        <v>1</v>
      </c>
    </row>
    <row r="112" spans="15:17" x14ac:dyDescent="0.25">
      <c r="O112" s="250" t="s">
        <v>249</v>
      </c>
      <c r="P112" s="251" t="s">
        <v>484</v>
      </c>
      <c r="Q112" s="246">
        <v>1</v>
      </c>
    </row>
    <row r="113" spans="15:17" x14ac:dyDescent="0.25">
      <c r="O113" s="250" t="s">
        <v>485</v>
      </c>
      <c r="P113" s="251" t="s">
        <v>486</v>
      </c>
      <c r="Q113" s="246">
        <v>1</v>
      </c>
    </row>
    <row r="114" spans="15:17" x14ac:dyDescent="0.25">
      <c r="O114" s="250" t="s">
        <v>487</v>
      </c>
      <c r="P114" s="251" t="s">
        <v>488</v>
      </c>
      <c r="Q114" s="246">
        <v>1</v>
      </c>
    </row>
    <row r="115" spans="15:17" x14ac:dyDescent="0.25">
      <c r="O115" s="250" t="s">
        <v>250</v>
      </c>
      <c r="P115" s="251" t="s">
        <v>489</v>
      </c>
      <c r="Q115" s="246">
        <v>1</v>
      </c>
    </row>
    <row r="116" spans="15:17" x14ac:dyDescent="0.25">
      <c r="O116" s="250" t="s">
        <v>251</v>
      </c>
      <c r="P116" s="251" t="s">
        <v>490</v>
      </c>
      <c r="Q116" s="246">
        <v>1</v>
      </c>
    </row>
    <row r="117" spans="15:17" x14ac:dyDescent="0.25">
      <c r="O117" s="250" t="s">
        <v>252</v>
      </c>
      <c r="P117" s="251" t="s">
        <v>491</v>
      </c>
      <c r="Q117" s="246">
        <v>1</v>
      </c>
    </row>
    <row r="118" spans="15:17" x14ac:dyDescent="0.25">
      <c r="O118" s="250" t="s">
        <v>253</v>
      </c>
      <c r="P118" s="251" t="s">
        <v>492</v>
      </c>
      <c r="Q118" s="246">
        <v>1</v>
      </c>
    </row>
    <row r="119" spans="15:17" x14ac:dyDescent="0.25">
      <c r="O119" s="250" t="s">
        <v>254</v>
      </c>
      <c r="P119" s="251" t="s">
        <v>493</v>
      </c>
      <c r="Q119" s="246">
        <v>1</v>
      </c>
    </row>
    <row r="120" spans="15:17" x14ac:dyDescent="0.25">
      <c r="O120" s="250" t="s">
        <v>255</v>
      </c>
      <c r="P120" s="251" t="s">
        <v>494</v>
      </c>
      <c r="Q120" s="246">
        <v>1</v>
      </c>
    </row>
    <row r="121" spans="15:17" x14ac:dyDescent="0.25">
      <c r="O121" s="250" t="s">
        <v>495</v>
      </c>
      <c r="P121" s="251" t="s">
        <v>496</v>
      </c>
      <c r="Q121" s="246">
        <v>1</v>
      </c>
    </row>
    <row r="122" spans="15:17" x14ac:dyDescent="0.25">
      <c r="O122" s="250" t="s">
        <v>497</v>
      </c>
      <c r="P122" s="251" t="s">
        <v>498</v>
      </c>
      <c r="Q122" s="246">
        <v>1</v>
      </c>
    </row>
    <row r="123" spans="15:17" x14ac:dyDescent="0.25">
      <c r="O123" s="250" t="s">
        <v>256</v>
      </c>
      <c r="P123" s="251" t="s">
        <v>499</v>
      </c>
      <c r="Q123" s="246">
        <v>1</v>
      </c>
    </row>
    <row r="124" spans="15:17" x14ac:dyDescent="0.25">
      <c r="O124" s="250" t="s">
        <v>257</v>
      </c>
      <c r="P124" s="251" t="s">
        <v>500</v>
      </c>
      <c r="Q124" s="246">
        <v>1</v>
      </c>
    </row>
    <row r="125" spans="15:17" x14ac:dyDescent="0.25">
      <c r="O125" s="250" t="s">
        <v>258</v>
      </c>
      <c r="P125" s="251" t="s">
        <v>501</v>
      </c>
      <c r="Q125" s="246">
        <v>1</v>
      </c>
    </row>
    <row r="126" spans="15:17" x14ac:dyDescent="0.25">
      <c r="O126" s="250" t="s">
        <v>259</v>
      </c>
      <c r="P126" s="251" t="s">
        <v>502</v>
      </c>
      <c r="Q126" s="246">
        <v>1</v>
      </c>
    </row>
    <row r="127" spans="15:17" x14ac:dyDescent="0.25">
      <c r="O127" s="250" t="s">
        <v>260</v>
      </c>
      <c r="P127" s="251" t="s">
        <v>503</v>
      </c>
      <c r="Q127" s="246">
        <v>1</v>
      </c>
    </row>
    <row r="128" spans="15:17" x14ac:dyDescent="0.25">
      <c r="O128" s="250" t="s">
        <v>261</v>
      </c>
      <c r="P128" s="251" t="s">
        <v>504</v>
      </c>
      <c r="Q128" s="246">
        <v>1</v>
      </c>
    </row>
    <row r="129" spans="15:17" x14ac:dyDescent="0.25">
      <c r="O129" s="250" t="s">
        <v>505</v>
      </c>
      <c r="P129" s="251" t="s">
        <v>506</v>
      </c>
      <c r="Q129" s="246">
        <v>1</v>
      </c>
    </row>
    <row r="130" spans="15:17" x14ac:dyDescent="0.25">
      <c r="O130" s="250" t="s">
        <v>507</v>
      </c>
      <c r="P130" s="251" t="s">
        <v>508</v>
      </c>
      <c r="Q130" s="246">
        <v>1</v>
      </c>
    </row>
    <row r="131" spans="15:17" x14ac:dyDescent="0.25">
      <c r="O131" s="250" t="s">
        <v>262</v>
      </c>
      <c r="P131" s="251" t="s">
        <v>509</v>
      </c>
      <c r="Q131" s="246">
        <v>1</v>
      </c>
    </row>
    <row r="132" spans="15:17" x14ac:dyDescent="0.25">
      <c r="O132" s="250" t="s">
        <v>263</v>
      </c>
      <c r="P132" s="251" t="s">
        <v>510</v>
      </c>
      <c r="Q132" s="246">
        <v>1</v>
      </c>
    </row>
    <row r="133" spans="15:17" x14ac:dyDescent="0.25">
      <c r="O133" s="250" t="s">
        <v>264</v>
      </c>
      <c r="P133" s="251" t="s">
        <v>511</v>
      </c>
      <c r="Q133" s="246">
        <v>1</v>
      </c>
    </row>
    <row r="134" spans="15:17" x14ac:dyDescent="0.25">
      <c r="O134" s="250" t="s">
        <v>265</v>
      </c>
      <c r="P134" s="251" t="s">
        <v>512</v>
      </c>
      <c r="Q134" s="246">
        <v>1</v>
      </c>
    </row>
    <row r="135" spans="15:17" x14ac:dyDescent="0.25">
      <c r="O135" s="250" t="s">
        <v>266</v>
      </c>
      <c r="P135" s="251" t="s">
        <v>513</v>
      </c>
      <c r="Q135" s="246">
        <v>1</v>
      </c>
    </row>
    <row r="136" spans="15:17" x14ac:dyDescent="0.25">
      <c r="O136" s="250" t="s">
        <v>267</v>
      </c>
      <c r="P136" s="251" t="s">
        <v>514</v>
      </c>
      <c r="Q136" s="246">
        <v>1</v>
      </c>
    </row>
    <row r="137" spans="15:17" x14ac:dyDescent="0.25">
      <c r="O137" s="250" t="s">
        <v>515</v>
      </c>
      <c r="P137" s="251" t="s">
        <v>516</v>
      </c>
      <c r="Q137" s="246">
        <v>1</v>
      </c>
    </row>
    <row r="138" spans="15:17" x14ac:dyDescent="0.25">
      <c r="O138" s="250" t="s">
        <v>517</v>
      </c>
      <c r="P138" s="251" t="s">
        <v>518</v>
      </c>
      <c r="Q138" s="246">
        <v>1</v>
      </c>
    </row>
    <row r="139" spans="15:17" x14ac:dyDescent="0.25">
      <c r="O139" s="250" t="s">
        <v>268</v>
      </c>
      <c r="P139" s="251" t="s">
        <v>519</v>
      </c>
      <c r="Q139" s="246">
        <v>1</v>
      </c>
    </row>
    <row r="140" spans="15:17" x14ac:dyDescent="0.25">
      <c r="O140" s="250" t="s">
        <v>269</v>
      </c>
      <c r="P140" s="251" t="s">
        <v>520</v>
      </c>
      <c r="Q140" s="246">
        <v>1</v>
      </c>
    </row>
    <row r="141" spans="15:17" x14ac:dyDescent="0.25">
      <c r="O141" s="250" t="s">
        <v>270</v>
      </c>
      <c r="P141" s="251" t="s">
        <v>521</v>
      </c>
      <c r="Q141" s="246">
        <v>1</v>
      </c>
    </row>
    <row r="142" spans="15:17" x14ac:dyDescent="0.25">
      <c r="O142" s="250" t="s">
        <v>271</v>
      </c>
      <c r="P142" s="251" t="s">
        <v>522</v>
      </c>
      <c r="Q142" s="246">
        <v>1</v>
      </c>
    </row>
    <row r="143" spans="15:17" x14ac:dyDescent="0.25">
      <c r="O143" s="250" t="s">
        <v>272</v>
      </c>
      <c r="P143" s="251" t="s">
        <v>523</v>
      </c>
      <c r="Q143" s="246">
        <v>1</v>
      </c>
    </row>
    <row r="144" spans="15:17" x14ac:dyDescent="0.25">
      <c r="O144" s="250" t="s">
        <v>273</v>
      </c>
      <c r="P144" s="251" t="s">
        <v>524</v>
      </c>
      <c r="Q144" s="246">
        <v>1</v>
      </c>
    </row>
    <row r="145" spans="15:17" x14ac:dyDescent="0.25">
      <c r="O145" s="250" t="s">
        <v>525</v>
      </c>
      <c r="P145" s="251" t="s">
        <v>526</v>
      </c>
      <c r="Q145" s="246">
        <v>1</v>
      </c>
    </row>
    <row r="146" spans="15:17" x14ac:dyDescent="0.25">
      <c r="O146" s="250" t="s">
        <v>527</v>
      </c>
      <c r="P146" s="251" t="s">
        <v>528</v>
      </c>
      <c r="Q146" s="246">
        <v>1</v>
      </c>
    </row>
    <row r="147" spans="15:17" x14ac:dyDescent="0.25">
      <c r="O147" s="250" t="s">
        <v>274</v>
      </c>
      <c r="P147" s="251" t="s">
        <v>529</v>
      </c>
      <c r="Q147" s="246">
        <v>1</v>
      </c>
    </row>
    <row r="148" spans="15:17" x14ac:dyDescent="0.25">
      <c r="O148" s="250" t="s">
        <v>275</v>
      </c>
      <c r="P148" s="251" t="s">
        <v>530</v>
      </c>
      <c r="Q148" s="246">
        <v>1</v>
      </c>
    </row>
    <row r="149" spans="15:17" x14ac:dyDescent="0.25">
      <c r="O149" s="250" t="s">
        <v>276</v>
      </c>
      <c r="P149" s="251" t="s">
        <v>531</v>
      </c>
      <c r="Q149" s="246">
        <v>1</v>
      </c>
    </row>
    <row r="150" spans="15:17" x14ac:dyDescent="0.25">
      <c r="O150" s="250" t="s">
        <v>277</v>
      </c>
      <c r="P150" s="251" t="s">
        <v>532</v>
      </c>
      <c r="Q150" s="246">
        <v>1</v>
      </c>
    </row>
    <row r="151" spans="15:17" x14ac:dyDescent="0.25">
      <c r="O151" s="250" t="s">
        <v>278</v>
      </c>
      <c r="P151" s="251" t="s">
        <v>533</v>
      </c>
      <c r="Q151" s="246">
        <v>1</v>
      </c>
    </row>
    <row r="152" spans="15:17" x14ac:dyDescent="0.25">
      <c r="O152" s="250" t="s">
        <v>279</v>
      </c>
      <c r="P152" s="251" t="s">
        <v>534</v>
      </c>
      <c r="Q152" s="246">
        <v>1</v>
      </c>
    </row>
    <row r="153" spans="15:17" x14ac:dyDescent="0.25">
      <c r="O153" s="250" t="s">
        <v>535</v>
      </c>
      <c r="P153" s="251" t="s">
        <v>536</v>
      </c>
      <c r="Q153" s="246">
        <v>1</v>
      </c>
    </row>
    <row r="154" spans="15:17" x14ac:dyDescent="0.25">
      <c r="O154" s="250" t="s">
        <v>537</v>
      </c>
      <c r="P154" s="251" t="s">
        <v>538</v>
      </c>
      <c r="Q154" s="246">
        <v>1</v>
      </c>
    </row>
    <row r="155" spans="15:17" x14ac:dyDescent="0.25">
      <c r="O155" s="250" t="s">
        <v>280</v>
      </c>
      <c r="P155" s="251" t="s">
        <v>539</v>
      </c>
      <c r="Q155" s="246">
        <v>1</v>
      </c>
    </row>
    <row r="156" spans="15:17" x14ac:dyDescent="0.25">
      <c r="O156" s="250" t="s">
        <v>281</v>
      </c>
      <c r="P156" s="251" t="s">
        <v>540</v>
      </c>
      <c r="Q156" s="246">
        <v>1</v>
      </c>
    </row>
    <row r="157" spans="15:17" x14ac:dyDescent="0.25">
      <c r="O157" s="250" t="s">
        <v>282</v>
      </c>
      <c r="P157" s="251" t="s">
        <v>541</v>
      </c>
      <c r="Q157" s="246">
        <v>1</v>
      </c>
    </row>
    <row r="158" spans="15:17" x14ac:dyDescent="0.25">
      <c r="O158" s="250" t="s">
        <v>283</v>
      </c>
      <c r="P158" s="251" t="s">
        <v>542</v>
      </c>
      <c r="Q158" s="246">
        <v>1</v>
      </c>
    </row>
    <row r="159" spans="15:17" x14ac:dyDescent="0.25">
      <c r="O159" s="250" t="s">
        <v>284</v>
      </c>
      <c r="P159" s="251" t="s">
        <v>543</v>
      </c>
      <c r="Q159" s="246">
        <v>1</v>
      </c>
    </row>
    <row r="160" spans="15:17" x14ac:dyDescent="0.25">
      <c r="O160" s="250" t="s">
        <v>285</v>
      </c>
      <c r="P160" s="251" t="s">
        <v>544</v>
      </c>
      <c r="Q160" s="246">
        <v>1</v>
      </c>
    </row>
    <row r="161" spans="15:17" x14ac:dyDescent="0.25">
      <c r="O161" s="250" t="s">
        <v>545</v>
      </c>
      <c r="P161" s="251" t="s">
        <v>546</v>
      </c>
      <c r="Q161" s="246">
        <v>1</v>
      </c>
    </row>
    <row r="162" spans="15:17" x14ac:dyDescent="0.25">
      <c r="O162" s="250" t="s">
        <v>547</v>
      </c>
      <c r="P162" s="251" t="s">
        <v>548</v>
      </c>
      <c r="Q162" s="246">
        <v>1</v>
      </c>
    </row>
    <row r="163" spans="15:17" x14ac:dyDescent="0.25">
      <c r="O163" s="250" t="s">
        <v>286</v>
      </c>
      <c r="P163" s="251" t="s">
        <v>549</v>
      </c>
      <c r="Q163" s="246">
        <v>1</v>
      </c>
    </row>
    <row r="164" spans="15:17" x14ac:dyDescent="0.25">
      <c r="O164" s="250" t="s">
        <v>287</v>
      </c>
      <c r="P164" s="251" t="s">
        <v>550</v>
      </c>
      <c r="Q164" s="246">
        <v>1</v>
      </c>
    </row>
    <row r="165" spans="15:17" x14ac:dyDescent="0.25">
      <c r="O165" s="250" t="s">
        <v>288</v>
      </c>
      <c r="P165" s="251" t="s">
        <v>551</v>
      </c>
      <c r="Q165" s="246">
        <v>1</v>
      </c>
    </row>
    <row r="166" spans="15:17" x14ac:dyDescent="0.25">
      <c r="O166" s="250" t="s">
        <v>289</v>
      </c>
      <c r="P166" s="251" t="s">
        <v>552</v>
      </c>
      <c r="Q166" s="246">
        <v>1</v>
      </c>
    </row>
    <row r="167" spans="15:17" x14ac:dyDescent="0.25">
      <c r="O167" s="250" t="s">
        <v>290</v>
      </c>
      <c r="P167" s="251" t="s">
        <v>553</v>
      </c>
      <c r="Q167" s="246">
        <v>1</v>
      </c>
    </row>
    <row r="168" spans="15:17" x14ac:dyDescent="0.25">
      <c r="O168" s="250" t="s">
        <v>291</v>
      </c>
      <c r="P168" s="251" t="s">
        <v>554</v>
      </c>
      <c r="Q168" s="246">
        <v>1</v>
      </c>
    </row>
    <row r="169" spans="15:17" x14ac:dyDescent="0.25">
      <c r="O169" s="250" t="s">
        <v>555</v>
      </c>
      <c r="P169" s="251" t="s">
        <v>556</v>
      </c>
      <c r="Q169" s="246">
        <v>1</v>
      </c>
    </row>
    <row r="170" spans="15:17" x14ac:dyDescent="0.25">
      <c r="O170" s="250" t="s">
        <v>557</v>
      </c>
      <c r="P170" s="251" t="s">
        <v>558</v>
      </c>
      <c r="Q170" s="246">
        <v>1</v>
      </c>
    </row>
    <row r="171" spans="15:17" x14ac:dyDescent="0.25">
      <c r="O171" s="250" t="s">
        <v>292</v>
      </c>
      <c r="P171" s="251" t="s">
        <v>559</v>
      </c>
      <c r="Q171" s="246">
        <v>1</v>
      </c>
    </row>
    <row r="172" spans="15:17" x14ac:dyDescent="0.25">
      <c r="O172" s="250" t="s">
        <v>293</v>
      </c>
      <c r="P172" s="251" t="s">
        <v>560</v>
      </c>
      <c r="Q172" s="246">
        <v>1</v>
      </c>
    </row>
    <row r="173" spans="15:17" x14ac:dyDescent="0.25">
      <c r="O173" s="250" t="s">
        <v>294</v>
      </c>
      <c r="P173" s="251" t="s">
        <v>561</v>
      </c>
      <c r="Q173" s="246">
        <v>1</v>
      </c>
    </row>
    <row r="174" spans="15:17" x14ac:dyDescent="0.25">
      <c r="O174" s="250" t="s">
        <v>295</v>
      </c>
      <c r="P174" s="251" t="s">
        <v>562</v>
      </c>
      <c r="Q174" s="246">
        <v>1</v>
      </c>
    </row>
    <row r="175" spans="15:17" x14ac:dyDescent="0.25">
      <c r="O175" s="250" t="s">
        <v>296</v>
      </c>
      <c r="P175" s="251" t="s">
        <v>563</v>
      </c>
      <c r="Q175" s="246">
        <v>1</v>
      </c>
    </row>
    <row r="176" spans="15:17" x14ac:dyDescent="0.25">
      <c r="O176" s="250" t="s">
        <v>297</v>
      </c>
      <c r="P176" s="251" t="s">
        <v>564</v>
      </c>
      <c r="Q176" s="246">
        <v>1</v>
      </c>
    </row>
    <row r="177" spans="15:17" x14ac:dyDescent="0.25">
      <c r="O177" s="250" t="s">
        <v>565</v>
      </c>
      <c r="P177" s="251" t="s">
        <v>566</v>
      </c>
      <c r="Q177" s="246">
        <v>1</v>
      </c>
    </row>
    <row r="178" spans="15:17" x14ac:dyDescent="0.25">
      <c r="O178" s="250" t="s">
        <v>567</v>
      </c>
      <c r="P178" s="251" t="s">
        <v>568</v>
      </c>
      <c r="Q178" s="246">
        <v>1</v>
      </c>
    </row>
    <row r="179" spans="15:17" x14ac:dyDescent="0.25">
      <c r="O179" s="250" t="s">
        <v>298</v>
      </c>
      <c r="P179" s="251" t="s">
        <v>569</v>
      </c>
      <c r="Q179" s="246">
        <v>1</v>
      </c>
    </row>
    <row r="180" spans="15:17" x14ac:dyDescent="0.25">
      <c r="O180" s="250" t="s">
        <v>299</v>
      </c>
      <c r="P180" s="251" t="s">
        <v>570</v>
      </c>
      <c r="Q180" s="246">
        <v>1</v>
      </c>
    </row>
    <row r="181" spans="15:17" x14ac:dyDescent="0.25">
      <c r="O181" s="250" t="s">
        <v>300</v>
      </c>
      <c r="P181" s="251" t="s">
        <v>571</v>
      </c>
      <c r="Q181" s="246">
        <v>1</v>
      </c>
    </row>
    <row r="182" spans="15:17" x14ac:dyDescent="0.25">
      <c r="O182" s="250" t="s">
        <v>301</v>
      </c>
      <c r="P182" s="251" t="s">
        <v>572</v>
      </c>
      <c r="Q182" s="246">
        <v>1</v>
      </c>
    </row>
    <row r="183" spans="15:17" x14ac:dyDescent="0.25">
      <c r="O183" s="250" t="s">
        <v>302</v>
      </c>
      <c r="P183" s="251" t="s">
        <v>573</v>
      </c>
      <c r="Q183" s="246">
        <v>1</v>
      </c>
    </row>
    <row r="184" spans="15:17" x14ac:dyDescent="0.25">
      <c r="O184" s="250" t="s">
        <v>303</v>
      </c>
      <c r="P184" s="251" t="s">
        <v>574</v>
      </c>
      <c r="Q184" s="246">
        <v>1</v>
      </c>
    </row>
    <row r="185" spans="15:17" x14ac:dyDescent="0.25">
      <c r="O185" s="250" t="s">
        <v>575</v>
      </c>
      <c r="P185" s="251" t="s">
        <v>576</v>
      </c>
      <c r="Q185" s="246">
        <v>1</v>
      </c>
    </row>
    <row r="186" spans="15:17" x14ac:dyDescent="0.25">
      <c r="O186" s="250" t="s">
        <v>577</v>
      </c>
      <c r="P186" s="251" t="s">
        <v>578</v>
      </c>
      <c r="Q186" s="246">
        <v>1</v>
      </c>
    </row>
    <row r="187" spans="15:17" x14ac:dyDescent="0.25">
      <c r="O187" s="250" t="s">
        <v>304</v>
      </c>
      <c r="P187" s="251" t="s">
        <v>579</v>
      </c>
      <c r="Q187" s="246">
        <v>1</v>
      </c>
    </row>
    <row r="188" spans="15:17" x14ac:dyDescent="0.25">
      <c r="O188" s="250" t="s">
        <v>305</v>
      </c>
      <c r="P188" s="251" t="s">
        <v>580</v>
      </c>
      <c r="Q188" s="246">
        <v>1</v>
      </c>
    </row>
    <row r="189" spans="15:17" x14ac:dyDescent="0.25">
      <c r="O189" s="250" t="s">
        <v>306</v>
      </c>
      <c r="P189" s="251" t="s">
        <v>581</v>
      </c>
      <c r="Q189" s="246">
        <v>1</v>
      </c>
    </row>
    <row r="190" spans="15:17" x14ac:dyDescent="0.25">
      <c r="O190" s="250" t="s">
        <v>307</v>
      </c>
      <c r="P190" s="251" t="s">
        <v>582</v>
      </c>
      <c r="Q190" s="246">
        <v>1</v>
      </c>
    </row>
    <row r="191" spans="15:17" x14ac:dyDescent="0.25">
      <c r="O191" s="250" t="s">
        <v>308</v>
      </c>
      <c r="P191" s="251" t="s">
        <v>583</v>
      </c>
      <c r="Q191" s="246">
        <v>1</v>
      </c>
    </row>
    <row r="192" spans="15:17" x14ac:dyDescent="0.25">
      <c r="O192" s="250" t="s">
        <v>309</v>
      </c>
      <c r="P192" s="251" t="s">
        <v>584</v>
      </c>
      <c r="Q192" s="246">
        <v>1</v>
      </c>
    </row>
    <row r="193" spans="15:17" x14ac:dyDescent="0.25">
      <c r="O193" s="250" t="s">
        <v>585</v>
      </c>
      <c r="P193" s="251" t="s">
        <v>586</v>
      </c>
      <c r="Q193" s="246">
        <v>1</v>
      </c>
    </row>
    <row r="194" spans="15:17" x14ac:dyDescent="0.25">
      <c r="O194" s="250" t="s">
        <v>587</v>
      </c>
      <c r="P194" s="251" t="s">
        <v>588</v>
      </c>
      <c r="Q194" s="246">
        <v>1</v>
      </c>
    </row>
    <row r="195" spans="15:17" x14ac:dyDescent="0.25">
      <c r="O195" s="250" t="s">
        <v>310</v>
      </c>
      <c r="P195" s="251" t="s">
        <v>589</v>
      </c>
      <c r="Q195" s="246">
        <v>1</v>
      </c>
    </row>
    <row r="196" spans="15:17" x14ac:dyDescent="0.25">
      <c r="O196" s="250" t="s">
        <v>311</v>
      </c>
      <c r="P196" s="251" t="s">
        <v>590</v>
      </c>
      <c r="Q196" s="246">
        <v>1</v>
      </c>
    </row>
    <row r="197" spans="15:17" x14ac:dyDescent="0.25">
      <c r="O197" s="250" t="s">
        <v>312</v>
      </c>
      <c r="P197" s="251" t="s">
        <v>591</v>
      </c>
      <c r="Q197" s="246">
        <v>1</v>
      </c>
    </row>
    <row r="198" spans="15:17" x14ac:dyDescent="0.25">
      <c r="O198" s="250" t="s">
        <v>313</v>
      </c>
      <c r="P198" s="251" t="s">
        <v>592</v>
      </c>
      <c r="Q198" s="246">
        <v>1</v>
      </c>
    </row>
    <row r="199" spans="15:17" x14ac:dyDescent="0.25">
      <c r="O199" s="250" t="s">
        <v>314</v>
      </c>
      <c r="P199" s="251" t="s">
        <v>593</v>
      </c>
      <c r="Q199" s="246">
        <v>1</v>
      </c>
    </row>
    <row r="200" spans="15:17" x14ac:dyDescent="0.25">
      <c r="O200" s="250" t="s">
        <v>315</v>
      </c>
      <c r="P200" s="251" t="s">
        <v>594</v>
      </c>
      <c r="Q200" s="246">
        <v>1</v>
      </c>
    </row>
    <row r="201" spans="15:17" x14ac:dyDescent="0.25">
      <c r="O201" s="250" t="s">
        <v>595</v>
      </c>
      <c r="P201" s="251" t="s">
        <v>596</v>
      </c>
      <c r="Q201" s="246">
        <v>1</v>
      </c>
    </row>
    <row r="202" spans="15:17" x14ac:dyDescent="0.25">
      <c r="O202" s="250" t="s">
        <v>597</v>
      </c>
      <c r="P202" s="251" t="s">
        <v>598</v>
      </c>
      <c r="Q202" s="246">
        <v>1</v>
      </c>
    </row>
    <row r="203" spans="15:17" x14ac:dyDescent="0.25">
      <c r="O203" s="250" t="s">
        <v>316</v>
      </c>
      <c r="P203" s="251" t="s">
        <v>599</v>
      </c>
      <c r="Q203" s="246">
        <v>1</v>
      </c>
    </row>
    <row r="204" spans="15:17" x14ac:dyDescent="0.25">
      <c r="O204" s="250" t="s">
        <v>317</v>
      </c>
      <c r="P204" s="251" t="s">
        <v>600</v>
      </c>
      <c r="Q204" s="246">
        <v>1</v>
      </c>
    </row>
    <row r="205" spans="15:17" x14ac:dyDescent="0.25">
      <c r="O205" s="250" t="s">
        <v>318</v>
      </c>
      <c r="P205" s="251" t="s">
        <v>601</v>
      </c>
      <c r="Q205" s="246">
        <v>1</v>
      </c>
    </row>
    <row r="206" spans="15:17" x14ac:dyDescent="0.25">
      <c r="O206" s="250" t="s">
        <v>319</v>
      </c>
      <c r="P206" s="251" t="s">
        <v>602</v>
      </c>
      <c r="Q206" s="246">
        <v>1</v>
      </c>
    </row>
    <row r="207" spans="15:17" x14ac:dyDescent="0.25">
      <c r="O207" s="250" t="s">
        <v>320</v>
      </c>
      <c r="P207" s="251" t="s">
        <v>603</v>
      </c>
      <c r="Q207" s="246">
        <v>1</v>
      </c>
    </row>
    <row r="208" spans="15:17" x14ac:dyDescent="0.25">
      <c r="O208" s="250" t="s">
        <v>321</v>
      </c>
      <c r="P208" s="251" t="s">
        <v>604</v>
      </c>
      <c r="Q208" s="246">
        <v>1</v>
      </c>
    </row>
    <row r="209" spans="15:17" x14ac:dyDescent="0.25">
      <c r="O209" s="250" t="s">
        <v>605</v>
      </c>
      <c r="P209" s="251" t="s">
        <v>606</v>
      </c>
      <c r="Q209" s="246">
        <v>1</v>
      </c>
    </row>
    <row r="210" spans="15:17" x14ac:dyDescent="0.25">
      <c r="O210" s="250" t="s">
        <v>607</v>
      </c>
      <c r="P210" s="251" t="s">
        <v>608</v>
      </c>
      <c r="Q210" s="246">
        <v>1</v>
      </c>
    </row>
    <row r="211" spans="15:17" x14ac:dyDescent="0.25">
      <c r="O211" s="250" t="s">
        <v>322</v>
      </c>
      <c r="P211" s="251" t="s">
        <v>609</v>
      </c>
      <c r="Q211" s="246">
        <v>1</v>
      </c>
    </row>
    <row r="212" spans="15:17" x14ac:dyDescent="0.25">
      <c r="O212" s="250" t="s">
        <v>323</v>
      </c>
      <c r="P212" s="251" t="s">
        <v>610</v>
      </c>
      <c r="Q212" s="246">
        <v>1</v>
      </c>
    </row>
    <row r="213" spans="15:17" x14ac:dyDescent="0.25">
      <c r="O213" s="250" t="s">
        <v>324</v>
      </c>
      <c r="P213" s="251" t="s">
        <v>611</v>
      </c>
      <c r="Q213" s="246">
        <v>1</v>
      </c>
    </row>
    <row r="214" spans="15:17" x14ac:dyDescent="0.25">
      <c r="O214" s="250" t="s">
        <v>325</v>
      </c>
      <c r="P214" s="251" t="s">
        <v>612</v>
      </c>
      <c r="Q214" s="246">
        <v>1</v>
      </c>
    </row>
    <row r="215" spans="15:17" x14ac:dyDescent="0.25">
      <c r="O215" s="250" t="s">
        <v>326</v>
      </c>
      <c r="P215" s="251" t="s">
        <v>613</v>
      </c>
      <c r="Q215" s="246">
        <v>1</v>
      </c>
    </row>
    <row r="216" spans="15:17" x14ac:dyDescent="0.25">
      <c r="O216" s="250" t="s">
        <v>327</v>
      </c>
      <c r="P216" s="251" t="s">
        <v>614</v>
      </c>
      <c r="Q216" s="246">
        <v>1</v>
      </c>
    </row>
    <row r="217" spans="15:17" x14ac:dyDescent="0.25">
      <c r="O217" s="250" t="s">
        <v>615</v>
      </c>
      <c r="P217" s="251" t="s">
        <v>616</v>
      </c>
      <c r="Q217" s="246">
        <v>1</v>
      </c>
    </row>
    <row r="218" spans="15:17" x14ac:dyDescent="0.25">
      <c r="O218" s="250" t="s">
        <v>617</v>
      </c>
      <c r="P218" s="251" t="s">
        <v>618</v>
      </c>
      <c r="Q218" s="246">
        <v>1</v>
      </c>
    </row>
    <row r="219" spans="15:17" x14ac:dyDescent="0.25">
      <c r="O219" s="250" t="s">
        <v>328</v>
      </c>
      <c r="P219" s="251" t="s">
        <v>619</v>
      </c>
      <c r="Q219" s="246">
        <v>1</v>
      </c>
    </row>
    <row r="220" spans="15:17" x14ac:dyDescent="0.25">
      <c r="O220" s="250" t="s">
        <v>329</v>
      </c>
      <c r="P220" s="251" t="s">
        <v>620</v>
      </c>
      <c r="Q220" s="246">
        <v>1</v>
      </c>
    </row>
    <row r="221" spans="15:17" x14ac:dyDescent="0.25">
      <c r="O221" s="250" t="s">
        <v>330</v>
      </c>
      <c r="P221" s="251" t="s">
        <v>621</v>
      </c>
      <c r="Q221" s="246">
        <v>1</v>
      </c>
    </row>
    <row r="222" spans="15:17" x14ac:dyDescent="0.25">
      <c r="O222" s="250" t="s">
        <v>331</v>
      </c>
      <c r="P222" s="251" t="s">
        <v>622</v>
      </c>
      <c r="Q222" s="246">
        <v>1</v>
      </c>
    </row>
    <row r="223" spans="15:17" x14ac:dyDescent="0.25">
      <c r="O223" s="250" t="s">
        <v>332</v>
      </c>
      <c r="P223" s="251" t="s">
        <v>623</v>
      </c>
      <c r="Q223" s="246">
        <v>1</v>
      </c>
    </row>
    <row r="224" spans="15:17" x14ac:dyDescent="0.25">
      <c r="O224" s="250" t="s">
        <v>333</v>
      </c>
      <c r="P224" s="251" t="s">
        <v>624</v>
      </c>
      <c r="Q224" s="246">
        <v>1</v>
      </c>
    </row>
    <row r="225" spans="15:17" x14ac:dyDescent="0.25">
      <c r="O225" s="250" t="s">
        <v>625</v>
      </c>
      <c r="P225" s="251" t="s">
        <v>626</v>
      </c>
      <c r="Q225" s="246">
        <v>1</v>
      </c>
    </row>
    <row r="226" spans="15:17" x14ac:dyDescent="0.25">
      <c r="O226" s="250" t="s">
        <v>627</v>
      </c>
      <c r="P226" s="251" t="s">
        <v>628</v>
      </c>
      <c r="Q226" s="246">
        <v>1</v>
      </c>
    </row>
    <row r="227" spans="15:17" x14ac:dyDescent="0.25">
      <c r="O227" s="250" t="s">
        <v>334</v>
      </c>
      <c r="P227" s="251" t="s">
        <v>629</v>
      </c>
      <c r="Q227" s="246">
        <v>1</v>
      </c>
    </row>
    <row r="228" spans="15:17" x14ac:dyDescent="0.25">
      <c r="O228" s="250" t="s">
        <v>335</v>
      </c>
      <c r="P228" s="251" t="s">
        <v>630</v>
      </c>
      <c r="Q228" s="246">
        <v>1</v>
      </c>
    </row>
    <row r="229" spans="15:17" x14ac:dyDescent="0.25">
      <c r="O229" s="250" t="s">
        <v>336</v>
      </c>
      <c r="P229" s="251" t="s">
        <v>631</v>
      </c>
      <c r="Q229" s="246">
        <v>1</v>
      </c>
    </row>
    <row r="230" spans="15:17" x14ac:dyDescent="0.25">
      <c r="O230" s="250" t="s">
        <v>337</v>
      </c>
      <c r="P230" s="251" t="s">
        <v>632</v>
      </c>
      <c r="Q230" s="246">
        <v>1</v>
      </c>
    </row>
    <row r="231" spans="15:17" x14ac:dyDescent="0.25">
      <c r="O231" s="250" t="s">
        <v>338</v>
      </c>
      <c r="P231" s="251" t="s">
        <v>633</v>
      </c>
      <c r="Q231" s="246">
        <v>1</v>
      </c>
    </row>
    <row r="232" spans="15:17" x14ac:dyDescent="0.25">
      <c r="O232" s="250" t="s">
        <v>339</v>
      </c>
      <c r="P232" s="251" t="s">
        <v>634</v>
      </c>
      <c r="Q232" s="246">
        <v>1</v>
      </c>
    </row>
    <row r="233" spans="15:17" x14ac:dyDescent="0.25">
      <c r="O233" s="250" t="s">
        <v>635</v>
      </c>
      <c r="P233" s="251" t="s">
        <v>636</v>
      </c>
      <c r="Q233" s="246">
        <v>1</v>
      </c>
    </row>
    <row r="234" spans="15:17" x14ac:dyDescent="0.25">
      <c r="O234" s="250" t="s">
        <v>637</v>
      </c>
      <c r="P234" s="251" t="s">
        <v>638</v>
      </c>
      <c r="Q234" s="246">
        <v>1</v>
      </c>
    </row>
    <row r="235" spans="15:17" x14ac:dyDescent="0.25">
      <c r="O235" s="250" t="s">
        <v>340</v>
      </c>
      <c r="P235" s="251" t="s">
        <v>639</v>
      </c>
      <c r="Q235" s="246">
        <v>1</v>
      </c>
    </row>
    <row r="236" spans="15:17" x14ac:dyDescent="0.25">
      <c r="O236" s="250" t="s">
        <v>341</v>
      </c>
      <c r="P236" s="251" t="s">
        <v>640</v>
      </c>
      <c r="Q236" s="246">
        <v>1</v>
      </c>
    </row>
    <row r="237" spans="15:17" x14ac:dyDescent="0.25">
      <c r="O237" s="250" t="s">
        <v>342</v>
      </c>
      <c r="P237" s="251" t="s">
        <v>641</v>
      </c>
      <c r="Q237" s="246">
        <v>1</v>
      </c>
    </row>
    <row r="238" spans="15:17" x14ac:dyDescent="0.25">
      <c r="O238" s="250" t="s">
        <v>343</v>
      </c>
      <c r="P238" s="251" t="s">
        <v>642</v>
      </c>
      <c r="Q238" s="246">
        <v>1</v>
      </c>
    </row>
    <row r="239" spans="15:17" x14ac:dyDescent="0.25">
      <c r="O239" s="250" t="s">
        <v>344</v>
      </c>
      <c r="P239" s="251" t="s">
        <v>643</v>
      </c>
      <c r="Q239" s="246">
        <v>1</v>
      </c>
    </row>
    <row r="240" spans="15:17" x14ac:dyDescent="0.25">
      <c r="O240" s="250" t="s">
        <v>345</v>
      </c>
      <c r="P240" s="251" t="s">
        <v>644</v>
      </c>
      <c r="Q240" s="246">
        <v>1</v>
      </c>
    </row>
    <row r="241" spans="15:17" x14ac:dyDescent="0.25">
      <c r="O241" s="250" t="s">
        <v>645</v>
      </c>
      <c r="P241" s="251" t="s">
        <v>646</v>
      </c>
      <c r="Q241" s="246">
        <v>1</v>
      </c>
    </row>
    <row r="242" spans="15:17" x14ac:dyDescent="0.25">
      <c r="O242" s="250" t="s">
        <v>647</v>
      </c>
      <c r="P242" s="251" t="s">
        <v>648</v>
      </c>
      <c r="Q242" s="246">
        <v>1</v>
      </c>
    </row>
    <row r="243" spans="15:17" x14ac:dyDescent="0.25">
      <c r="O243" s="250" t="s">
        <v>346</v>
      </c>
      <c r="P243" s="251" t="s">
        <v>649</v>
      </c>
      <c r="Q243" s="246">
        <v>1</v>
      </c>
    </row>
    <row r="244" spans="15:17" x14ac:dyDescent="0.25">
      <c r="O244" s="250" t="s">
        <v>347</v>
      </c>
      <c r="P244" s="251" t="s">
        <v>650</v>
      </c>
      <c r="Q244" s="246">
        <v>1</v>
      </c>
    </row>
    <row r="245" spans="15:17" x14ac:dyDescent="0.25">
      <c r="O245" s="250" t="s">
        <v>348</v>
      </c>
      <c r="P245" s="251" t="s">
        <v>651</v>
      </c>
      <c r="Q245" s="246">
        <v>1</v>
      </c>
    </row>
    <row r="246" spans="15:17" x14ac:dyDescent="0.25">
      <c r="O246" s="250" t="s">
        <v>349</v>
      </c>
      <c r="P246" s="251" t="s">
        <v>652</v>
      </c>
      <c r="Q246" s="246">
        <v>1</v>
      </c>
    </row>
    <row r="247" spans="15:17" x14ac:dyDescent="0.25">
      <c r="O247" s="404" t="s">
        <v>669</v>
      </c>
      <c r="P247" s="405" t="s">
        <v>670</v>
      </c>
      <c r="Q247" s="406">
        <v>1</v>
      </c>
    </row>
  </sheetData>
  <mergeCells count="42"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</mergeCells>
  <phoneticPr fontId="0" type="noConversion"/>
  <conditionalFormatting sqref="D6:E23 C6 C8:C23">
    <cfRule type="expression" dxfId="125" priority="5" stopIfTrue="1">
      <formula>AND($H$4="Kg")</formula>
    </cfRule>
  </conditionalFormatting>
  <conditionalFormatting sqref="F6:H9 F21:H23">
    <cfRule type="expression" dxfId="124" priority="6" stopIfTrue="1">
      <formula>AND($H$4="Lb")</formula>
    </cfRule>
  </conditionalFormatting>
  <conditionalFormatting sqref="F10:G20">
    <cfRule type="expression" dxfId="123" priority="4" stopIfTrue="1">
      <formula>AND($H$4="Lb")</formula>
    </cfRule>
  </conditionalFormatting>
  <conditionalFormatting sqref="F24:G24">
    <cfRule type="expression" dxfId="122" priority="3" stopIfTrue="1">
      <formula>AND($H$4="Lb")</formula>
    </cfRule>
  </conditionalFormatting>
  <conditionalFormatting sqref="H10:H20">
    <cfRule type="expression" dxfId="121" priority="2" stopIfTrue="1">
      <formula>AND($H$4="Lb")</formula>
    </cfRule>
  </conditionalFormatting>
  <conditionalFormatting sqref="C24:D24">
    <cfRule type="expression" dxfId="120" priority="1" stopIfTrue="1">
      <formula>AND($H$4="Kg")</formula>
    </cfRule>
  </conditionalFormatting>
  <dataValidations xWindow="324" yWindow="610" count="15">
    <dataValidation type="list" allowBlank="1" showInputMessage="1" showErrorMessage="1" sqref="O2 D2">
      <formula1>$BB$1:$BF$1</formula1>
    </dataValidation>
    <dataValidation type="list" allowBlank="1" showInputMessage="1" showErrorMessage="1" sqref="C10:C12 C14 F14 F10:F11 J24:J25">
      <formula1>"0,2,4,6,8,10,12,14,16,18,20"</formula1>
    </dataValidation>
    <dataValidation type="list" allowBlank="1" showInputMessage="1" showErrorMessage="1" sqref="J26:J28 C13 C15:C18 F13 F15:F18">
      <formula1>"2,4,6,8,10,12,14,16,18,20"</formula1>
    </dataValidation>
    <dataValidation type="list" allowBlank="1" showInputMessage="1" showErrorMessage="1" sqref="H4:H5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>
      <formula1>"BWt (Kg),BWt (Lb)"</formula1>
    </dataValidation>
    <dataValidation type="list" allowBlank="1" showInputMessage="1" showErrorMessage="1" promptTitle="Coefficients" prompt="Select Best Lifter Formula from list" sqref="K30:M31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>
      <formula1>"20,22.5,25,27.5,30,32.5,35"</formula1>
    </dataValidation>
    <dataValidation type="list" allowBlank="1" showInputMessage="1" showErrorMessage="1" sqref="G25:G26">
      <formula1>"yes,no"</formula1>
    </dataValidation>
    <dataValidation type="list" allowBlank="1" showInputMessage="1" showErrorMessage="1" sqref="F33:H33 F41:H41">
      <formula1>"Enable,Disable"</formula1>
    </dataValidation>
    <dataValidation type="list" allowBlank="1" showInputMessage="1" showErrorMessage="1" sqref="C42:D42">
      <formula1>$X$2:$X$3</formula1>
    </dataValidation>
    <dataValidation type="list" allowBlank="1" showInputMessage="1" showErrorMessage="1" sqref="F12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K101"/>
  <sheetViews>
    <sheetView zoomScaleNormal="100" workbookViewId="0">
      <selection sqref="A1:Q7"/>
    </sheetView>
  </sheetViews>
  <sheetFormatPr defaultRowHeight="13.2" x14ac:dyDescent="0.25"/>
  <cols>
    <col min="1" max="1" width="18.77734375" customWidth="1"/>
    <col min="2" max="2" width="5.77734375" style="5" customWidth="1"/>
    <col min="3" max="3" width="32.77734375" style="5" customWidth="1"/>
    <col min="4" max="4" width="14" style="5" customWidth="1"/>
    <col min="5" max="8" width="7.5546875" style="5" customWidth="1"/>
    <col min="9" max="9" width="9.5546875" style="5" customWidth="1"/>
    <col min="10" max="10" width="7.5546875" style="5" customWidth="1"/>
    <col min="11" max="13" width="9.77734375" style="414" customWidth="1"/>
    <col min="14" max="15" width="11.77734375" style="410" customWidth="1"/>
    <col min="16" max="17" width="8.88671875" style="5"/>
  </cols>
  <sheetData>
    <row r="1" spans="1:89" s="425" customFormat="1" ht="13.8" thickBot="1" x14ac:dyDescent="0.3">
      <c r="A1" s="424" t="s">
        <v>684</v>
      </c>
      <c r="B1" s="425" t="s">
        <v>685</v>
      </c>
      <c r="C1" s="426"/>
      <c r="D1" s="426"/>
      <c r="E1" s="426"/>
      <c r="F1" s="426"/>
      <c r="G1" s="426"/>
      <c r="H1" s="426"/>
      <c r="I1" s="426"/>
      <c r="J1" s="426"/>
      <c r="K1" s="427"/>
      <c r="L1" s="427"/>
      <c r="M1" s="427"/>
      <c r="N1" s="428"/>
      <c r="O1" s="428"/>
      <c r="P1" s="426"/>
      <c r="Q1" s="426"/>
    </row>
    <row r="2" spans="1:89" s="91" customFormat="1" ht="28.5" customHeight="1" thickBot="1" x14ac:dyDescent="0.3">
      <c r="A2" s="87" t="s">
        <v>0</v>
      </c>
      <c r="B2" s="88" t="s">
        <v>1</v>
      </c>
      <c r="C2" s="89" t="s">
        <v>29</v>
      </c>
      <c r="D2" s="89" t="s">
        <v>159</v>
      </c>
      <c r="E2" s="89" t="s">
        <v>103</v>
      </c>
      <c r="F2" s="429" t="s">
        <v>157</v>
      </c>
      <c r="G2" s="89" t="s">
        <v>17</v>
      </c>
      <c r="H2" s="89" t="s">
        <v>18</v>
      </c>
      <c r="I2" s="89" t="s">
        <v>19</v>
      </c>
      <c r="J2" s="89" t="s">
        <v>20</v>
      </c>
      <c r="K2" s="412" t="s">
        <v>21</v>
      </c>
      <c r="L2" s="413" t="s">
        <v>90</v>
      </c>
      <c r="M2" s="413" t="s">
        <v>95</v>
      </c>
      <c r="N2" s="409" t="s">
        <v>135</v>
      </c>
      <c r="O2" s="409" t="s">
        <v>30</v>
      </c>
      <c r="P2" s="89" t="s">
        <v>136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89" s="247" customFormat="1" x14ac:dyDescent="0.25">
      <c r="A3" s="425" t="s">
        <v>663</v>
      </c>
      <c r="B3" s="426">
        <v>48</v>
      </c>
      <c r="C3" s="426" t="s">
        <v>212</v>
      </c>
      <c r="D3" s="426">
        <v>119.8</v>
      </c>
      <c r="E3" s="426">
        <v>125</v>
      </c>
      <c r="F3" s="426">
        <v>0.55115000000000003</v>
      </c>
      <c r="G3" s="426">
        <v>307.5</v>
      </c>
      <c r="H3" s="426">
        <v>325</v>
      </c>
      <c r="I3" s="426">
        <v>-332.5</v>
      </c>
      <c r="J3" s="426"/>
      <c r="K3" s="427">
        <v>325</v>
      </c>
      <c r="L3" s="427">
        <v>179.12375</v>
      </c>
      <c r="M3" s="427">
        <v>196.49875374999999</v>
      </c>
      <c r="N3" s="428">
        <v>1</v>
      </c>
      <c r="O3" s="428" t="s">
        <v>682</v>
      </c>
      <c r="P3" s="426">
        <v>3</v>
      </c>
      <c r="Q3" s="426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</row>
    <row r="4" spans="1:89" s="248" customFormat="1" x14ac:dyDescent="0.25">
      <c r="B4" s="417"/>
      <c r="C4" s="417"/>
      <c r="D4" s="417"/>
      <c r="E4" s="417"/>
      <c r="F4" s="417"/>
      <c r="G4" s="417"/>
      <c r="H4" s="417"/>
      <c r="I4" s="417"/>
      <c r="J4" s="417"/>
      <c r="K4" s="421"/>
      <c r="L4" s="421"/>
      <c r="M4" s="421"/>
      <c r="N4" s="419"/>
      <c r="O4" s="419"/>
      <c r="P4" s="417"/>
      <c r="Q4" s="41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</row>
    <row r="5" spans="1:89" s="425" customFormat="1" ht="13.8" thickBot="1" x14ac:dyDescent="0.3">
      <c r="A5" s="424"/>
      <c r="B5" s="425" t="s">
        <v>686</v>
      </c>
      <c r="C5" s="426"/>
      <c r="D5" s="426"/>
      <c r="E5" s="426"/>
      <c r="F5" s="426"/>
      <c r="G5" s="426"/>
      <c r="H5" s="426"/>
      <c r="I5" s="426"/>
      <c r="J5" s="426"/>
      <c r="K5" s="427"/>
      <c r="L5" s="427"/>
      <c r="M5" s="427"/>
      <c r="N5" s="428"/>
      <c r="O5" s="428"/>
      <c r="P5" s="426"/>
      <c r="Q5" s="426"/>
    </row>
    <row r="6" spans="1:89" s="248" customFormat="1" ht="27" thickBot="1" x14ac:dyDescent="0.3">
      <c r="A6" s="87" t="s">
        <v>0</v>
      </c>
      <c r="B6" s="88" t="s">
        <v>1</v>
      </c>
      <c r="C6" s="89" t="s">
        <v>29</v>
      </c>
      <c r="D6" s="89" t="s">
        <v>159</v>
      </c>
      <c r="E6" s="89" t="s">
        <v>103</v>
      </c>
      <c r="F6" s="429" t="s">
        <v>157</v>
      </c>
      <c r="G6" s="89" t="s">
        <v>17</v>
      </c>
      <c r="H6" s="89" t="s">
        <v>18</v>
      </c>
      <c r="I6" s="89" t="s">
        <v>19</v>
      </c>
      <c r="J6" s="89" t="s">
        <v>20</v>
      </c>
      <c r="K6" s="412" t="s">
        <v>21</v>
      </c>
      <c r="L6" s="413" t="s">
        <v>90</v>
      </c>
      <c r="M6" s="413" t="s">
        <v>95</v>
      </c>
      <c r="N6" s="409" t="s">
        <v>135</v>
      </c>
      <c r="O6" s="409" t="s">
        <v>30</v>
      </c>
      <c r="P6" s="89" t="s">
        <v>136</v>
      </c>
      <c r="Q6" s="105" t="s">
        <v>44</v>
      </c>
    </row>
    <row r="7" spans="1:89" s="248" customFormat="1" x14ac:dyDescent="0.25">
      <c r="A7" s="425" t="s">
        <v>663</v>
      </c>
      <c r="B7" s="426">
        <v>48</v>
      </c>
      <c r="C7" s="426" t="s">
        <v>212</v>
      </c>
      <c r="D7" s="426">
        <v>119.8</v>
      </c>
      <c r="E7" s="426">
        <v>125</v>
      </c>
      <c r="F7" s="426">
        <v>0.55115000000000003</v>
      </c>
      <c r="G7" s="426">
        <v>677.91450000000009</v>
      </c>
      <c r="H7" s="426">
        <v>716.495</v>
      </c>
      <c r="I7" s="426">
        <v>-733.02949999999998</v>
      </c>
      <c r="J7" s="426">
        <v>0</v>
      </c>
      <c r="K7" s="427">
        <v>716.495</v>
      </c>
      <c r="L7" s="427">
        <v>179.12375</v>
      </c>
      <c r="M7" s="427">
        <v>196.49875374999999</v>
      </c>
      <c r="N7" s="428">
        <v>1</v>
      </c>
      <c r="O7" s="428" t="s">
        <v>682</v>
      </c>
      <c r="P7" s="426">
        <v>3</v>
      </c>
      <c r="Q7" s="426"/>
    </row>
    <row r="8" spans="1:89" ht="22.8" x14ac:dyDescent="0.25">
      <c r="A8" s="121"/>
      <c r="B8" s="407"/>
      <c r="C8" s="407"/>
      <c r="D8" s="407"/>
      <c r="E8" s="407"/>
      <c r="F8" s="407"/>
      <c r="G8" s="407"/>
      <c r="H8" s="407"/>
      <c r="I8" s="407"/>
      <c r="J8" s="407"/>
      <c r="K8" s="411"/>
      <c r="L8" s="411"/>
      <c r="M8" s="411"/>
      <c r="N8" s="408"/>
      <c r="O8" s="408"/>
      <c r="P8" s="407"/>
      <c r="Q8" s="407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</row>
    <row r="9" spans="1:89" ht="22.8" x14ac:dyDescent="0.25">
      <c r="A9" s="121"/>
      <c r="B9" s="407"/>
      <c r="C9" s="407"/>
      <c r="D9" s="407"/>
      <c r="E9" s="407"/>
      <c r="F9" s="407"/>
      <c r="G9" s="407"/>
      <c r="H9" s="407"/>
      <c r="I9" s="407"/>
      <c r="J9" s="407"/>
      <c r="K9" s="411"/>
      <c r="L9" s="411"/>
      <c r="M9" s="411"/>
      <c r="N9" s="408"/>
      <c r="O9" s="408"/>
      <c r="P9" s="407"/>
      <c r="Q9" s="407"/>
    </row>
    <row r="10" spans="1:89" s="247" customFormat="1" ht="22.8" x14ac:dyDescent="0.25">
      <c r="A10"/>
      <c r="B10" s="5"/>
      <c r="C10" s="5"/>
      <c r="D10" s="5"/>
      <c r="E10" s="5"/>
      <c r="F10" s="5"/>
      <c r="G10" s="5"/>
      <c r="H10" s="5"/>
      <c r="I10" s="5"/>
      <c r="J10" s="5"/>
      <c r="K10" s="414"/>
      <c r="L10" s="414"/>
      <c r="M10" s="414"/>
      <c r="N10" s="410"/>
      <c r="O10" s="410"/>
      <c r="P10" s="5"/>
      <c r="Q10" s="5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</row>
    <row r="11" spans="1:89" s="248" customFormat="1" x14ac:dyDescent="0.25">
      <c r="A11" s="247"/>
      <c r="B11" s="416"/>
      <c r="C11" s="416"/>
      <c r="D11" s="416"/>
      <c r="E11" s="416"/>
      <c r="F11" s="416"/>
      <c r="G11" s="416"/>
      <c r="H11" s="416"/>
      <c r="I11" s="416"/>
      <c r="J11" s="416"/>
      <c r="K11" s="420"/>
      <c r="L11" s="420"/>
      <c r="M11" s="420"/>
      <c r="N11" s="418"/>
      <c r="O11" s="418"/>
      <c r="P11" s="416"/>
      <c r="Q11" s="416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</row>
    <row r="12" spans="1:89" s="121" customFormat="1" ht="22.8" x14ac:dyDescent="0.25">
      <c r="A12"/>
      <c r="B12" s="5"/>
      <c r="C12" s="5"/>
      <c r="D12" s="5"/>
      <c r="E12" s="5"/>
      <c r="F12" s="5"/>
      <c r="G12" s="5"/>
      <c r="H12" s="5"/>
      <c r="I12" s="5"/>
      <c r="J12" s="5"/>
      <c r="K12" s="414"/>
      <c r="L12" s="414"/>
      <c r="M12" s="414"/>
      <c r="N12" s="410"/>
      <c r="O12" s="410"/>
      <c r="P12" s="5"/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121" customFormat="1" ht="22.8" x14ac:dyDescent="0.25">
      <c r="A13"/>
      <c r="B13" s="5"/>
      <c r="C13" s="5"/>
      <c r="D13" s="5"/>
      <c r="E13" s="5"/>
      <c r="F13" s="5"/>
      <c r="G13" s="5"/>
      <c r="H13" s="5"/>
      <c r="I13" s="5"/>
      <c r="J13" s="5"/>
      <c r="K13" s="414"/>
      <c r="L13" s="414"/>
      <c r="M13" s="414"/>
      <c r="N13" s="410"/>
      <c r="O13" s="410"/>
      <c r="P13" s="5"/>
      <c r="Q13" s="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x14ac:dyDescent="0.25"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</row>
    <row r="15" spans="1:89" s="247" customFormat="1" ht="22.8" x14ac:dyDescent="0.25">
      <c r="A15" s="121"/>
      <c r="B15" s="407"/>
      <c r="C15" s="407"/>
      <c r="D15" s="407"/>
      <c r="E15" s="407"/>
      <c r="F15" s="407"/>
      <c r="G15" s="407"/>
      <c r="H15" s="407"/>
      <c r="I15" s="407"/>
      <c r="J15" s="407"/>
      <c r="K15" s="411"/>
      <c r="L15" s="411"/>
      <c r="M15" s="411"/>
      <c r="N15" s="408"/>
      <c r="O15" s="408"/>
      <c r="P15" s="407"/>
      <c r="Q15" s="407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</row>
    <row r="30" spans="2:17" s="247" customFormat="1" x14ac:dyDescent="0.25">
      <c r="B30" s="416"/>
      <c r="C30" s="416"/>
      <c r="D30" s="416"/>
      <c r="E30" s="416"/>
      <c r="F30" s="416"/>
      <c r="G30" s="416"/>
      <c r="H30" s="416"/>
      <c r="I30" s="416"/>
      <c r="J30" s="416"/>
      <c r="K30" s="420"/>
      <c r="L30" s="420"/>
      <c r="M30" s="420"/>
      <c r="N30" s="418"/>
      <c r="O30" s="418"/>
      <c r="P30" s="416"/>
      <c r="Q30" s="416"/>
    </row>
    <row r="37" spans="2:17" s="248" customFormat="1" x14ac:dyDescent="0.25">
      <c r="B37" s="417"/>
      <c r="C37" s="417"/>
      <c r="D37" s="417"/>
      <c r="E37" s="417"/>
      <c r="F37" s="417"/>
      <c r="G37" s="417"/>
      <c r="H37" s="417"/>
      <c r="I37" s="417"/>
      <c r="J37" s="417"/>
      <c r="K37" s="421"/>
      <c r="L37" s="421"/>
      <c r="M37" s="421"/>
      <c r="N37" s="419"/>
      <c r="O37" s="419"/>
      <c r="P37" s="417"/>
      <c r="Q37" s="417"/>
    </row>
    <row r="51" spans="2:17" s="247" customFormat="1" x14ac:dyDescent="0.25">
      <c r="B51" s="416"/>
      <c r="C51" s="416"/>
      <c r="D51" s="416"/>
      <c r="E51" s="416"/>
      <c r="F51" s="416"/>
      <c r="G51" s="416"/>
      <c r="H51" s="416"/>
      <c r="I51" s="416"/>
      <c r="J51" s="416"/>
      <c r="K51" s="420"/>
      <c r="L51" s="420"/>
      <c r="M51" s="420"/>
      <c r="N51" s="418"/>
      <c r="O51" s="418"/>
      <c r="P51" s="416"/>
      <c r="Q51" s="416"/>
    </row>
    <row r="55" spans="2:17" s="247" customFormat="1" x14ac:dyDescent="0.25">
      <c r="B55" s="416"/>
      <c r="C55" s="416"/>
      <c r="D55" s="416"/>
      <c r="E55" s="416"/>
      <c r="F55" s="416"/>
      <c r="G55" s="416"/>
      <c r="H55" s="416"/>
      <c r="I55" s="416"/>
      <c r="J55" s="416"/>
      <c r="K55" s="420"/>
      <c r="L55" s="420"/>
      <c r="M55" s="420"/>
      <c r="N55" s="418"/>
      <c r="O55" s="418"/>
      <c r="P55" s="416"/>
      <c r="Q55" s="416"/>
    </row>
    <row r="88" spans="2:17" s="247" customFormat="1" x14ac:dyDescent="0.25">
      <c r="B88" s="416"/>
      <c r="C88" s="416"/>
      <c r="D88" s="416"/>
      <c r="E88" s="416"/>
      <c r="F88" s="416"/>
      <c r="G88" s="416"/>
      <c r="H88" s="416"/>
      <c r="I88" s="416"/>
      <c r="J88" s="416"/>
      <c r="K88" s="420"/>
      <c r="L88" s="420"/>
      <c r="M88" s="420"/>
      <c r="N88" s="418"/>
      <c r="O88" s="418"/>
      <c r="P88" s="416"/>
      <c r="Q88" s="416"/>
    </row>
    <row r="89" spans="2:17" s="248" customFormat="1" x14ac:dyDescent="0.25">
      <c r="B89" s="417"/>
      <c r="C89" s="417"/>
      <c r="D89" s="417"/>
      <c r="E89" s="417"/>
      <c r="F89" s="417"/>
      <c r="G89" s="417"/>
      <c r="H89" s="417"/>
      <c r="I89" s="417"/>
      <c r="J89" s="417"/>
      <c r="K89" s="421"/>
      <c r="L89" s="421"/>
      <c r="M89" s="421"/>
      <c r="N89" s="419"/>
      <c r="O89" s="419"/>
      <c r="P89" s="417"/>
      <c r="Q89" s="417"/>
    </row>
    <row r="101" spans="2:17" s="121" customFormat="1" ht="22.8" x14ac:dyDescent="0.25">
      <c r="B101" s="407"/>
      <c r="C101" s="407"/>
      <c r="D101" s="407"/>
      <c r="E101" s="407"/>
      <c r="F101" s="407"/>
      <c r="G101" s="407"/>
      <c r="H101" s="407"/>
      <c r="I101" s="407"/>
      <c r="J101" s="407"/>
      <c r="K101" s="411"/>
      <c r="L101" s="411"/>
      <c r="M101" s="411"/>
      <c r="N101" s="408"/>
      <c r="O101" s="408"/>
      <c r="P101" s="407"/>
      <c r="Q101" s="407"/>
    </row>
  </sheetData>
  <phoneticPr fontId="0" type="noConversion"/>
  <conditionalFormatting sqref="G2:J2">
    <cfRule type="cellIs" dxfId="20" priority="2" stopIfTrue="1" operator="equal">
      <formula>#REF!</formula>
    </cfRule>
  </conditionalFormatting>
  <conditionalFormatting sqref="G6:J6">
    <cfRule type="cellIs" dxfId="19" priority="1" stopIfTrue="1" operator="equal">
      <formula>#REF!</formula>
    </cfRule>
  </conditionalFormatting>
  <printOptions gridLines="1"/>
  <pageMargins left="0.75" right="0.75" top="1" bottom="1" header="0.5" footer="0.5"/>
  <pageSetup paperSize="5" scale="8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/>
  </sheetViews>
  <sheetFormatPr defaultRowHeight="13.2" x14ac:dyDescent="0.25"/>
  <cols>
    <col min="1" max="2" width="9.109375" style="5"/>
    <col min="5" max="5" width="8.33203125" customWidth="1"/>
    <col min="6" max="6" width="9.44140625" customWidth="1"/>
    <col min="7" max="7" width="16.554687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43" t="s">
        <v>1</v>
      </c>
      <c r="B1" s="43" t="s">
        <v>3</v>
      </c>
      <c r="E1" s="69" t="s">
        <v>40</v>
      </c>
      <c r="F1" s="69"/>
      <c r="G1" s="69"/>
      <c r="H1" s="69"/>
      <c r="L1" s="92" t="s">
        <v>82</v>
      </c>
      <c r="M1" s="124" t="s">
        <v>115</v>
      </c>
      <c r="N1" s="124" t="s">
        <v>116</v>
      </c>
      <c r="O1" s="93" t="s">
        <v>120</v>
      </c>
      <c r="P1" s="93" t="s">
        <v>119</v>
      </c>
      <c r="Q1" s="92" t="s">
        <v>91</v>
      </c>
      <c r="R1" s="92" t="s">
        <v>92</v>
      </c>
      <c r="S1" s="93" t="s">
        <v>117</v>
      </c>
      <c r="T1" s="93" t="s">
        <v>118</v>
      </c>
      <c r="U1" s="93" t="s">
        <v>154</v>
      </c>
      <c r="V1" s="93" t="s">
        <v>155</v>
      </c>
    </row>
    <row r="2" spans="1:22" x14ac:dyDescent="0.25">
      <c r="A2" s="44">
        <v>14</v>
      </c>
      <c r="B2" s="44">
        <v>1.23</v>
      </c>
      <c r="C2" s="393" t="s">
        <v>72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44">
        <v>15</v>
      </c>
      <c r="B3" s="44">
        <v>1.18</v>
      </c>
      <c r="C3" s="393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44">
        <v>16</v>
      </c>
      <c r="B4" s="44">
        <v>1.1299999999999999</v>
      </c>
      <c r="C4" s="393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45">
        <v>17</v>
      </c>
      <c r="B5" s="45">
        <v>1.08</v>
      </c>
      <c r="C5" s="393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45">
        <v>18</v>
      </c>
      <c r="B6" s="45">
        <v>1.06</v>
      </c>
      <c r="C6" s="393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45">
        <v>19</v>
      </c>
      <c r="B7" s="45">
        <v>1.04</v>
      </c>
      <c r="C7" s="393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45">
        <v>20</v>
      </c>
      <c r="B8" s="45">
        <v>1.03</v>
      </c>
      <c r="C8" s="393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45">
        <v>21</v>
      </c>
      <c r="B9" s="45">
        <v>1.02</v>
      </c>
      <c r="C9" s="393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45">
        <v>22</v>
      </c>
      <c r="B10" s="45">
        <v>1.01</v>
      </c>
      <c r="C10" s="393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393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70"/>
      <c r="E12" s="391" t="s">
        <v>39</v>
      </c>
      <c r="F12" s="392"/>
      <c r="G12" s="71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46">
        <v>40</v>
      </c>
      <c r="B13" s="46">
        <v>1</v>
      </c>
      <c r="C13" s="394" t="s">
        <v>73</v>
      </c>
      <c r="D13" s="64"/>
      <c r="E13" s="72" t="s">
        <v>82</v>
      </c>
      <c r="F13" s="74" t="s">
        <v>83</v>
      </c>
      <c r="G13" s="3" t="s">
        <v>133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46">
        <v>41</v>
      </c>
      <c r="B14" s="46">
        <v>1.01</v>
      </c>
      <c r="C14" s="394"/>
      <c r="D14" s="64"/>
      <c r="E14" s="72">
        <v>44</v>
      </c>
      <c r="F14" s="74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46">
        <v>42</v>
      </c>
      <c r="B15" s="46">
        <v>1.02</v>
      </c>
      <c r="C15" s="394"/>
      <c r="D15" s="64"/>
      <c r="E15" s="72">
        <v>48</v>
      </c>
      <c r="F15" s="74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46">
        <v>43</v>
      </c>
      <c r="B16" s="46">
        <v>1.0309999999999999</v>
      </c>
      <c r="C16" s="394"/>
      <c r="D16" s="64"/>
      <c r="E16" s="72">
        <v>52</v>
      </c>
      <c r="F16" s="74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5">
      <c r="A17" s="46">
        <v>44</v>
      </c>
      <c r="B17" s="46">
        <v>1.0429999999999999</v>
      </c>
      <c r="C17" s="394"/>
      <c r="D17" s="64"/>
      <c r="E17" s="72">
        <v>56</v>
      </c>
      <c r="F17" s="74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5">
      <c r="A18" s="46">
        <v>45</v>
      </c>
      <c r="B18" s="46">
        <v>1.0549999999999999</v>
      </c>
      <c r="C18" s="394"/>
      <c r="D18" s="64"/>
      <c r="E18" s="72">
        <v>60</v>
      </c>
      <c r="F18" s="74">
        <v>132</v>
      </c>
      <c r="G18" s="3">
        <v>132.27600000000001</v>
      </c>
      <c r="J18" s="63"/>
      <c r="K18" s="63"/>
      <c r="L18" s="94">
        <v>41.7</v>
      </c>
      <c r="M18" s="94">
        <v>1.2562500000000001</v>
      </c>
      <c r="N18" s="94">
        <v>1.3065</v>
      </c>
      <c r="O18" s="94">
        <v>1.2466999999999999</v>
      </c>
      <c r="P18" s="94">
        <v>1.1578999999999999</v>
      </c>
      <c r="Q18" s="94">
        <v>1.2658</v>
      </c>
      <c r="R18" s="94">
        <v>1.4574</v>
      </c>
      <c r="S18" s="2">
        <v>1.2562500000000001</v>
      </c>
      <c r="T18" s="2">
        <v>1.3065</v>
      </c>
      <c r="V18" s="2">
        <v>2.9018000000000002</v>
      </c>
      <c r="W18" s="63"/>
      <c r="X18" s="64"/>
      <c r="Y18" s="64"/>
    </row>
    <row r="19" spans="1:25" ht="12.75" customHeight="1" x14ac:dyDescent="0.25">
      <c r="A19" s="46">
        <v>46</v>
      </c>
      <c r="B19" s="46">
        <v>1.0680000000000001</v>
      </c>
      <c r="C19" s="394"/>
      <c r="D19" s="64"/>
      <c r="E19" s="72">
        <v>67.5</v>
      </c>
      <c r="F19" s="74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5">
      <c r="A20" s="46">
        <v>47</v>
      </c>
      <c r="B20" s="46">
        <v>1.0820000000000001</v>
      </c>
      <c r="C20" s="394"/>
      <c r="D20" s="64"/>
      <c r="E20" s="72">
        <v>75</v>
      </c>
      <c r="F20" s="74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5">
      <c r="A21" s="46">
        <v>48</v>
      </c>
      <c r="B21" s="46">
        <v>1.097</v>
      </c>
      <c r="C21" s="394"/>
      <c r="D21" s="64"/>
      <c r="E21" s="72">
        <v>82.5</v>
      </c>
      <c r="F21" s="74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5">
      <c r="A22" s="46">
        <v>49</v>
      </c>
      <c r="B22" s="46">
        <v>1.113</v>
      </c>
      <c r="C22" s="394"/>
      <c r="D22" s="64"/>
      <c r="E22" s="72">
        <v>90</v>
      </c>
      <c r="F22" s="74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5">
      <c r="A23" s="46">
        <v>50</v>
      </c>
      <c r="B23" s="46">
        <v>1.1299999999999999</v>
      </c>
      <c r="D23" s="64"/>
      <c r="E23" s="72">
        <v>100</v>
      </c>
      <c r="F23" s="74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5">
      <c r="A24" s="46">
        <v>51</v>
      </c>
      <c r="B24" s="46">
        <v>1.147</v>
      </c>
      <c r="D24" s="64"/>
      <c r="E24" s="72">
        <v>110</v>
      </c>
      <c r="F24" s="74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5">
      <c r="A25" s="46">
        <v>52</v>
      </c>
      <c r="B25" s="46">
        <v>1.165</v>
      </c>
      <c r="D25" s="64"/>
      <c r="E25" s="72">
        <v>125</v>
      </c>
      <c r="F25" s="74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5">
      <c r="A26" s="46">
        <v>53</v>
      </c>
      <c r="B26" s="46">
        <v>1.1839999999999999</v>
      </c>
      <c r="D26" s="64"/>
      <c r="E26" s="72">
        <v>140</v>
      </c>
      <c r="F26" s="74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5">
      <c r="A27" s="46">
        <v>54</v>
      </c>
      <c r="B27" s="46">
        <v>1.204</v>
      </c>
      <c r="D27" s="64"/>
      <c r="E27" s="72">
        <v>145</v>
      </c>
      <c r="F27" s="74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5">
      <c r="A28" s="46">
        <v>55</v>
      </c>
      <c r="B28" s="46">
        <v>1.2250000000000001</v>
      </c>
      <c r="D28" s="64"/>
      <c r="E28" s="73" t="s">
        <v>81</v>
      </c>
      <c r="F28" s="75" t="s">
        <v>81</v>
      </c>
      <c r="G28" s="171" t="s">
        <v>134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5">
      <c r="A29" s="46">
        <v>56</v>
      </c>
      <c r="B29" s="46">
        <v>1.246</v>
      </c>
      <c r="D29" s="64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5">
      <c r="A30" s="47">
        <v>57</v>
      </c>
      <c r="B30" s="47">
        <v>1.268</v>
      </c>
      <c r="D30" s="64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5">
      <c r="A31" s="48">
        <v>58</v>
      </c>
      <c r="B31" s="48">
        <v>1.2909999999999999</v>
      </c>
      <c r="D31" s="64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5">
      <c r="A32" s="48">
        <v>59</v>
      </c>
      <c r="B32" s="48">
        <v>1.3149999999999999</v>
      </c>
      <c r="D32" s="64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48">
        <v>60</v>
      </c>
      <c r="B33" s="48">
        <v>1.34</v>
      </c>
      <c r="D33" s="64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48">
        <v>61</v>
      </c>
      <c r="B34" s="48">
        <v>1.3660000000000001</v>
      </c>
      <c r="D34" s="64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48">
        <v>62</v>
      </c>
      <c r="B35" s="48">
        <v>1.393</v>
      </c>
      <c r="D35" s="64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48">
        <v>63</v>
      </c>
      <c r="B36" s="48">
        <v>1.421</v>
      </c>
      <c r="D36" s="64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48">
        <v>64</v>
      </c>
      <c r="B37" s="48">
        <v>1.45</v>
      </c>
      <c r="D37" s="64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48">
        <v>65</v>
      </c>
      <c r="B38" s="48">
        <v>1.48</v>
      </c>
      <c r="D38" s="64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48">
        <v>66</v>
      </c>
      <c r="B39" s="48">
        <v>1.5109999999999999</v>
      </c>
      <c r="D39" s="64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48">
        <v>67</v>
      </c>
      <c r="B40" s="48">
        <v>1.5429999999999999</v>
      </c>
      <c r="D40" s="64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48">
        <v>68</v>
      </c>
      <c r="B41" s="48">
        <v>1.5760000000000001</v>
      </c>
      <c r="D41" s="64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48">
        <v>69</v>
      </c>
      <c r="B42" s="48">
        <v>1.61</v>
      </c>
      <c r="D42" s="64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48">
        <v>70</v>
      </c>
      <c r="B43" s="48">
        <v>1.645</v>
      </c>
      <c r="D43" s="64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48">
        <v>71</v>
      </c>
      <c r="B44" s="48">
        <v>1.681</v>
      </c>
      <c r="D44" s="64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48">
        <v>72</v>
      </c>
      <c r="B45" s="48">
        <v>1.718</v>
      </c>
      <c r="D45" s="64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48">
        <v>73</v>
      </c>
      <c r="B46" s="48">
        <v>1.756</v>
      </c>
      <c r="D46" s="64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48">
        <v>74</v>
      </c>
      <c r="B47" s="48">
        <v>1.7949999999999999</v>
      </c>
      <c r="D47" s="64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48">
        <v>75</v>
      </c>
      <c r="B48" s="48">
        <v>1.835</v>
      </c>
      <c r="D48" s="64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48">
        <v>76</v>
      </c>
      <c r="B49" s="48">
        <v>1.8759999999999999</v>
      </c>
      <c r="D49" s="64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48">
        <v>77</v>
      </c>
      <c r="B50" s="48">
        <v>1.9179999999999999</v>
      </c>
      <c r="D50" s="64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48">
        <v>78</v>
      </c>
      <c r="B51" s="48">
        <v>1.9610000000000001</v>
      </c>
      <c r="D51" s="64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48">
        <v>79</v>
      </c>
      <c r="B52" s="48">
        <v>2.0049999999999999</v>
      </c>
      <c r="D52" s="64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48">
        <v>80</v>
      </c>
      <c r="B53" s="48">
        <v>2.0499999999999998</v>
      </c>
      <c r="D53" s="64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12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12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12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12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12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12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12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12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12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12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12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12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12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12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12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12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12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12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12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12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12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12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12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12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12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12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12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12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12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12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12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12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12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12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12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12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12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12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12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12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12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12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12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12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12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12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12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12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12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12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12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12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12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12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12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12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12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12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12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12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12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12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12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12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12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12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12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12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12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12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12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12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12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12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12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12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12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12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12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12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12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12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12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12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12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12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12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12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12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12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12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12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12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12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12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12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12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12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12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12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12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12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12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12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12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12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12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12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12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12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12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12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12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12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12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12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12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12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12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12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12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12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12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12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12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12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12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12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12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12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12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12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12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12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12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12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12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12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12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12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12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12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12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12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12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12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12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12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93</v>
      </c>
      <c r="P860" s="12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12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12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12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12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12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12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12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12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12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12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12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12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12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12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12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12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12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12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12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12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12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12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12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12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12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12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12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12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12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12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12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12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12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12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12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12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12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12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12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12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12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12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12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12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12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12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12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12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12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12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12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12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12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12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12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12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12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12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12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12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12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12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12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12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12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12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12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12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12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12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12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12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12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12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12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12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12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12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12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12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12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12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12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12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12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12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12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12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12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12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12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12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12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12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12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12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12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12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12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12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12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12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12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12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12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12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12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12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12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12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12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12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12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12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12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12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12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12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12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12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12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12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12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12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12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12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12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12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12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12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12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12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12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12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12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12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12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12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12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12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12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12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12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12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12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12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12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12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12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12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12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12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12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12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12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12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12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12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12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12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12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12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12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12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12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12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12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12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12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12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12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12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12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12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12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12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12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12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12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12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12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12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12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12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12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12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12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12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12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12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12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12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12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12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12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12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12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12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12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12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12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12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12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12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12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12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12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12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12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12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12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12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12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12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12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12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12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12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12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12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12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12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12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12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12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12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12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12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12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12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12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12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12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12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12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12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12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12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12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12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12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12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12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12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12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12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12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12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12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12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12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12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12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12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12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12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12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12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12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12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12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12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12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12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12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12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12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12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12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12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12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12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12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12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12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12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12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12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12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12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12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12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12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12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12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12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12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12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12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12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12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12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12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12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12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12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12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12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12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12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12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12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12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12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12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12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12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12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12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12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12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12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12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12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12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12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12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12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12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12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12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12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12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12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12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12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12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12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12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12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12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12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12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12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12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12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12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12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12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12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12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12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12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12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12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12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12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12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12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12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12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12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12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12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12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12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12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12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12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12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12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12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12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12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12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12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12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12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12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12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12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12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12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12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12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12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12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12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12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12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12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12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12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12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12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12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12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12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12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12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12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12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12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12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12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12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12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12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12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12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12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12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12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12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12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12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12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12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12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12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12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12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12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12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12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12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12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12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12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12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12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12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12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12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12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12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12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12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12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12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12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12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12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12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12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12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12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12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12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12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12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12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12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12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12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12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12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12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12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12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12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12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12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12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12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12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12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12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12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12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12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12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12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12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12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12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12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12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12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12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12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12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12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12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12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12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12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12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12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12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12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12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12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12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12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12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12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12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12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12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12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12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12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12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12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12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12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12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12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12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12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12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12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12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12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12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12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12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12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12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12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12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12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12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12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12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12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12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12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12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12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12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12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12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12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12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12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12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12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12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12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12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12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12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12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12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12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12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12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12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12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12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12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12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12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12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12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12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12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12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12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12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12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12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12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12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12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12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12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12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12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12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12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12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12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12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12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12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12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12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12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12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12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12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12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12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12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12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12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12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12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12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12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12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12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12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12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12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12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12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12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12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12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12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12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12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12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12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12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12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12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12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12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12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12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12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12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12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12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12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12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12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12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12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12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12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12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12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12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12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12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12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12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12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12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12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12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12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12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12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12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12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12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12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12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12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12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12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12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12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12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12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12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12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12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12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12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12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12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12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12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12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12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12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12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12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12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12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12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12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12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12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12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12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12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12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12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12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12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12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12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12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12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12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12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12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12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12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12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12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12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12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12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12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12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12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12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12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12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12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12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12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12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12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12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12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12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12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12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12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12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12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12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12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12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12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12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12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12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12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12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12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12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12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12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12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12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12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12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12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12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12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12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12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12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12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12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12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12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12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12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12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12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12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12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12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12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12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12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12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12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12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12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12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12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12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12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12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12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12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12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12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12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12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12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12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12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12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12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12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12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12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12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12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12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12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12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12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12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12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12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12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12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12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12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12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12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12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12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12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12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12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12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12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12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12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12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12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12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12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12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12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12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12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12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12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12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12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12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12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12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12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12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12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12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12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12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12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12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12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12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12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12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12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12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12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12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12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12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12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12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12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12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12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12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12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12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12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12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12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12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12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12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12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12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12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12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12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12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12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12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12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12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12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12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12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12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12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12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12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12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12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12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12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12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12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12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12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12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12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12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12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12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12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12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12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12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12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12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12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12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12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12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12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12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12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12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12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12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12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12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12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12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12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12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12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12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12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12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12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12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12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12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12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12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12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12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12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12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12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12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12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12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12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12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12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12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12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12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12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12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12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12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12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12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12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12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12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12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12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12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12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12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12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12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12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12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12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12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12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12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12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12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12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12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12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12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12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12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12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12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12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12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12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12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12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12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12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12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12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12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12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12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12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12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12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12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12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12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12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12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12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12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12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12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12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12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12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12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12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12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12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12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12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12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12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12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12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12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12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12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12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12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12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12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12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12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12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12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12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12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12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12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12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12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12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12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12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12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12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12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12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12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12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12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12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12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12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12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12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12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12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12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12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12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12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12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12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12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12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12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12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12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12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12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12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12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12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12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12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12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12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12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12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12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12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12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12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12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12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12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12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12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12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12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12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12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12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12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12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Q90"/>
  <sheetViews>
    <sheetView topLeftCell="A73" zoomScaleNormal="100" workbookViewId="0">
      <selection activeCell="A2" sqref="A2"/>
    </sheetView>
  </sheetViews>
  <sheetFormatPr defaultRowHeight="13.2" x14ac:dyDescent="0.25"/>
  <cols>
    <col min="1" max="1" width="18.77734375" customWidth="1"/>
    <col min="2" max="2" width="5.77734375" style="5" customWidth="1"/>
    <col min="3" max="3" width="6.33203125" style="5" customWidth="1"/>
    <col min="4" max="4" width="6.5546875" style="5" customWidth="1"/>
    <col min="5" max="16" width="7.5546875" style="5" customWidth="1"/>
    <col min="17" max="19" width="9.77734375" style="414" customWidth="1"/>
    <col min="20" max="21" width="11.77734375" style="410" customWidth="1"/>
    <col min="22" max="23" width="8.88671875" style="5"/>
  </cols>
  <sheetData>
    <row r="1" spans="1:95" s="121" customFormat="1" ht="23.4" thickBot="1" x14ac:dyDescent="0.3">
      <c r="A1" s="415" t="s">
        <v>684</v>
      </c>
      <c r="B1" s="121" t="s">
        <v>685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11"/>
      <c r="R1" s="411"/>
      <c r="S1" s="411"/>
      <c r="T1" s="408"/>
      <c r="U1" s="408"/>
      <c r="V1" s="407"/>
      <c r="W1" s="407"/>
    </row>
    <row r="2" spans="1:95" s="91" customFormat="1" ht="28.5" customHeight="1" thickBot="1" x14ac:dyDescent="0.3">
      <c r="A2" s="87" t="s">
        <v>0</v>
      </c>
      <c r="B2" s="88" t="s">
        <v>1</v>
      </c>
      <c r="C2" s="89" t="s">
        <v>29</v>
      </c>
      <c r="D2" s="89" t="s">
        <v>159</v>
      </c>
      <c r="E2" s="89" t="s">
        <v>103</v>
      </c>
      <c r="F2" s="95" t="s">
        <v>157</v>
      </c>
      <c r="G2" s="90" t="s">
        <v>12</v>
      </c>
      <c r="H2" s="90" t="s">
        <v>13</v>
      </c>
      <c r="I2" s="90" t="s">
        <v>14</v>
      </c>
      <c r="J2" s="90" t="s">
        <v>113</v>
      </c>
      <c r="K2" s="89" t="s">
        <v>15</v>
      </c>
      <c r="L2" s="90" t="s">
        <v>17</v>
      </c>
      <c r="M2" s="90" t="s">
        <v>18</v>
      </c>
      <c r="N2" s="90" t="s">
        <v>19</v>
      </c>
      <c r="O2" s="90" t="s">
        <v>20</v>
      </c>
      <c r="P2" s="90" t="s">
        <v>21</v>
      </c>
      <c r="Q2" s="412" t="s">
        <v>67</v>
      </c>
      <c r="R2" s="413" t="s">
        <v>90</v>
      </c>
      <c r="S2" s="413" t="s">
        <v>95</v>
      </c>
      <c r="T2" s="409" t="s">
        <v>135</v>
      </c>
      <c r="U2" s="409" t="s">
        <v>30</v>
      </c>
      <c r="V2" s="89" t="s">
        <v>136</v>
      </c>
      <c r="W2" s="105" t="s">
        <v>44</v>
      </c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5" spans="1:95" s="121" customFormat="1" ht="14.25" customHeight="1" x14ac:dyDescent="0.25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414"/>
      <c r="R5" s="414"/>
      <c r="S5" s="414"/>
      <c r="T5" s="410"/>
      <c r="U5" s="410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7" spans="1:95" ht="22.8" x14ac:dyDescent="0.25"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</row>
    <row r="15" spans="1:95" ht="22.8" x14ac:dyDescent="0.25">
      <c r="A15" s="121"/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11"/>
      <c r="R15" s="411"/>
      <c r="S15" s="411"/>
      <c r="T15" s="408"/>
      <c r="U15" s="408"/>
      <c r="V15" s="407"/>
      <c r="W15" s="407"/>
    </row>
    <row r="29" ht="12.75" customHeight="1" x14ac:dyDescent="0.25"/>
    <row r="38" ht="13.5" customHeight="1" x14ac:dyDescent="0.25"/>
    <row r="40" ht="12.75" customHeight="1" x14ac:dyDescent="0.25"/>
    <row r="51" spans="2:23" s="121" customFormat="1" ht="22.8" x14ac:dyDescent="0.25">
      <c r="B51" s="407"/>
      <c r="C51" s="407"/>
      <c r="D51" s="407"/>
      <c r="E51" s="407"/>
      <c r="F51" s="407"/>
      <c r="G51" s="407"/>
      <c r="H51" s="407"/>
      <c r="I51" s="407"/>
      <c r="J51" s="407"/>
      <c r="K51" s="407"/>
      <c r="L51" s="407"/>
      <c r="M51" s="407"/>
      <c r="N51" s="407"/>
      <c r="O51" s="407"/>
      <c r="P51" s="407"/>
      <c r="Q51" s="411"/>
      <c r="R51" s="411"/>
      <c r="S51" s="411"/>
      <c r="T51" s="408"/>
      <c r="U51" s="408"/>
      <c r="V51" s="407"/>
      <c r="W51" s="407"/>
    </row>
    <row r="90" ht="13.5" customHeight="1" x14ac:dyDescent="0.25"/>
  </sheetData>
  <phoneticPr fontId="0" type="noConversion"/>
  <conditionalFormatting sqref="G2:J2 L2:O2">
    <cfRule type="cellIs" dxfId="18" priority="1" stopIfTrue="1" operator="equal">
      <formula>#REF!</formula>
    </cfRule>
  </conditionalFormatting>
  <printOptions gridLines="1"/>
  <pageMargins left="0.75" right="0.75" top="1" bottom="1" header="0.5" footer="0.5"/>
  <pageSetup paperSize="5" scale="81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464"/>
  <sheetViews>
    <sheetView topLeftCell="C1" workbookViewId="0">
      <selection activeCell="C1" sqref="C1:AI62"/>
    </sheetView>
  </sheetViews>
  <sheetFormatPr defaultColWidth="9.109375" defaultRowHeight="10.199999999999999" x14ac:dyDescent="0.2"/>
  <cols>
    <col min="1" max="1" width="9.109375" style="50" hidden="1" customWidth="1"/>
    <col min="2" max="2" width="3.109375" style="49" hidden="1" customWidth="1"/>
    <col min="3" max="3" width="15.88671875" style="60" customWidth="1"/>
    <col min="4" max="4" width="4.109375" style="49" customWidth="1"/>
    <col min="5" max="5" width="4.6640625" style="49" customWidth="1"/>
    <col min="6" max="6" width="5.88671875" style="49" customWidth="1"/>
    <col min="7" max="7" width="5.5546875" style="49" customWidth="1"/>
    <col min="8" max="8" width="8.33203125" style="54" customWidth="1"/>
    <col min="9" max="9" width="3.6640625" style="49" hidden="1" customWidth="1"/>
    <col min="10" max="10" width="5.6640625" style="49" hidden="1" customWidth="1"/>
    <col min="11" max="13" width="5.6640625" style="49" customWidth="1"/>
    <col min="14" max="16" width="5.6640625" style="49" hidden="1" customWidth="1"/>
    <col min="17" max="19" width="5.6640625" style="49" customWidth="1"/>
    <col min="20" max="22" width="5.6640625" style="49" hidden="1" customWidth="1"/>
    <col min="23" max="25" width="5.6640625" style="51" customWidth="1"/>
    <col min="26" max="27" width="5.6640625" style="49" hidden="1" customWidth="1"/>
    <col min="28" max="28" width="7" style="55" customWidth="1"/>
    <col min="29" max="30" width="7" style="58" customWidth="1"/>
    <col min="31" max="31" width="5.33203125" style="103" customWidth="1"/>
    <col min="32" max="32" width="7.88671875" style="103" customWidth="1"/>
    <col min="33" max="33" width="7" style="58" customWidth="1"/>
    <col min="34" max="34" width="8.6640625" style="58" customWidth="1"/>
    <col min="35" max="35" width="8.44140625" style="56" customWidth="1"/>
    <col min="36" max="36" width="9.109375" style="50" hidden="1" customWidth="1"/>
    <col min="37" max="47" width="0" style="50" hidden="1" customWidth="1"/>
    <col min="48" max="16384" width="9.109375" style="50"/>
  </cols>
  <sheetData>
    <row r="1" spans="1:35" ht="28.5" customHeight="1" thickBot="1" x14ac:dyDescent="0.45">
      <c r="C1" s="149" t="str">
        <f>Setup!K2</f>
        <v>October 7th 2017</v>
      </c>
      <c r="D1" s="395" t="str">
        <f>Setup!C2</f>
        <v>APF Power Pit Classic</v>
      </c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7"/>
    </row>
    <row r="2" spans="1:35" s="150" customFormat="1" ht="34.5" customHeight="1" thickBot="1" x14ac:dyDescent="0.3">
      <c r="A2" s="150" t="s">
        <v>31</v>
      </c>
      <c r="B2" s="151" t="s">
        <v>105</v>
      </c>
      <c r="C2" s="152" t="s">
        <v>0</v>
      </c>
      <c r="D2" s="153" t="s">
        <v>1</v>
      </c>
      <c r="E2" s="153" t="s">
        <v>29</v>
      </c>
      <c r="F2" s="153" t="str">
        <f>Lifting!F8</f>
        <v>BWt (Kg)</v>
      </c>
      <c r="G2" s="153" t="str">
        <f>Lifting!G8</f>
        <v>WtCls (Kg)</v>
      </c>
      <c r="H2" s="154" t="str">
        <f>Lifting!H8</f>
        <v>Glossbrenner</v>
      </c>
      <c r="I2" s="153" t="s">
        <v>2</v>
      </c>
      <c r="J2" s="153" t="s">
        <v>26</v>
      </c>
      <c r="K2" s="153" t="s">
        <v>22</v>
      </c>
      <c r="L2" s="153" t="s">
        <v>23</v>
      </c>
      <c r="M2" s="153" t="s">
        <v>24</v>
      </c>
      <c r="N2" s="153" t="s">
        <v>25</v>
      </c>
      <c r="O2" s="153" t="s">
        <v>11</v>
      </c>
      <c r="P2" s="153" t="s">
        <v>27</v>
      </c>
      <c r="Q2" s="153" t="s">
        <v>12</v>
      </c>
      <c r="R2" s="153" t="s">
        <v>13</v>
      </c>
      <c r="S2" s="153" t="s">
        <v>14</v>
      </c>
      <c r="T2" s="153" t="s">
        <v>28</v>
      </c>
      <c r="U2" s="153" t="s">
        <v>15</v>
      </c>
      <c r="V2" s="153" t="s">
        <v>16</v>
      </c>
      <c r="W2" s="153" t="s">
        <v>17</v>
      </c>
      <c r="X2" s="153" t="s">
        <v>18</v>
      </c>
      <c r="Y2" s="153" t="s">
        <v>19</v>
      </c>
      <c r="Z2" s="153" t="s">
        <v>20</v>
      </c>
      <c r="AA2" s="153" t="s">
        <v>21</v>
      </c>
      <c r="AB2" s="155" t="str">
        <f>Lifting!AB8</f>
        <v>PL Total</v>
      </c>
      <c r="AC2" s="156" t="s">
        <v>90</v>
      </c>
      <c r="AD2" s="156" t="s">
        <v>95</v>
      </c>
      <c r="AE2" s="156" t="s">
        <v>100</v>
      </c>
      <c r="AF2" s="156" t="s">
        <v>30</v>
      </c>
      <c r="AG2" s="156" t="s">
        <v>37</v>
      </c>
      <c r="AH2" s="156" t="s">
        <v>44</v>
      </c>
      <c r="AI2" s="157" t="s">
        <v>101</v>
      </c>
    </row>
    <row r="3" spans="1:35" ht="14.25" customHeight="1" x14ac:dyDescent="0.2">
      <c r="B3" s="51"/>
      <c r="C3" s="61"/>
      <c r="D3" s="51"/>
      <c r="E3" s="51"/>
      <c r="F3" s="51"/>
      <c r="G3" s="51"/>
      <c r="H3" s="52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Z3" s="51"/>
      <c r="AA3" s="51"/>
      <c r="AB3" s="57"/>
      <c r="AC3" s="59"/>
      <c r="AD3" s="59"/>
      <c r="AE3" s="102"/>
      <c r="AF3" s="102"/>
      <c r="AG3" s="59"/>
      <c r="AH3" s="59"/>
      <c r="AI3" s="53"/>
    </row>
    <row r="4" spans="1:35" ht="14.25" customHeight="1" x14ac:dyDescent="0.2">
      <c r="B4" s="51"/>
      <c r="C4" s="61"/>
      <c r="D4" s="51"/>
      <c r="E4" s="51"/>
      <c r="F4" s="51"/>
      <c r="G4" s="51"/>
      <c r="H4" s="52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Z4" s="51"/>
      <c r="AA4" s="51"/>
      <c r="AB4" s="57"/>
      <c r="AC4" s="59"/>
      <c r="AD4" s="59"/>
      <c r="AE4" s="102"/>
      <c r="AF4" s="102"/>
      <c r="AG4" s="59"/>
      <c r="AH4" s="59"/>
      <c r="AI4" s="53"/>
    </row>
    <row r="5" spans="1:35" ht="14.25" customHeight="1" x14ac:dyDescent="0.2">
      <c r="B5" s="51"/>
      <c r="C5" s="61"/>
      <c r="D5" s="51"/>
      <c r="E5" s="51"/>
      <c r="F5" s="51"/>
      <c r="G5" s="51"/>
      <c r="H5" s="52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Z5" s="51"/>
      <c r="AA5" s="51"/>
      <c r="AB5" s="57"/>
      <c r="AC5" s="59"/>
      <c r="AD5" s="59"/>
      <c r="AE5" s="102"/>
      <c r="AF5" s="102"/>
      <c r="AG5" s="59"/>
      <c r="AH5" s="59"/>
      <c r="AI5" s="53"/>
    </row>
    <row r="6" spans="1:35" ht="14.25" customHeight="1" x14ac:dyDescent="0.2">
      <c r="B6" s="51"/>
      <c r="C6" s="61"/>
      <c r="D6" s="51"/>
      <c r="E6" s="51"/>
      <c r="F6" s="51"/>
      <c r="G6" s="51"/>
      <c r="H6" s="52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Z6" s="51"/>
      <c r="AA6" s="51"/>
      <c r="AB6" s="57"/>
      <c r="AC6" s="59"/>
      <c r="AD6" s="59"/>
      <c r="AE6" s="102"/>
      <c r="AF6" s="102"/>
      <c r="AG6" s="59"/>
      <c r="AH6" s="59"/>
      <c r="AI6" s="53"/>
    </row>
    <row r="7" spans="1:35" ht="14.25" customHeight="1" x14ac:dyDescent="0.2">
      <c r="B7" s="51"/>
      <c r="C7" s="61"/>
      <c r="D7" s="51"/>
      <c r="E7" s="51"/>
      <c r="F7" s="51"/>
      <c r="G7" s="51"/>
      <c r="H7" s="52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Z7" s="51"/>
      <c r="AA7" s="51"/>
      <c r="AB7" s="57"/>
      <c r="AC7" s="59"/>
      <c r="AD7" s="59"/>
      <c r="AE7" s="102"/>
      <c r="AF7" s="102"/>
      <c r="AG7" s="59"/>
      <c r="AH7" s="59"/>
      <c r="AI7" s="53"/>
    </row>
    <row r="8" spans="1:35" ht="14.25" customHeight="1" x14ac:dyDescent="0.2">
      <c r="B8" s="51"/>
      <c r="C8" s="61"/>
      <c r="D8" s="51"/>
      <c r="E8" s="51"/>
      <c r="F8" s="51"/>
      <c r="G8" s="51"/>
      <c r="H8" s="52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Z8" s="51"/>
      <c r="AA8" s="51"/>
      <c r="AB8" s="57"/>
      <c r="AC8" s="59"/>
      <c r="AD8" s="59"/>
      <c r="AE8" s="102"/>
      <c r="AF8" s="102"/>
      <c r="AG8" s="59"/>
      <c r="AH8" s="59"/>
      <c r="AI8" s="53"/>
    </row>
    <row r="9" spans="1:35" ht="14.25" customHeight="1" x14ac:dyDescent="0.2">
      <c r="B9" s="51"/>
      <c r="C9" s="61"/>
      <c r="D9" s="51"/>
      <c r="E9" s="51"/>
      <c r="F9" s="51"/>
      <c r="G9" s="51"/>
      <c r="H9" s="52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Z9" s="51"/>
      <c r="AA9" s="51"/>
      <c r="AB9" s="57"/>
      <c r="AC9" s="59"/>
      <c r="AD9" s="59"/>
      <c r="AE9" s="102"/>
      <c r="AF9" s="102"/>
      <c r="AG9" s="59"/>
      <c r="AH9" s="59"/>
      <c r="AI9" s="53"/>
    </row>
    <row r="10" spans="1:35" ht="14.25" customHeight="1" x14ac:dyDescent="0.2">
      <c r="B10" s="51"/>
      <c r="C10" s="61"/>
      <c r="D10" s="51"/>
      <c r="E10" s="51"/>
      <c r="F10" s="51"/>
      <c r="G10" s="51"/>
      <c r="H10" s="5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Z10" s="51"/>
      <c r="AA10" s="51"/>
      <c r="AB10" s="57"/>
      <c r="AC10" s="59"/>
      <c r="AD10" s="59"/>
      <c r="AE10" s="102"/>
      <c r="AF10" s="102"/>
      <c r="AG10" s="59"/>
      <c r="AH10" s="59"/>
      <c r="AI10" s="53"/>
    </row>
    <row r="11" spans="1:35" ht="14.25" customHeight="1" x14ac:dyDescent="0.2">
      <c r="B11" s="51"/>
      <c r="C11" s="61"/>
      <c r="D11" s="51"/>
      <c r="E11" s="51"/>
      <c r="F11" s="51"/>
      <c r="G11" s="51"/>
      <c r="H11" s="52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Z11" s="51"/>
      <c r="AA11" s="51"/>
      <c r="AB11" s="57"/>
      <c r="AC11" s="59"/>
      <c r="AD11" s="59"/>
      <c r="AE11" s="102"/>
      <c r="AF11" s="102"/>
      <c r="AG11" s="59"/>
      <c r="AH11" s="59"/>
      <c r="AI11" s="53"/>
    </row>
    <row r="12" spans="1:35" ht="14.25" customHeight="1" x14ac:dyDescent="0.2">
      <c r="B12" s="51"/>
      <c r="C12" s="61"/>
      <c r="D12" s="51"/>
      <c r="E12" s="51"/>
      <c r="F12" s="51"/>
      <c r="G12" s="51"/>
      <c r="H12" s="52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Z12" s="51"/>
      <c r="AA12" s="51"/>
      <c r="AB12" s="57"/>
      <c r="AC12" s="59"/>
      <c r="AD12" s="59"/>
      <c r="AE12" s="102"/>
      <c r="AF12" s="102"/>
      <c r="AG12" s="59"/>
      <c r="AH12" s="59"/>
      <c r="AI12" s="53"/>
    </row>
    <row r="13" spans="1:35" ht="14.25" customHeight="1" x14ac:dyDescent="0.2">
      <c r="B13" s="51"/>
      <c r="C13" s="61"/>
      <c r="D13" s="51"/>
      <c r="E13" s="51"/>
      <c r="F13" s="51"/>
      <c r="G13" s="51"/>
      <c r="H13" s="52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Z13" s="51"/>
      <c r="AA13" s="51"/>
      <c r="AB13" s="57"/>
      <c r="AC13" s="59"/>
      <c r="AD13" s="59"/>
      <c r="AE13" s="102"/>
      <c r="AF13" s="102"/>
      <c r="AG13" s="59"/>
      <c r="AH13" s="59"/>
      <c r="AI13" s="53"/>
    </row>
    <row r="14" spans="1:35" ht="14.25" customHeight="1" x14ac:dyDescent="0.2">
      <c r="B14" s="51"/>
      <c r="C14" s="61"/>
      <c r="D14" s="51"/>
      <c r="E14" s="51"/>
      <c r="F14" s="51"/>
      <c r="G14" s="51"/>
      <c r="H14" s="52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Z14" s="51"/>
      <c r="AA14" s="51"/>
      <c r="AB14" s="57"/>
      <c r="AC14" s="59"/>
      <c r="AD14" s="59"/>
      <c r="AE14" s="102"/>
      <c r="AF14" s="102"/>
      <c r="AG14" s="59"/>
      <c r="AH14" s="59"/>
      <c r="AI14" s="53"/>
    </row>
    <row r="15" spans="1:35" ht="14.25" customHeight="1" x14ac:dyDescent="0.2">
      <c r="B15" s="51"/>
      <c r="C15" s="61"/>
      <c r="D15" s="51"/>
      <c r="E15" s="51"/>
      <c r="F15" s="51"/>
      <c r="G15" s="51"/>
      <c r="H15" s="52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Z15" s="51"/>
      <c r="AA15" s="51"/>
      <c r="AB15" s="57"/>
      <c r="AC15" s="59"/>
      <c r="AD15" s="59"/>
      <c r="AE15" s="102"/>
      <c r="AF15" s="102"/>
      <c r="AG15" s="59"/>
      <c r="AH15" s="59"/>
      <c r="AI15" s="53"/>
    </row>
    <row r="16" spans="1:35" ht="14.25" customHeight="1" x14ac:dyDescent="0.2">
      <c r="B16" s="51"/>
      <c r="C16" s="61"/>
      <c r="D16" s="51"/>
      <c r="E16" s="51"/>
      <c r="F16" s="51"/>
      <c r="G16" s="51"/>
      <c r="H16" s="52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Z16" s="51"/>
      <c r="AA16" s="51"/>
      <c r="AB16" s="57"/>
      <c r="AC16" s="59"/>
      <c r="AD16" s="59"/>
      <c r="AE16" s="102"/>
      <c r="AF16" s="102"/>
      <c r="AG16" s="59"/>
      <c r="AH16" s="59"/>
      <c r="AI16" s="53"/>
    </row>
    <row r="17" spans="2:35" ht="14.25" customHeight="1" x14ac:dyDescent="0.2">
      <c r="B17" s="51"/>
      <c r="C17" s="61"/>
      <c r="D17" s="51"/>
      <c r="E17" s="51"/>
      <c r="F17" s="51"/>
      <c r="G17" s="51"/>
      <c r="H17" s="52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Z17" s="51"/>
      <c r="AA17" s="51"/>
      <c r="AB17" s="57"/>
      <c r="AC17" s="59"/>
      <c r="AD17" s="59"/>
      <c r="AE17" s="102"/>
      <c r="AF17" s="102"/>
      <c r="AG17" s="59"/>
      <c r="AH17" s="59"/>
      <c r="AI17" s="53"/>
    </row>
    <row r="18" spans="2:35" ht="14.25" customHeight="1" x14ac:dyDescent="0.2">
      <c r="B18" s="51"/>
      <c r="C18" s="61"/>
      <c r="D18" s="51"/>
      <c r="E18" s="51"/>
      <c r="F18" s="51"/>
      <c r="G18" s="51"/>
      <c r="H18" s="52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Z18" s="51"/>
      <c r="AA18" s="51"/>
      <c r="AB18" s="57"/>
      <c r="AC18" s="59"/>
      <c r="AD18" s="59"/>
      <c r="AE18" s="102"/>
      <c r="AF18" s="102"/>
      <c r="AG18" s="59"/>
      <c r="AH18" s="59"/>
      <c r="AI18" s="53"/>
    </row>
    <row r="19" spans="2:35" ht="14.25" customHeight="1" x14ac:dyDescent="0.2">
      <c r="B19" s="51"/>
      <c r="C19" s="61"/>
      <c r="D19" s="51"/>
      <c r="E19" s="51"/>
      <c r="F19" s="51"/>
      <c r="G19" s="51"/>
      <c r="H19" s="52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Z19" s="51"/>
      <c r="AA19" s="51"/>
      <c r="AB19" s="57"/>
      <c r="AC19" s="59"/>
      <c r="AD19" s="59"/>
      <c r="AE19" s="102"/>
      <c r="AF19" s="102"/>
      <c r="AG19" s="59"/>
      <c r="AH19" s="59"/>
      <c r="AI19" s="53"/>
    </row>
    <row r="20" spans="2:35" ht="14.25" customHeight="1" x14ac:dyDescent="0.2">
      <c r="B20" s="51"/>
      <c r="C20" s="61"/>
      <c r="D20" s="51"/>
      <c r="E20" s="51"/>
      <c r="F20" s="51"/>
      <c r="G20" s="51"/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Z20" s="51"/>
      <c r="AA20" s="51"/>
      <c r="AB20" s="57"/>
      <c r="AC20" s="59"/>
      <c r="AD20" s="59"/>
      <c r="AE20" s="102"/>
      <c r="AF20" s="102"/>
      <c r="AG20" s="59"/>
      <c r="AH20" s="59"/>
      <c r="AI20" s="53"/>
    </row>
    <row r="21" spans="2:35" ht="14.25" customHeight="1" x14ac:dyDescent="0.2">
      <c r="B21" s="51"/>
      <c r="C21" s="6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Z21" s="51"/>
      <c r="AA21" s="51"/>
      <c r="AB21" s="57"/>
      <c r="AC21" s="59"/>
      <c r="AD21" s="59"/>
      <c r="AE21" s="102"/>
      <c r="AF21" s="102"/>
      <c r="AG21" s="59"/>
      <c r="AH21" s="59"/>
      <c r="AI21" s="53"/>
    </row>
    <row r="22" spans="2:35" ht="14.25" customHeight="1" x14ac:dyDescent="0.2">
      <c r="B22" s="51"/>
      <c r="C22" s="61"/>
      <c r="D22" s="51"/>
      <c r="E22" s="51"/>
      <c r="F22" s="51"/>
      <c r="G22" s="51"/>
      <c r="H22" s="52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Z22" s="51"/>
      <c r="AA22" s="51"/>
      <c r="AB22" s="57"/>
      <c r="AC22" s="59"/>
      <c r="AD22" s="59"/>
      <c r="AE22" s="102"/>
      <c r="AF22" s="102"/>
      <c r="AG22" s="59"/>
      <c r="AH22" s="59"/>
      <c r="AI22" s="53"/>
    </row>
    <row r="23" spans="2:35" ht="14.25" customHeight="1" x14ac:dyDescent="0.2">
      <c r="B23" s="51"/>
      <c r="C23" s="61"/>
      <c r="D23" s="51"/>
      <c r="E23" s="51"/>
      <c r="F23" s="51"/>
      <c r="G23" s="51"/>
      <c r="H23" s="5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Z23" s="51"/>
      <c r="AA23" s="51"/>
      <c r="AB23" s="57"/>
      <c r="AC23" s="59"/>
      <c r="AD23" s="59"/>
      <c r="AE23" s="102"/>
      <c r="AF23" s="102"/>
      <c r="AG23" s="59"/>
      <c r="AH23" s="59"/>
      <c r="AI23" s="53"/>
    </row>
    <row r="24" spans="2:35" ht="14.25" customHeight="1" x14ac:dyDescent="0.2">
      <c r="B24" s="51"/>
      <c r="C24" s="61"/>
      <c r="D24" s="51"/>
      <c r="E24" s="51"/>
      <c r="F24" s="51"/>
      <c r="G24" s="51"/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Z24" s="51"/>
      <c r="AA24" s="51"/>
      <c r="AB24" s="57"/>
      <c r="AC24" s="59"/>
      <c r="AD24" s="59"/>
      <c r="AE24" s="102"/>
      <c r="AF24" s="102"/>
      <c r="AG24" s="59"/>
      <c r="AH24" s="59"/>
      <c r="AI24" s="53"/>
    </row>
    <row r="25" spans="2:35" ht="14.25" customHeight="1" x14ac:dyDescent="0.2">
      <c r="B25" s="51"/>
      <c r="C25" s="61"/>
      <c r="D25" s="51"/>
      <c r="E25" s="51"/>
      <c r="F25" s="51"/>
      <c r="G25" s="51"/>
      <c r="H25" s="52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Z25" s="51"/>
      <c r="AA25" s="51"/>
      <c r="AB25" s="57"/>
      <c r="AC25" s="59"/>
      <c r="AD25" s="59"/>
      <c r="AE25" s="102"/>
      <c r="AF25" s="102"/>
      <c r="AG25" s="59"/>
      <c r="AH25" s="59"/>
      <c r="AI25" s="53"/>
    </row>
    <row r="26" spans="2:35" ht="14.25" customHeight="1" x14ac:dyDescent="0.2">
      <c r="B26" s="51"/>
      <c r="C26" s="61"/>
      <c r="D26" s="51"/>
      <c r="E26" s="51"/>
      <c r="F26" s="51"/>
      <c r="G26" s="51"/>
      <c r="H26" s="52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Z26" s="51"/>
      <c r="AA26" s="51"/>
      <c r="AB26" s="57"/>
      <c r="AC26" s="59"/>
      <c r="AD26" s="59"/>
      <c r="AE26" s="102"/>
      <c r="AF26" s="102"/>
      <c r="AG26" s="59"/>
      <c r="AH26" s="59"/>
      <c r="AI26" s="53"/>
    </row>
    <row r="27" spans="2:35" ht="14.25" customHeight="1" x14ac:dyDescent="0.2">
      <c r="B27" s="51"/>
      <c r="C27" s="61"/>
      <c r="D27" s="51"/>
      <c r="E27" s="51"/>
      <c r="F27" s="51"/>
      <c r="G27" s="51"/>
      <c r="H27" s="52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Z27" s="51"/>
      <c r="AA27" s="51"/>
      <c r="AB27" s="57"/>
      <c r="AC27" s="59"/>
      <c r="AD27" s="59"/>
      <c r="AE27" s="102"/>
      <c r="AF27" s="102"/>
      <c r="AG27" s="59"/>
      <c r="AH27" s="59"/>
      <c r="AI27" s="53"/>
    </row>
    <row r="28" spans="2:35" ht="14.25" customHeight="1" x14ac:dyDescent="0.2">
      <c r="B28" s="51"/>
      <c r="C28" s="61"/>
      <c r="D28" s="51"/>
      <c r="E28" s="51"/>
      <c r="F28" s="51"/>
      <c r="G28" s="51"/>
      <c r="H28" s="5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Z28" s="51"/>
      <c r="AA28" s="51"/>
      <c r="AB28" s="57"/>
      <c r="AC28" s="59"/>
      <c r="AD28" s="59"/>
      <c r="AE28" s="102"/>
      <c r="AF28" s="102"/>
      <c r="AG28" s="59"/>
      <c r="AH28" s="59"/>
      <c r="AI28" s="53"/>
    </row>
    <row r="29" spans="2:35" ht="14.25" customHeight="1" x14ac:dyDescent="0.2">
      <c r="B29" s="51"/>
      <c r="C29" s="61"/>
      <c r="D29" s="51"/>
      <c r="E29" s="51"/>
      <c r="F29" s="51"/>
      <c r="G29" s="51"/>
      <c r="H29" s="5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Z29" s="51"/>
      <c r="AA29" s="51"/>
      <c r="AB29" s="57"/>
      <c r="AC29" s="59"/>
      <c r="AD29" s="59"/>
      <c r="AE29" s="102"/>
      <c r="AF29" s="102"/>
      <c r="AG29" s="59"/>
      <c r="AH29" s="59"/>
      <c r="AI29" s="53"/>
    </row>
    <row r="30" spans="2:35" ht="14.25" customHeight="1" x14ac:dyDescent="0.2">
      <c r="B30" s="51"/>
      <c r="C30" s="61"/>
      <c r="D30" s="51"/>
      <c r="E30" s="51"/>
      <c r="F30" s="51"/>
      <c r="G30" s="51"/>
      <c r="H30" s="52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Z30" s="51"/>
      <c r="AA30" s="51"/>
      <c r="AB30" s="57"/>
      <c r="AC30" s="59"/>
      <c r="AD30" s="59"/>
      <c r="AE30" s="102"/>
      <c r="AF30" s="102"/>
      <c r="AG30" s="59"/>
      <c r="AH30" s="59"/>
      <c r="AI30" s="53"/>
    </row>
    <row r="31" spans="2:35" ht="14.25" customHeight="1" x14ac:dyDescent="0.2">
      <c r="B31" s="51"/>
      <c r="C31" s="61"/>
      <c r="D31" s="51"/>
      <c r="E31" s="51"/>
      <c r="F31" s="51"/>
      <c r="G31" s="51"/>
      <c r="H31" s="52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Z31" s="51"/>
      <c r="AA31" s="51"/>
      <c r="AB31" s="57"/>
      <c r="AC31" s="59"/>
      <c r="AD31" s="59"/>
      <c r="AE31" s="102"/>
      <c r="AF31" s="102"/>
      <c r="AG31" s="59"/>
      <c r="AH31" s="59"/>
      <c r="AI31" s="53"/>
    </row>
    <row r="32" spans="2:35" ht="14.25" customHeight="1" x14ac:dyDescent="0.2">
      <c r="B32" s="51"/>
      <c r="C32" s="61"/>
      <c r="D32" s="51"/>
      <c r="E32" s="51"/>
      <c r="F32" s="51"/>
      <c r="G32" s="51"/>
      <c r="H32" s="5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Z32" s="51"/>
      <c r="AA32" s="51"/>
      <c r="AB32" s="57"/>
      <c r="AC32" s="59"/>
      <c r="AD32" s="59"/>
      <c r="AE32" s="102"/>
      <c r="AF32" s="102"/>
      <c r="AG32" s="59"/>
      <c r="AH32" s="59"/>
      <c r="AI32" s="53"/>
    </row>
    <row r="33" spans="2:35" ht="14.25" customHeight="1" x14ac:dyDescent="0.2">
      <c r="B33" s="51"/>
      <c r="C33" s="61"/>
      <c r="D33" s="51"/>
      <c r="E33" s="51"/>
      <c r="F33" s="51"/>
      <c r="G33" s="51"/>
      <c r="H33" s="52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Z33" s="51"/>
      <c r="AA33" s="51"/>
      <c r="AB33" s="57"/>
      <c r="AC33" s="59"/>
      <c r="AD33" s="59"/>
      <c r="AE33" s="102"/>
      <c r="AF33" s="102"/>
      <c r="AG33" s="59"/>
      <c r="AH33" s="59"/>
      <c r="AI33" s="53"/>
    </row>
    <row r="34" spans="2:35" ht="14.25" customHeight="1" x14ac:dyDescent="0.2">
      <c r="B34" s="51"/>
      <c r="C34" s="61"/>
      <c r="D34" s="51"/>
      <c r="E34" s="51"/>
      <c r="F34" s="51"/>
      <c r="G34" s="51"/>
      <c r="H34" s="5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Z34" s="51"/>
      <c r="AA34" s="51"/>
      <c r="AB34" s="57"/>
      <c r="AC34" s="59"/>
      <c r="AD34" s="59"/>
      <c r="AE34" s="102"/>
      <c r="AF34" s="102"/>
      <c r="AG34" s="59"/>
      <c r="AH34" s="59"/>
      <c r="AI34" s="53"/>
    </row>
    <row r="35" spans="2:35" ht="14.25" customHeight="1" x14ac:dyDescent="0.2">
      <c r="B35" s="51"/>
      <c r="C35" s="61"/>
      <c r="D35" s="51"/>
      <c r="E35" s="51"/>
      <c r="F35" s="51"/>
      <c r="G35" s="51"/>
      <c r="H35" s="52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Z35" s="51"/>
      <c r="AA35" s="51"/>
      <c r="AB35" s="57"/>
      <c r="AC35" s="59"/>
      <c r="AD35" s="59"/>
      <c r="AE35" s="102"/>
      <c r="AF35" s="102"/>
      <c r="AG35" s="59"/>
      <c r="AH35" s="59"/>
      <c r="AI35" s="53"/>
    </row>
    <row r="36" spans="2:35" ht="14.25" customHeight="1" x14ac:dyDescent="0.2">
      <c r="B36" s="51"/>
      <c r="C36" s="61"/>
      <c r="D36" s="51"/>
      <c r="E36" s="51"/>
      <c r="F36" s="51"/>
      <c r="G36" s="51"/>
      <c r="H36" s="5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Z36" s="51"/>
      <c r="AA36" s="51"/>
      <c r="AB36" s="57"/>
      <c r="AC36" s="59"/>
      <c r="AD36" s="59"/>
      <c r="AE36" s="102"/>
      <c r="AF36" s="102"/>
      <c r="AG36" s="59"/>
      <c r="AH36" s="59"/>
      <c r="AI36" s="53"/>
    </row>
    <row r="37" spans="2:35" ht="14.25" customHeight="1" x14ac:dyDescent="0.2">
      <c r="B37" s="51"/>
      <c r="C37" s="61"/>
      <c r="D37" s="51"/>
      <c r="E37" s="51"/>
      <c r="F37" s="51"/>
      <c r="G37" s="51"/>
      <c r="H37" s="52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Z37" s="51"/>
      <c r="AA37" s="51"/>
      <c r="AB37" s="57"/>
      <c r="AC37" s="59"/>
      <c r="AD37" s="59"/>
      <c r="AE37" s="102"/>
      <c r="AF37" s="102"/>
      <c r="AG37" s="59"/>
      <c r="AH37" s="59"/>
      <c r="AI37" s="53"/>
    </row>
    <row r="38" spans="2:35" ht="14.25" customHeight="1" x14ac:dyDescent="0.2">
      <c r="B38" s="51"/>
      <c r="C38" s="61"/>
      <c r="D38" s="51"/>
      <c r="E38" s="51"/>
      <c r="F38" s="51"/>
      <c r="G38" s="51"/>
      <c r="H38" s="5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Z38" s="51"/>
      <c r="AA38" s="51"/>
      <c r="AB38" s="57"/>
      <c r="AC38" s="59"/>
      <c r="AD38" s="59"/>
      <c r="AE38" s="102"/>
      <c r="AF38" s="102"/>
      <c r="AG38" s="59"/>
      <c r="AH38" s="59"/>
      <c r="AI38" s="53"/>
    </row>
    <row r="39" spans="2:35" ht="14.25" customHeight="1" x14ac:dyDescent="0.2">
      <c r="B39" s="51"/>
      <c r="C39" s="61"/>
      <c r="D39" s="51"/>
      <c r="E39" s="51"/>
      <c r="F39" s="51"/>
      <c r="G39" s="51"/>
      <c r="H39" s="52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Z39" s="51"/>
      <c r="AA39" s="51"/>
      <c r="AB39" s="57"/>
      <c r="AC39" s="59"/>
      <c r="AD39" s="59"/>
      <c r="AE39" s="102"/>
      <c r="AF39" s="102"/>
      <c r="AG39" s="59"/>
      <c r="AH39" s="59"/>
      <c r="AI39" s="53"/>
    </row>
    <row r="40" spans="2:35" ht="14.25" customHeight="1" x14ac:dyDescent="0.2">
      <c r="B40" s="51"/>
      <c r="C40" s="61"/>
      <c r="D40" s="51"/>
      <c r="E40" s="51"/>
      <c r="F40" s="51"/>
      <c r="G40" s="51"/>
      <c r="H40" s="52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Z40" s="51"/>
      <c r="AA40" s="51"/>
      <c r="AB40" s="57"/>
      <c r="AC40" s="59"/>
      <c r="AD40" s="59"/>
      <c r="AE40" s="102"/>
      <c r="AF40" s="102"/>
      <c r="AG40" s="59"/>
      <c r="AH40" s="59"/>
      <c r="AI40" s="53"/>
    </row>
    <row r="41" spans="2:35" ht="14.25" customHeight="1" x14ac:dyDescent="0.2">
      <c r="B41" s="51"/>
      <c r="C41" s="61"/>
      <c r="D41" s="51"/>
      <c r="E41" s="51"/>
      <c r="F41" s="51"/>
      <c r="G41" s="51"/>
      <c r="H41" s="52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Z41" s="51"/>
      <c r="AA41" s="51"/>
      <c r="AB41" s="57"/>
      <c r="AC41" s="59"/>
      <c r="AD41" s="59"/>
      <c r="AE41" s="102"/>
      <c r="AF41" s="102"/>
      <c r="AG41" s="59"/>
      <c r="AH41" s="59"/>
      <c r="AI41" s="53"/>
    </row>
    <row r="42" spans="2:35" ht="14.25" customHeight="1" x14ac:dyDescent="0.2">
      <c r="B42" s="51"/>
      <c r="C42" s="61"/>
      <c r="D42" s="51"/>
      <c r="E42" s="51"/>
      <c r="F42" s="51"/>
      <c r="G42" s="51"/>
      <c r="H42" s="52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Z42" s="51"/>
      <c r="AA42" s="51"/>
      <c r="AB42" s="57"/>
      <c r="AC42" s="59"/>
      <c r="AD42" s="59"/>
      <c r="AE42" s="102"/>
      <c r="AF42" s="102"/>
      <c r="AG42" s="59"/>
      <c r="AH42" s="59"/>
      <c r="AI42" s="53"/>
    </row>
    <row r="43" spans="2:35" ht="14.25" customHeight="1" x14ac:dyDescent="0.2">
      <c r="B43" s="51"/>
      <c r="C43" s="61"/>
      <c r="D43" s="51"/>
      <c r="E43" s="51"/>
      <c r="F43" s="51"/>
      <c r="G43" s="51"/>
      <c r="H43" s="52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Z43" s="51"/>
      <c r="AA43" s="51"/>
      <c r="AB43" s="57"/>
      <c r="AC43" s="59"/>
      <c r="AD43" s="59"/>
      <c r="AE43" s="102"/>
      <c r="AF43" s="102"/>
      <c r="AG43" s="59"/>
      <c r="AH43" s="59"/>
      <c r="AI43" s="53"/>
    </row>
    <row r="44" spans="2:35" ht="14.25" customHeight="1" x14ac:dyDescent="0.2">
      <c r="B44" s="51"/>
      <c r="C44" s="61"/>
      <c r="D44" s="51"/>
      <c r="E44" s="51"/>
      <c r="F44" s="51"/>
      <c r="G44" s="51"/>
      <c r="H44" s="52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Z44" s="51"/>
      <c r="AA44" s="51"/>
      <c r="AB44" s="57"/>
      <c r="AC44" s="59"/>
      <c r="AD44" s="59"/>
      <c r="AE44" s="102"/>
      <c r="AF44" s="102"/>
      <c r="AG44" s="59"/>
      <c r="AH44" s="59"/>
      <c r="AI44" s="53"/>
    </row>
    <row r="45" spans="2:35" ht="14.25" customHeight="1" x14ac:dyDescent="0.2">
      <c r="B45" s="51"/>
      <c r="C45" s="61"/>
      <c r="D45" s="51"/>
      <c r="E45" s="51"/>
      <c r="F45" s="51"/>
      <c r="G45" s="51"/>
      <c r="H45" s="52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Z45" s="51"/>
      <c r="AA45" s="51"/>
      <c r="AB45" s="57"/>
      <c r="AC45" s="59"/>
      <c r="AD45" s="59"/>
      <c r="AE45" s="102"/>
      <c r="AF45" s="102"/>
      <c r="AG45" s="59"/>
      <c r="AH45" s="59"/>
      <c r="AI45" s="53"/>
    </row>
    <row r="46" spans="2:35" ht="14.25" customHeight="1" x14ac:dyDescent="0.2">
      <c r="B46" s="51"/>
      <c r="C46" s="61"/>
      <c r="D46" s="51"/>
      <c r="E46" s="51"/>
      <c r="F46" s="51"/>
      <c r="G46" s="51"/>
      <c r="H46" s="52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Z46" s="51"/>
      <c r="AA46" s="51"/>
      <c r="AB46" s="57"/>
      <c r="AC46" s="59"/>
      <c r="AD46" s="59"/>
      <c r="AE46" s="102"/>
      <c r="AF46" s="102"/>
      <c r="AG46" s="59"/>
      <c r="AH46" s="59"/>
      <c r="AI46" s="53"/>
    </row>
    <row r="47" spans="2:35" ht="14.25" customHeight="1" x14ac:dyDescent="0.2">
      <c r="B47" s="51"/>
      <c r="C47" s="61"/>
      <c r="D47" s="51"/>
      <c r="E47" s="51"/>
      <c r="F47" s="51"/>
      <c r="G47" s="51"/>
      <c r="H47" s="52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Z47" s="51"/>
      <c r="AA47" s="51"/>
      <c r="AB47" s="57"/>
      <c r="AC47" s="59"/>
      <c r="AD47" s="59"/>
      <c r="AE47" s="102"/>
      <c r="AF47" s="102"/>
      <c r="AG47" s="59"/>
      <c r="AH47" s="59"/>
      <c r="AI47" s="53"/>
    </row>
    <row r="48" spans="2:35" ht="14.25" customHeight="1" x14ac:dyDescent="0.2">
      <c r="B48" s="51"/>
      <c r="C48" s="61"/>
      <c r="D48" s="51"/>
      <c r="E48" s="51"/>
      <c r="F48" s="51"/>
      <c r="G48" s="51"/>
      <c r="H48" s="52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Z48" s="51"/>
      <c r="AA48" s="51"/>
      <c r="AB48" s="57"/>
      <c r="AC48" s="59"/>
      <c r="AD48" s="59"/>
      <c r="AE48" s="102"/>
      <c r="AF48" s="102"/>
      <c r="AG48" s="59"/>
      <c r="AH48" s="59"/>
      <c r="AI48" s="53"/>
    </row>
    <row r="49" spans="2:35" ht="14.25" customHeight="1" x14ac:dyDescent="0.2">
      <c r="B49" s="51"/>
      <c r="C49" s="61"/>
      <c r="D49" s="51"/>
      <c r="E49" s="51"/>
      <c r="F49" s="51"/>
      <c r="G49" s="51"/>
      <c r="H49" s="52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Z49" s="51"/>
      <c r="AA49" s="51"/>
      <c r="AB49" s="57"/>
      <c r="AC49" s="59"/>
      <c r="AD49" s="59"/>
      <c r="AE49" s="102"/>
      <c r="AF49" s="102"/>
      <c r="AG49" s="59"/>
      <c r="AH49" s="59"/>
      <c r="AI49" s="53"/>
    </row>
    <row r="50" spans="2:35" ht="14.25" customHeight="1" x14ac:dyDescent="0.2">
      <c r="B50" s="51"/>
      <c r="C50" s="61"/>
      <c r="D50" s="51"/>
      <c r="E50" s="51"/>
      <c r="F50" s="51"/>
      <c r="G50" s="51"/>
      <c r="H50" s="52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Z50" s="51"/>
      <c r="AA50" s="51"/>
      <c r="AB50" s="57"/>
      <c r="AC50" s="59"/>
      <c r="AD50" s="59"/>
      <c r="AE50" s="102"/>
      <c r="AF50" s="102"/>
      <c r="AG50" s="59"/>
      <c r="AH50" s="59"/>
      <c r="AI50" s="53"/>
    </row>
    <row r="51" spans="2:35" ht="14.25" customHeight="1" x14ac:dyDescent="0.2">
      <c r="B51" s="51"/>
      <c r="C51" s="61"/>
      <c r="D51" s="51"/>
      <c r="E51" s="51"/>
      <c r="F51" s="51"/>
      <c r="G51" s="51"/>
      <c r="H51" s="52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Z51" s="51"/>
      <c r="AA51" s="51"/>
      <c r="AB51" s="57"/>
      <c r="AC51" s="59"/>
      <c r="AD51" s="59"/>
      <c r="AE51" s="102"/>
      <c r="AF51" s="102"/>
      <c r="AG51" s="59"/>
      <c r="AH51" s="59"/>
      <c r="AI51" s="53"/>
    </row>
    <row r="52" spans="2:35" ht="14.25" customHeight="1" x14ac:dyDescent="0.2">
      <c r="B52" s="51"/>
      <c r="C52" s="61"/>
      <c r="D52" s="51"/>
      <c r="E52" s="51"/>
      <c r="F52" s="51"/>
      <c r="G52" s="51"/>
      <c r="H52" s="52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Z52" s="51"/>
      <c r="AA52" s="51"/>
      <c r="AB52" s="57"/>
      <c r="AC52" s="59"/>
      <c r="AD52" s="59"/>
      <c r="AE52" s="102"/>
      <c r="AF52" s="102"/>
      <c r="AG52" s="59"/>
      <c r="AH52" s="59"/>
      <c r="AI52" s="53"/>
    </row>
    <row r="53" spans="2:35" ht="14.25" customHeight="1" x14ac:dyDescent="0.2">
      <c r="B53" s="51"/>
      <c r="C53" s="61"/>
      <c r="D53" s="51"/>
      <c r="E53" s="51"/>
      <c r="F53" s="51"/>
      <c r="G53" s="51"/>
      <c r="H53" s="52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Z53" s="51"/>
      <c r="AA53" s="51"/>
      <c r="AB53" s="57"/>
      <c r="AC53" s="59"/>
      <c r="AD53" s="59"/>
      <c r="AE53" s="102"/>
      <c r="AF53" s="102"/>
      <c r="AG53" s="59"/>
      <c r="AH53" s="59"/>
      <c r="AI53" s="53"/>
    </row>
    <row r="54" spans="2:35" ht="14.25" customHeight="1" x14ac:dyDescent="0.2">
      <c r="B54" s="51"/>
      <c r="C54" s="61"/>
      <c r="D54" s="51"/>
      <c r="E54" s="51"/>
      <c r="F54" s="51"/>
      <c r="G54" s="51"/>
      <c r="H54" s="52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Z54" s="51"/>
      <c r="AA54" s="51"/>
      <c r="AB54" s="57"/>
      <c r="AC54" s="59"/>
      <c r="AD54" s="59"/>
      <c r="AE54" s="102"/>
      <c r="AF54" s="102"/>
      <c r="AG54" s="59"/>
      <c r="AH54" s="59"/>
      <c r="AI54" s="53"/>
    </row>
    <row r="55" spans="2:35" ht="14.25" customHeight="1" x14ac:dyDescent="0.2">
      <c r="B55" s="51"/>
      <c r="C55" s="61"/>
      <c r="D55" s="51"/>
      <c r="E55" s="51"/>
      <c r="F55" s="51"/>
      <c r="G55" s="51"/>
      <c r="H55" s="52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Z55" s="51"/>
      <c r="AA55" s="51"/>
      <c r="AB55" s="57"/>
      <c r="AC55" s="59"/>
      <c r="AD55" s="59"/>
      <c r="AE55" s="102"/>
      <c r="AF55" s="102"/>
      <c r="AG55" s="59"/>
      <c r="AH55" s="59"/>
      <c r="AI55" s="53"/>
    </row>
    <row r="56" spans="2:35" ht="14.25" customHeight="1" x14ac:dyDescent="0.2">
      <c r="B56" s="51"/>
      <c r="C56" s="61"/>
      <c r="D56" s="51"/>
      <c r="E56" s="51"/>
      <c r="F56" s="51"/>
      <c r="G56" s="51"/>
      <c r="H56" s="52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Z56" s="51"/>
      <c r="AA56" s="51"/>
      <c r="AB56" s="57"/>
      <c r="AC56" s="59"/>
      <c r="AD56" s="59"/>
      <c r="AE56" s="102"/>
      <c r="AF56" s="102"/>
      <c r="AG56" s="59"/>
      <c r="AH56" s="59"/>
      <c r="AI56" s="53"/>
    </row>
    <row r="57" spans="2:35" ht="14.25" customHeight="1" x14ac:dyDescent="0.2">
      <c r="B57" s="51"/>
      <c r="C57" s="61"/>
      <c r="D57" s="51"/>
      <c r="E57" s="51"/>
      <c r="F57" s="51"/>
      <c r="G57" s="51"/>
      <c r="H57" s="52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Z57" s="51"/>
      <c r="AA57" s="51"/>
      <c r="AB57" s="57"/>
      <c r="AC57" s="59"/>
      <c r="AD57" s="59"/>
      <c r="AE57" s="102"/>
      <c r="AF57" s="102"/>
      <c r="AG57" s="59"/>
      <c r="AH57" s="59"/>
      <c r="AI57" s="53"/>
    </row>
    <row r="58" spans="2:35" ht="14.25" customHeight="1" x14ac:dyDescent="0.2">
      <c r="B58" s="51"/>
      <c r="C58" s="61"/>
      <c r="D58" s="51"/>
      <c r="E58" s="51"/>
      <c r="F58" s="51"/>
      <c r="G58" s="51"/>
      <c r="H58" s="52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Z58" s="51"/>
      <c r="AA58" s="51"/>
      <c r="AB58" s="57"/>
      <c r="AC58" s="59"/>
      <c r="AD58" s="59"/>
      <c r="AE58" s="102"/>
      <c r="AF58" s="102"/>
      <c r="AG58" s="59"/>
      <c r="AH58" s="59"/>
      <c r="AI58" s="53"/>
    </row>
    <row r="59" spans="2:35" ht="14.25" customHeight="1" x14ac:dyDescent="0.2">
      <c r="B59" s="51"/>
      <c r="C59" s="61"/>
      <c r="D59" s="51"/>
      <c r="E59" s="51"/>
      <c r="F59" s="51"/>
      <c r="G59" s="51"/>
      <c r="H59" s="52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Z59" s="51"/>
      <c r="AA59" s="51"/>
      <c r="AB59" s="57"/>
      <c r="AC59" s="59"/>
      <c r="AD59" s="59"/>
      <c r="AE59" s="102"/>
      <c r="AF59" s="102"/>
      <c r="AG59" s="59"/>
      <c r="AH59" s="59"/>
      <c r="AI59" s="53"/>
    </row>
    <row r="60" spans="2:35" ht="14.25" customHeight="1" x14ac:dyDescent="0.2">
      <c r="B60" s="51"/>
      <c r="C60" s="6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Z60" s="51"/>
      <c r="AA60" s="51"/>
      <c r="AB60" s="57"/>
      <c r="AC60" s="59"/>
      <c r="AD60" s="59"/>
      <c r="AE60" s="102"/>
      <c r="AF60" s="102"/>
      <c r="AG60" s="59"/>
      <c r="AH60" s="59"/>
      <c r="AI60" s="53"/>
    </row>
    <row r="61" spans="2:35" ht="14.25" customHeight="1" x14ac:dyDescent="0.2">
      <c r="B61" s="51"/>
      <c r="C61" s="61"/>
      <c r="D61" s="51"/>
      <c r="E61" s="51"/>
      <c r="F61" s="51"/>
      <c r="G61" s="51"/>
      <c r="H61" s="52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Z61" s="51"/>
      <c r="AA61" s="51"/>
      <c r="AB61" s="57"/>
      <c r="AC61" s="59"/>
      <c r="AD61" s="59"/>
      <c r="AE61" s="102"/>
      <c r="AF61" s="102"/>
      <c r="AG61" s="59"/>
      <c r="AH61" s="59"/>
      <c r="AI61" s="53"/>
    </row>
    <row r="62" spans="2:35" ht="14.25" customHeight="1" x14ac:dyDescent="0.2">
      <c r="B62" s="51"/>
      <c r="C62" s="61"/>
      <c r="D62" s="51"/>
      <c r="E62" s="51"/>
      <c r="F62" s="51"/>
      <c r="G62" s="51"/>
      <c r="H62" s="52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Z62" s="51"/>
      <c r="AA62" s="51"/>
      <c r="AB62" s="57"/>
      <c r="AC62" s="59"/>
      <c r="AD62" s="59"/>
      <c r="AE62" s="102"/>
      <c r="AF62" s="102"/>
      <c r="AG62" s="59"/>
      <c r="AH62" s="59"/>
      <c r="AI62" s="53"/>
    </row>
    <row r="63" spans="2:35" ht="14.25" customHeight="1" x14ac:dyDescent="0.2">
      <c r="B63" s="51"/>
      <c r="C63" s="61"/>
      <c r="D63" s="51"/>
      <c r="E63" s="51"/>
      <c r="F63" s="51"/>
      <c r="G63" s="51"/>
      <c r="H63" s="52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Z63" s="51"/>
      <c r="AA63" s="51"/>
      <c r="AB63" s="57"/>
      <c r="AC63" s="59"/>
      <c r="AD63" s="59"/>
      <c r="AE63" s="102"/>
      <c r="AF63" s="102"/>
      <c r="AG63" s="59"/>
      <c r="AH63" s="59"/>
      <c r="AI63" s="53"/>
    </row>
    <row r="64" spans="2:35" ht="14.25" customHeight="1" x14ac:dyDescent="0.2">
      <c r="B64" s="51"/>
      <c r="C64" s="61"/>
      <c r="D64" s="51"/>
      <c r="E64" s="51"/>
      <c r="F64" s="51"/>
      <c r="G64" s="51"/>
      <c r="H64" s="52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Z64" s="51"/>
      <c r="AA64" s="51"/>
      <c r="AB64" s="57"/>
      <c r="AC64" s="59"/>
      <c r="AD64" s="59"/>
      <c r="AE64" s="102"/>
      <c r="AF64" s="102"/>
      <c r="AG64" s="59"/>
      <c r="AH64" s="59"/>
      <c r="AI64" s="53"/>
    </row>
    <row r="65" spans="2:35" ht="14.25" customHeight="1" x14ac:dyDescent="0.2">
      <c r="B65" s="51"/>
      <c r="C65" s="61"/>
      <c r="D65" s="51"/>
      <c r="E65" s="51"/>
      <c r="F65" s="51"/>
      <c r="G65" s="51"/>
      <c r="H65" s="52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Z65" s="51"/>
      <c r="AA65" s="51"/>
      <c r="AB65" s="57"/>
      <c r="AC65" s="59"/>
      <c r="AD65" s="59"/>
      <c r="AE65" s="102"/>
      <c r="AF65" s="102"/>
      <c r="AG65" s="59"/>
      <c r="AH65" s="59"/>
      <c r="AI65" s="53"/>
    </row>
    <row r="66" spans="2:35" ht="14.25" customHeight="1" x14ac:dyDescent="0.2">
      <c r="B66" s="51"/>
      <c r="C66" s="61"/>
      <c r="D66" s="51"/>
      <c r="E66" s="51"/>
      <c r="F66" s="51"/>
      <c r="G66" s="51"/>
      <c r="H66" s="52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Z66" s="51"/>
      <c r="AA66" s="51"/>
      <c r="AB66" s="57"/>
      <c r="AC66" s="59"/>
      <c r="AD66" s="59"/>
      <c r="AE66" s="102"/>
      <c r="AF66" s="102"/>
      <c r="AG66" s="59"/>
      <c r="AH66" s="59"/>
      <c r="AI66" s="53"/>
    </row>
    <row r="67" spans="2:35" ht="14.25" customHeight="1" x14ac:dyDescent="0.2">
      <c r="B67" s="51"/>
      <c r="C67" s="61"/>
      <c r="D67" s="51"/>
      <c r="E67" s="51"/>
      <c r="F67" s="51"/>
      <c r="G67" s="51"/>
      <c r="H67" s="52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Z67" s="51"/>
      <c r="AA67" s="51"/>
      <c r="AB67" s="57"/>
      <c r="AC67" s="59"/>
      <c r="AD67" s="59"/>
      <c r="AE67" s="102"/>
      <c r="AF67" s="102"/>
      <c r="AG67" s="59"/>
      <c r="AH67" s="59"/>
      <c r="AI67" s="53"/>
    </row>
    <row r="68" spans="2:35" ht="14.25" customHeight="1" x14ac:dyDescent="0.2">
      <c r="B68" s="51"/>
      <c r="C68" s="61"/>
      <c r="D68" s="51"/>
      <c r="E68" s="51"/>
      <c r="F68" s="51"/>
      <c r="G68" s="51"/>
      <c r="H68" s="52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Z68" s="51"/>
      <c r="AA68" s="51"/>
      <c r="AB68" s="57"/>
      <c r="AC68" s="59"/>
      <c r="AD68" s="59"/>
      <c r="AE68" s="102"/>
      <c r="AF68" s="102"/>
      <c r="AG68" s="59"/>
      <c r="AH68" s="59"/>
      <c r="AI68" s="53"/>
    </row>
    <row r="69" spans="2:35" ht="14.25" customHeight="1" x14ac:dyDescent="0.2">
      <c r="B69" s="51"/>
      <c r="C69" s="61"/>
      <c r="D69" s="51"/>
      <c r="E69" s="51"/>
      <c r="F69" s="51"/>
      <c r="G69" s="51"/>
      <c r="H69" s="52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Z69" s="51"/>
      <c r="AA69" s="51"/>
      <c r="AB69" s="57"/>
      <c r="AC69" s="59"/>
      <c r="AD69" s="59"/>
      <c r="AE69" s="102"/>
      <c r="AF69" s="102"/>
      <c r="AG69" s="59"/>
      <c r="AH69" s="59"/>
      <c r="AI69" s="53"/>
    </row>
    <row r="70" spans="2:35" ht="14.25" customHeight="1" x14ac:dyDescent="0.2">
      <c r="B70" s="51"/>
      <c r="C70" s="61"/>
      <c r="D70" s="51"/>
      <c r="E70" s="51"/>
      <c r="F70" s="51"/>
      <c r="G70" s="51"/>
      <c r="H70" s="52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Z70" s="51"/>
      <c r="AA70" s="51"/>
      <c r="AB70" s="57"/>
      <c r="AC70" s="59"/>
      <c r="AD70" s="59"/>
      <c r="AE70" s="102"/>
      <c r="AF70" s="102"/>
      <c r="AG70" s="59"/>
      <c r="AH70" s="59"/>
      <c r="AI70" s="53"/>
    </row>
    <row r="71" spans="2:35" ht="14.25" customHeight="1" x14ac:dyDescent="0.2">
      <c r="B71" s="51"/>
      <c r="C71" s="61"/>
      <c r="D71" s="51"/>
      <c r="E71" s="51"/>
      <c r="F71" s="51"/>
      <c r="G71" s="51"/>
      <c r="H71" s="52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Z71" s="51"/>
      <c r="AA71" s="51"/>
      <c r="AB71" s="57"/>
      <c r="AC71" s="59"/>
      <c r="AD71" s="59"/>
      <c r="AE71" s="102"/>
      <c r="AF71" s="102"/>
      <c r="AG71" s="59"/>
      <c r="AH71" s="59"/>
      <c r="AI71" s="53"/>
    </row>
    <row r="72" spans="2:35" ht="14.25" customHeight="1" x14ac:dyDescent="0.2">
      <c r="B72" s="51"/>
      <c r="C72" s="61"/>
      <c r="D72" s="51"/>
      <c r="E72" s="51"/>
      <c r="F72" s="51"/>
      <c r="G72" s="51"/>
      <c r="H72" s="52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Z72" s="51"/>
      <c r="AA72" s="51"/>
      <c r="AB72" s="57"/>
      <c r="AC72" s="59"/>
      <c r="AD72" s="59"/>
      <c r="AE72" s="102"/>
      <c r="AF72" s="102"/>
      <c r="AG72" s="59"/>
      <c r="AH72" s="59"/>
      <c r="AI72" s="53"/>
    </row>
    <row r="73" spans="2:35" ht="14.25" customHeight="1" x14ac:dyDescent="0.2">
      <c r="B73" s="51"/>
      <c r="C73" s="61"/>
      <c r="D73" s="51"/>
      <c r="E73" s="51"/>
      <c r="F73" s="51"/>
      <c r="G73" s="51"/>
      <c r="H73" s="52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Z73" s="51"/>
      <c r="AA73" s="51"/>
      <c r="AB73" s="57"/>
      <c r="AC73" s="59"/>
      <c r="AD73" s="59"/>
      <c r="AE73" s="102"/>
      <c r="AF73" s="102"/>
      <c r="AG73" s="59"/>
      <c r="AH73" s="59"/>
      <c r="AI73" s="53"/>
    </row>
    <row r="74" spans="2:35" ht="14.25" customHeight="1" x14ac:dyDescent="0.2">
      <c r="B74" s="51"/>
      <c r="C74" s="61"/>
      <c r="D74" s="51"/>
      <c r="E74" s="51"/>
      <c r="F74" s="51"/>
      <c r="G74" s="51"/>
      <c r="H74" s="52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Z74" s="51"/>
      <c r="AA74" s="51"/>
      <c r="AB74" s="57"/>
      <c r="AC74" s="59"/>
      <c r="AD74" s="59"/>
      <c r="AE74" s="102"/>
      <c r="AF74" s="102"/>
      <c r="AG74" s="59"/>
      <c r="AH74" s="59"/>
      <c r="AI74" s="53"/>
    </row>
    <row r="75" spans="2:35" ht="14.25" customHeight="1" x14ac:dyDescent="0.2">
      <c r="B75" s="51"/>
      <c r="C75" s="61"/>
      <c r="D75" s="51"/>
      <c r="E75" s="51"/>
      <c r="F75" s="51"/>
      <c r="G75" s="51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Z75" s="51"/>
      <c r="AA75" s="51"/>
      <c r="AB75" s="57"/>
      <c r="AC75" s="59"/>
      <c r="AD75" s="59"/>
      <c r="AE75" s="102"/>
      <c r="AF75" s="102"/>
      <c r="AG75" s="59"/>
      <c r="AH75" s="59"/>
      <c r="AI75" s="53"/>
    </row>
    <row r="76" spans="2:35" ht="14.25" customHeight="1" x14ac:dyDescent="0.2">
      <c r="B76" s="51"/>
      <c r="C76" s="61"/>
      <c r="D76" s="51"/>
      <c r="E76" s="51"/>
      <c r="F76" s="51"/>
      <c r="G76" s="51"/>
      <c r="H76" s="52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Z76" s="51"/>
      <c r="AA76" s="51"/>
      <c r="AB76" s="57"/>
      <c r="AC76" s="59"/>
      <c r="AD76" s="59"/>
      <c r="AE76" s="102"/>
      <c r="AF76" s="102"/>
      <c r="AG76" s="59"/>
      <c r="AH76" s="59"/>
      <c r="AI76" s="53"/>
    </row>
    <row r="77" spans="2:35" ht="14.25" customHeight="1" x14ac:dyDescent="0.2">
      <c r="B77" s="51"/>
      <c r="C77" s="61"/>
      <c r="D77" s="51"/>
      <c r="E77" s="51"/>
      <c r="F77" s="51"/>
      <c r="G77" s="51"/>
      <c r="H77" s="52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Z77" s="51"/>
      <c r="AA77" s="51"/>
      <c r="AB77" s="57"/>
      <c r="AC77" s="59"/>
      <c r="AD77" s="59"/>
      <c r="AE77" s="102"/>
      <c r="AF77" s="102"/>
      <c r="AG77" s="59"/>
      <c r="AH77" s="59"/>
      <c r="AI77" s="53"/>
    </row>
    <row r="78" spans="2:35" ht="14.25" customHeight="1" x14ac:dyDescent="0.2">
      <c r="B78" s="51"/>
      <c r="C78" s="61"/>
      <c r="D78" s="51"/>
      <c r="E78" s="51"/>
      <c r="F78" s="51"/>
      <c r="G78" s="51"/>
      <c r="H78" s="52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Z78" s="51"/>
      <c r="AA78" s="51"/>
      <c r="AB78" s="57"/>
      <c r="AC78" s="59"/>
      <c r="AD78" s="59"/>
      <c r="AE78" s="102"/>
      <c r="AF78" s="102"/>
      <c r="AG78" s="59"/>
      <c r="AH78" s="59"/>
      <c r="AI78" s="53"/>
    </row>
    <row r="79" spans="2:35" ht="14.25" customHeight="1" x14ac:dyDescent="0.2">
      <c r="B79" s="51"/>
      <c r="C79" s="61"/>
      <c r="D79" s="51"/>
      <c r="E79" s="51"/>
      <c r="F79" s="51"/>
      <c r="G79" s="51"/>
      <c r="H79" s="52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Z79" s="51"/>
      <c r="AA79" s="51"/>
      <c r="AB79" s="57"/>
      <c r="AC79" s="59"/>
      <c r="AD79" s="59"/>
      <c r="AE79" s="102"/>
      <c r="AF79" s="102"/>
      <c r="AG79" s="59"/>
      <c r="AH79" s="59"/>
      <c r="AI79" s="53"/>
    </row>
    <row r="80" spans="2:35" ht="14.25" customHeight="1" x14ac:dyDescent="0.2">
      <c r="B80" s="51"/>
      <c r="C80" s="61"/>
      <c r="D80" s="51"/>
      <c r="E80" s="51"/>
      <c r="F80" s="51"/>
      <c r="G80" s="51"/>
      <c r="H80" s="52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Z80" s="51"/>
      <c r="AA80" s="51"/>
      <c r="AB80" s="57"/>
      <c r="AC80" s="59"/>
      <c r="AD80" s="59"/>
      <c r="AE80" s="102"/>
      <c r="AF80" s="102"/>
      <c r="AG80" s="59"/>
      <c r="AH80" s="59"/>
      <c r="AI80" s="53"/>
    </row>
    <row r="81" spans="2:35" ht="14.25" customHeight="1" x14ac:dyDescent="0.2">
      <c r="B81" s="51"/>
      <c r="C81" s="61"/>
      <c r="D81" s="51"/>
      <c r="E81" s="51"/>
      <c r="F81" s="51"/>
      <c r="G81" s="51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Z81" s="51"/>
      <c r="AA81" s="51"/>
      <c r="AB81" s="57"/>
      <c r="AC81" s="59"/>
      <c r="AD81" s="59"/>
      <c r="AE81" s="102"/>
      <c r="AF81" s="102"/>
      <c r="AG81" s="59"/>
      <c r="AH81" s="59"/>
      <c r="AI81" s="53"/>
    </row>
    <row r="82" spans="2:35" ht="14.25" customHeight="1" x14ac:dyDescent="0.2">
      <c r="B82" s="51"/>
      <c r="C82" s="61"/>
      <c r="D82" s="51"/>
      <c r="E82" s="51"/>
      <c r="F82" s="51"/>
      <c r="G82" s="51"/>
      <c r="H82" s="5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Z82" s="51"/>
      <c r="AA82" s="51"/>
      <c r="AB82" s="57"/>
      <c r="AC82" s="59"/>
      <c r="AD82" s="59"/>
      <c r="AE82" s="102"/>
      <c r="AF82" s="102"/>
      <c r="AG82" s="59"/>
      <c r="AH82" s="59"/>
      <c r="AI82" s="53"/>
    </row>
    <row r="83" spans="2:35" ht="14.25" customHeight="1" x14ac:dyDescent="0.2">
      <c r="B83" s="51"/>
      <c r="C83" s="61"/>
      <c r="D83" s="51"/>
      <c r="E83" s="51"/>
      <c r="F83" s="51"/>
      <c r="G83" s="51"/>
      <c r="H83" s="5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Z83" s="51"/>
      <c r="AA83" s="51"/>
      <c r="AB83" s="57"/>
      <c r="AC83" s="59"/>
      <c r="AD83" s="59"/>
      <c r="AE83" s="102"/>
      <c r="AF83" s="102"/>
      <c r="AG83" s="59"/>
      <c r="AH83" s="59"/>
      <c r="AI83" s="53"/>
    </row>
    <row r="84" spans="2:35" ht="14.25" customHeight="1" x14ac:dyDescent="0.2">
      <c r="B84" s="51"/>
      <c r="C84" s="61"/>
      <c r="D84" s="51"/>
      <c r="E84" s="51"/>
      <c r="F84" s="51"/>
      <c r="G84" s="51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Z84" s="51"/>
      <c r="AA84" s="51"/>
      <c r="AB84" s="57"/>
      <c r="AC84" s="59"/>
      <c r="AD84" s="59"/>
      <c r="AE84" s="102"/>
      <c r="AF84" s="102"/>
      <c r="AG84" s="59"/>
      <c r="AH84" s="59"/>
      <c r="AI84" s="53"/>
    </row>
    <row r="85" spans="2:35" ht="14.25" customHeight="1" x14ac:dyDescent="0.2">
      <c r="B85" s="51"/>
      <c r="C85" s="61"/>
      <c r="D85" s="51"/>
      <c r="E85" s="51"/>
      <c r="F85" s="51"/>
      <c r="G85" s="51"/>
      <c r="H85" s="5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Z85" s="51"/>
      <c r="AA85" s="51"/>
      <c r="AB85" s="57"/>
      <c r="AC85" s="59"/>
      <c r="AD85" s="59"/>
      <c r="AE85" s="102"/>
      <c r="AF85" s="102"/>
      <c r="AG85" s="59"/>
      <c r="AH85" s="59"/>
      <c r="AI85" s="53"/>
    </row>
    <row r="86" spans="2:35" ht="14.25" customHeight="1" x14ac:dyDescent="0.2">
      <c r="B86" s="51"/>
      <c r="C86" s="61"/>
      <c r="D86" s="51"/>
      <c r="E86" s="51"/>
      <c r="F86" s="51"/>
      <c r="G86" s="51"/>
      <c r="H86" s="5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Z86" s="51"/>
      <c r="AA86" s="51"/>
      <c r="AB86" s="57"/>
      <c r="AC86" s="59"/>
      <c r="AD86" s="59"/>
      <c r="AE86" s="102"/>
      <c r="AF86" s="102"/>
      <c r="AG86" s="59"/>
      <c r="AH86" s="59"/>
      <c r="AI86" s="53"/>
    </row>
    <row r="87" spans="2:35" ht="14.25" customHeight="1" x14ac:dyDescent="0.2">
      <c r="B87" s="51"/>
      <c r="C87" s="61"/>
      <c r="D87" s="51"/>
      <c r="E87" s="51"/>
      <c r="F87" s="51"/>
      <c r="G87" s="51"/>
      <c r="H87" s="5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Z87" s="51"/>
      <c r="AA87" s="51"/>
      <c r="AB87" s="57"/>
      <c r="AC87" s="59"/>
      <c r="AD87" s="59"/>
      <c r="AE87" s="102"/>
      <c r="AF87" s="102"/>
      <c r="AG87" s="59"/>
      <c r="AH87" s="59"/>
      <c r="AI87" s="53"/>
    </row>
    <row r="88" spans="2:35" ht="14.25" customHeight="1" x14ac:dyDescent="0.2">
      <c r="B88" s="51"/>
      <c r="C88" s="61"/>
      <c r="D88" s="51"/>
      <c r="E88" s="51"/>
      <c r="F88" s="51"/>
      <c r="G88" s="51"/>
      <c r="H88" s="5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Z88" s="51"/>
      <c r="AA88" s="51"/>
      <c r="AB88" s="57"/>
      <c r="AC88" s="59"/>
      <c r="AD88" s="59"/>
      <c r="AE88" s="102"/>
      <c r="AF88" s="102"/>
      <c r="AG88" s="59"/>
      <c r="AH88" s="59"/>
      <c r="AI88" s="53"/>
    </row>
    <row r="89" spans="2:35" ht="14.25" customHeight="1" x14ac:dyDescent="0.2">
      <c r="B89" s="51"/>
      <c r="C89" s="61"/>
      <c r="D89" s="51"/>
      <c r="E89" s="51"/>
      <c r="F89" s="51"/>
      <c r="G89" s="51"/>
      <c r="H89" s="52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Z89" s="51"/>
      <c r="AA89" s="51"/>
      <c r="AB89" s="57"/>
      <c r="AC89" s="59"/>
      <c r="AD89" s="59"/>
      <c r="AE89" s="102"/>
      <c r="AF89" s="102"/>
      <c r="AG89" s="59"/>
      <c r="AH89" s="59"/>
      <c r="AI89" s="53"/>
    </row>
    <row r="90" spans="2:35" ht="14.25" customHeight="1" x14ac:dyDescent="0.2">
      <c r="B90" s="51"/>
      <c r="C90" s="61"/>
      <c r="D90" s="51"/>
      <c r="E90" s="51"/>
      <c r="F90" s="51"/>
      <c r="G90" s="51"/>
      <c r="H90" s="5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Z90" s="51"/>
      <c r="AA90" s="51"/>
      <c r="AB90" s="57"/>
      <c r="AC90" s="59"/>
      <c r="AD90" s="59"/>
      <c r="AE90" s="102"/>
      <c r="AF90" s="102"/>
      <c r="AG90" s="59"/>
      <c r="AH90" s="59"/>
      <c r="AI90" s="53"/>
    </row>
    <row r="91" spans="2:35" ht="14.25" customHeight="1" x14ac:dyDescent="0.2">
      <c r="B91" s="51"/>
      <c r="C91" s="61"/>
      <c r="D91" s="51"/>
      <c r="E91" s="51"/>
      <c r="F91" s="51"/>
      <c r="G91" s="51"/>
      <c r="H91" s="52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Z91" s="51"/>
      <c r="AA91" s="51"/>
      <c r="AB91" s="57"/>
      <c r="AC91" s="59"/>
      <c r="AD91" s="59"/>
      <c r="AE91" s="102"/>
      <c r="AF91" s="102"/>
      <c r="AG91" s="59"/>
      <c r="AH91" s="59"/>
      <c r="AI91" s="53"/>
    </row>
    <row r="92" spans="2:35" ht="14.25" customHeight="1" x14ac:dyDescent="0.2">
      <c r="B92" s="51"/>
      <c r="C92" s="61"/>
      <c r="D92" s="51"/>
      <c r="E92" s="51"/>
      <c r="F92" s="51"/>
      <c r="G92" s="51"/>
      <c r="H92" s="52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Z92" s="51"/>
      <c r="AA92" s="51"/>
      <c r="AB92" s="57"/>
      <c r="AC92" s="59"/>
      <c r="AD92" s="59"/>
      <c r="AE92" s="102"/>
      <c r="AF92" s="102"/>
      <c r="AG92" s="59"/>
      <c r="AH92" s="59"/>
      <c r="AI92" s="53"/>
    </row>
    <row r="93" spans="2:35" ht="14.25" customHeight="1" x14ac:dyDescent="0.2">
      <c r="B93" s="51"/>
      <c r="C93" s="61"/>
      <c r="D93" s="51"/>
      <c r="E93" s="51"/>
      <c r="F93" s="51"/>
      <c r="G93" s="51"/>
      <c r="H93" s="52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Z93" s="51"/>
      <c r="AA93" s="51"/>
      <c r="AB93" s="57"/>
      <c r="AC93" s="59"/>
      <c r="AD93" s="59"/>
      <c r="AE93" s="102"/>
      <c r="AF93" s="102"/>
      <c r="AG93" s="59"/>
      <c r="AH93" s="59"/>
      <c r="AI93" s="53"/>
    </row>
    <row r="94" spans="2:35" ht="14.25" customHeight="1" x14ac:dyDescent="0.2">
      <c r="B94" s="51"/>
      <c r="C94" s="61"/>
      <c r="D94" s="51"/>
      <c r="E94" s="51"/>
      <c r="F94" s="51"/>
      <c r="G94" s="51"/>
      <c r="H94" s="52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Z94" s="51"/>
      <c r="AA94" s="51"/>
      <c r="AB94" s="57"/>
      <c r="AC94" s="59"/>
      <c r="AD94" s="59"/>
      <c r="AE94" s="102"/>
      <c r="AF94" s="102"/>
      <c r="AG94" s="59"/>
      <c r="AH94" s="59"/>
      <c r="AI94" s="53"/>
    </row>
    <row r="95" spans="2:35" ht="14.25" customHeight="1" x14ac:dyDescent="0.2">
      <c r="B95" s="51"/>
      <c r="C95" s="61"/>
      <c r="D95" s="51"/>
      <c r="E95" s="51"/>
      <c r="F95" s="51"/>
      <c r="G95" s="51"/>
      <c r="H95" s="52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Z95" s="51"/>
      <c r="AA95" s="51"/>
      <c r="AB95" s="57"/>
      <c r="AC95" s="59"/>
      <c r="AD95" s="59"/>
      <c r="AE95" s="102"/>
      <c r="AF95" s="102"/>
      <c r="AG95" s="59"/>
      <c r="AH95" s="59"/>
      <c r="AI95" s="53"/>
    </row>
    <row r="96" spans="2:35" ht="14.25" customHeight="1" x14ac:dyDescent="0.2">
      <c r="B96" s="51"/>
      <c r="C96" s="61"/>
      <c r="D96" s="51"/>
      <c r="E96" s="51"/>
      <c r="F96" s="51"/>
      <c r="G96" s="51"/>
      <c r="H96" s="5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Z96" s="51"/>
      <c r="AA96" s="51"/>
      <c r="AB96" s="57"/>
      <c r="AC96" s="59"/>
      <c r="AD96" s="59"/>
      <c r="AE96" s="102"/>
      <c r="AF96" s="102"/>
      <c r="AG96" s="59"/>
      <c r="AH96" s="59"/>
      <c r="AI96" s="53"/>
    </row>
    <row r="97" spans="2:35" ht="14.25" customHeight="1" x14ac:dyDescent="0.2">
      <c r="B97" s="51"/>
      <c r="C97" s="61"/>
      <c r="D97" s="51"/>
      <c r="E97" s="51"/>
      <c r="F97" s="51"/>
      <c r="G97" s="51"/>
      <c r="H97" s="52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Z97" s="51"/>
      <c r="AA97" s="51"/>
      <c r="AB97" s="57"/>
      <c r="AC97" s="59"/>
      <c r="AD97" s="59"/>
      <c r="AE97" s="102"/>
      <c r="AF97" s="102"/>
      <c r="AG97" s="59"/>
      <c r="AH97" s="59"/>
      <c r="AI97" s="53"/>
    </row>
    <row r="98" spans="2:35" ht="14.25" customHeight="1" x14ac:dyDescent="0.2">
      <c r="B98" s="51"/>
      <c r="C98" s="61"/>
      <c r="D98" s="51"/>
      <c r="E98" s="51"/>
      <c r="F98" s="51"/>
      <c r="G98" s="51"/>
      <c r="H98" s="52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Z98" s="51"/>
      <c r="AA98" s="51"/>
      <c r="AB98" s="57"/>
      <c r="AC98" s="59"/>
      <c r="AD98" s="59"/>
      <c r="AE98" s="102"/>
      <c r="AF98" s="102"/>
      <c r="AG98" s="59"/>
      <c r="AH98" s="59"/>
      <c r="AI98" s="53"/>
    </row>
    <row r="99" spans="2:35" ht="14.25" customHeight="1" x14ac:dyDescent="0.2">
      <c r="B99" s="51"/>
      <c r="C99" s="61"/>
      <c r="D99" s="51"/>
      <c r="E99" s="51"/>
      <c r="F99" s="51"/>
      <c r="G99" s="51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Z99" s="51"/>
      <c r="AA99" s="51"/>
      <c r="AB99" s="57"/>
      <c r="AC99" s="59"/>
      <c r="AD99" s="59"/>
      <c r="AE99" s="102"/>
      <c r="AF99" s="102"/>
      <c r="AG99" s="59"/>
      <c r="AH99" s="59"/>
      <c r="AI99" s="53"/>
    </row>
    <row r="100" spans="2:35" ht="14.25" customHeight="1" x14ac:dyDescent="0.2">
      <c r="B100" s="51"/>
      <c r="C100" s="61"/>
      <c r="D100" s="51"/>
      <c r="E100" s="51"/>
      <c r="F100" s="51"/>
      <c r="G100" s="51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Z100" s="51"/>
      <c r="AA100" s="51"/>
      <c r="AB100" s="57"/>
      <c r="AC100" s="59"/>
      <c r="AD100" s="59"/>
      <c r="AE100" s="102"/>
      <c r="AF100" s="102"/>
      <c r="AG100" s="59"/>
      <c r="AH100" s="59"/>
      <c r="AI100" s="53"/>
    </row>
    <row r="101" spans="2:35" ht="14.25" customHeight="1" x14ac:dyDescent="0.2">
      <c r="B101" s="51"/>
      <c r="C101" s="61"/>
      <c r="D101" s="51"/>
      <c r="E101" s="51"/>
      <c r="F101" s="51"/>
      <c r="G101" s="51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Z101" s="51"/>
      <c r="AA101" s="51"/>
      <c r="AB101" s="57"/>
      <c r="AC101" s="59"/>
      <c r="AD101" s="59"/>
      <c r="AE101" s="102"/>
      <c r="AF101" s="102"/>
      <c r="AG101" s="59"/>
      <c r="AH101" s="59"/>
      <c r="AI101" s="53"/>
    </row>
    <row r="102" spans="2:35" ht="14.25" customHeight="1" x14ac:dyDescent="0.2">
      <c r="B102" s="51"/>
      <c r="C102" s="61"/>
      <c r="D102" s="51"/>
      <c r="E102" s="51"/>
      <c r="F102" s="51"/>
      <c r="G102" s="51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Z102" s="51"/>
      <c r="AA102" s="51"/>
      <c r="AB102" s="57"/>
      <c r="AC102" s="59"/>
      <c r="AD102" s="59"/>
      <c r="AE102" s="102"/>
      <c r="AF102" s="102"/>
      <c r="AG102" s="59"/>
      <c r="AH102" s="59"/>
      <c r="AI102" s="53"/>
    </row>
    <row r="103" spans="2:35" ht="14.25" customHeight="1" x14ac:dyDescent="0.2">
      <c r="B103" s="51"/>
      <c r="C103" s="61"/>
      <c r="D103" s="51"/>
      <c r="E103" s="51"/>
      <c r="F103" s="51"/>
      <c r="G103" s="51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Z103" s="51"/>
      <c r="AA103" s="51"/>
      <c r="AB103" s="57"/>
      <c r="AC103" s="59"/>
      <c r="AD103" s="59"/>
      <c r="AE103" s="102"/>
      <c r="AF103" s="102"/>
      <c r="AG103" s="59"/>
      <c r="AH103" s="59"/>
      <c r="AI103" s="53"/>
    </row>
    <row r="104" spans="2:35" ht="14.25" customHeight="1" x14ac:dyDescent="0.2">
      <c r="B104" s="51"/>
      <c r="C104" s="61"/>
      <c r="D104" s="51"/>
      <c r="E104" s="51"/>
      <c r="F104" s="51"/>
      <c r="G104" s="51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Z104" s="51"/>
      <c r="AA104" s="51"/>
      <c r="AB104" s="57"/>
      <c r="AC104" s="59"/>
      <c r="AD104" s="59"/>
      <c r="AE104" s="102"/>
      <c r="AF104" s="102"/>
      <c r="AG104" s="59"/>
      <c r="AH104" s="59"/>
      <c r="AI104" s="53"/>
    </row>
    <row r="105" spans="2:35" ht="14.25" customHeight="1" x14ac:dyDescent="0.2">
      <c r="B105" s="51"/>
      <c r="C105" s="61"/>
      <c r="D105" s="51"/>
      <c r="E105" s="51"/>
      <c r="F105" s="51"/>
      <c r="G105" s="51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Z105" s="51"/>
      <c r="AA105" s="51"/>
      <c r="AB105" s="57"/>
      <c r="AC105" s="59"/>
      <c r="AD105" s="59"/>
      <c r="AE105" s="102"/>
      <c r="AF105" s="102"/>
      <c r="AG105" s="59"/>
      <c r="AH105" s="59"/>
      <c r="AI105" s="53"/>
    </row>
    <row r="106" spans="2:35" ht="14.25" customHeight="1" x14ac:dyDescent="0.2">
      <c r="B106" s="51"/>
      <c r="C106" s="61"/>
      <c r="D106" s="51"/>
      <c r="E106" s="51"/>
      <c r="F106" s="51"/>
      <c r="G106" s="51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Z106" s="51"/>
      <c r="AA106" s="51"/>
      <c r="AB106" s="57"/>
      <c r="AC106" s="59"/>
      <c r="AD106" s="59"/>
      <c r="AE106" s="102"/>
      <c r="AF106" s="102"/>
      <c r="AG106" s="59"/>
      <c r="AH106" s="59"/>
      <c r="AI106" s="53"/>
    </row>
    <row r="107" spans="2:35" ht="14.25" customHeight="1" x14ac:dyDescent="0.2">
      <c r="B107" s="51"/>
      <c r="C107" s="61"/>
      <c r="D107" s="51"/>
      <c r="E107" s="51"/>
      <c r="F107" s="51"/>
      <c r="G107" s="51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Z107" s="51"/>
      <c r="AA107" s="51"/>
      <c r="AB107" s="57"/>
      <c r="AC107" s="59"/>
      <c r="AD107" s="59"/>
      <c r="AE107" s="102"/>
      <c r="AF107" s="102"/>
      <c r="AG107" s="59"/>
      <c r="AH107" s="59"/>
      <c r="AI107" s="53"/>
    </row>
    <row r="108" spans="2:35" ht="14.25" customHeight="1" x14ac:dyDescent="0.2">
      <c r="B108" s="51"/>
      <c r="C108" s="61"/>
      <c r="D108" s="51"/>
      <c r="E108" s="51"/>
      <c r="F108" s="51"/>
      <c r="G108" s="51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Z108" s="51"/>
      <c r="AA108" s="51"/>
      <c r="AB108" s="57"/>
      <c r="AC108" s="59"/>
      <c r="AD108" s="59"/>
      <c r="AE108" s="102"/>
      <c r="AF108" s="102"/>
      <c r="AG108" s="59"/>
      <c r="AH108" s="59"/>
      <c r="AI108" s="53"/>
    </row>
    <row r="109" spans="2:35" ht="14.25" customHeight="1" x14ac:dyDescent="0.2">
      <c r="B109" s="51"/>
      <c r="C109" s="61"/>
      <c r="D109" s="51"/>
      <c r="E109" s="51"/>
      <c r="F109" s="51"/>
      <c r="G109" s="51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Z109" s="51"/>
      <c r="AA109" s="51"/>
      <c r="AB109" s="57"/>
      <c r="AC109" s="59"/>
      <c r="AD109" s="59"/>
      <c r="AE109" s="102"/>
      <c r="AF109" s="102"/>
      <c r="AG109" s="59"/>
      <c r="AH109" s="59"/>
      <c r="AI109" s="53"/>
    </row>
    <row r="110" spans="2:35" ht="14.25" customHeight="1" x14ac:dyDescent="0.2">
      <c r="B110" s="51"/>
      <c r="C110" s="61"/>
      <c r="D110" s="51"/>
      <c r="E110" s="51"/>
      <c r="F110" s="51"/>
      <c r="G110" s="51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Z110" s="51"/>
      <c r="AA110" s="51"/>
      <c r="AB110" s="57"/>
      <c r="AC110" s="59"/>
      <c r="AD110" s="59"/>
      <c r="AE110" s="102"/>
      <c r="AF110" s="102"/>
      <c r="AG110" s="59"/>
      <c r="AH110" s="59"/>
      <c r="AI110" s="53"/>
    </row>
    <row r="111" spans="2:35" ht="14.25" customHeight="1" x14ac:dyDescent="0.2">
      <c r="B111" s="51"/>
      <c r="C111" s="61"/>
      <c r="D111" s="51"/>
      <c r="E111" s="51"/>
      <c r="F111" s="51"/>
      <c r="G111" s="51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Z111" s="51"/>
      <c r="AA111" s="51"/>
      <c r="AB111" s="57"/>
      <c r="AC111" s="59"/>
      <c r="AD111" s="59"/>
      <c r="AE111" s="102"/>
      <c r="AF111" s="102"/>
      <c r="AG111" s="59"/>
      <c r="AH111" s="59"/>
      <c r="AI111" s="53"/>
    </row>
    <row r="112" spans="2:35" ht="14.25" customHeight="1" x14ac:dyDescent="0.2">
      <c r="B112" s="51"/>
      <c r="C112" s="61"/>
      <c r="D112" s="51"/>
      <c r="E112" s="51"/>
      <c r="F112" s="51"/>
      <c r="G112" s="51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Z112" s="51"/>
      <c r="AA112" s="51"/>
      <c r="AB112" s="57"/>
      <c r="AC112" s="59"/>
      <c r="AD112" s="59"/>
      <c r="AE112" s="102"/>
      <c r="AF112" s="102"/>
      <c r="AG112" s="59"/>
      <c r="AH112" s="59"/>
      <c r="AI112" s="53"/>
    </row>
    <row r="113" spans="2:35" ht="14.25" customHeight="1" x14ac:dyDescent="0.2">
      <c r="B113" s="51"/>
      <c r="C113" s="61"/>
      <c r="D113" s="51"/>
      <c r="E113" s="51"/>
      <c r="F113" s="51"/>
      <c r="G113" s="51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Z113" s="51"/>
      <c r="AA113" s="51"/>
      <c r="AB113" s="57"/>
      <c r="AC113" s="59"/>
      <c r="AD113" s="59"/>
      <c r="AE113" s="102"/>
      <c r="AF113" s="102"/>
      <c r="AG113" s="59"/>
      <c r="AH113" s="59"/>
      <c r="AI113" s="53"/>
    </row>
    <row r="114" spans="2:35" ht="14.25" customHeight="1" x14ac:dyDescent="0.2">
      <c r="B114" s="51"/>
      <c r="C114" s="61"/>
      <c r="D114" s="51"/>
      <c r="E114" s="51"/>
      <c r="F114" s="51"/>
      <c r="G114" s="51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Z114" s="51"/>
      <c r="AA114" s="51"/>
      <c r="AB114" s="57"/>
      <c r="AC114" s="59"/>
      <c r="AD114" s="59"/>
      <c r="AE114" s="102"/>
      <c r="AF114" s="102"/>
      <c r="AG114" s="59"/>
      <c r="AH114" s="59"/>
      <c r="AI114" s="53"/>
    </row>
    <row r="115" spans="2:35" ht="14.25" customHeight="1" x14ac:dyDescent="0.2">
      <c r="B115" s="51"/>
      <c r="C115" s="61"/>
      <c r="D115" s="51"/>
      <c r="E115" s="51"/>
      <c r="F115" s="51"/>
      <c r="G115" s="51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Z115" s="51"/>
      <c r="AA115" s="51"/>
      <c r="AB115" s="57"/>
      <c r="AC115" s="59"/>
      <c r="AD115" s="59"/>
      <c r="AE115" s="102"/>
      <c r="AF115" s="102"/>
      <c r="AG115" s="59"/>
      <c r="AH115" s="59"/>
      <c r="AI115" s="53"/>
    </row>
    <row r="116" spans="2:35" ht="14.25" customHeight="1" x14ac:dyDescent="0.2">
      <c r="B116" s="51"/>
      <c r="C116" s="61"/>
      <c r="D116" s="51"/>
      <c r="E116" s="51"/>
      <c r="F116" s="51"/>
      <c r="G116" s="51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Z116" s="51"/>
      <c r="AA116" s="51"/>
      <c r="AB116" s="57"/>
      <c r="AC116" s="59"/>
      <c r="AD116" s="59"/>
      <c r="AE116" s="102"/>
      <c r="AF116" s="102"/>
      <c r="AG116" s="59"/>
      <c r="AH116" s="59"/>
      <c r="AI116" s="53"/>
    </row>
    <row r="117" spans="2:35" ht="14.25" customHeight="1" x14ac:dyDescent="0.2">
      <c r="B117" s="51"/>
      <c r="C117" s="61"/>
      <c r="D117" s="51"/>
      <c r="E117" s="51"/>
      <c r="F117" s="51"/>
      <c r="G117" s="51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Z117" s="51"/>
      <c r="AA117" s="51"/>
      <c r="AB117" s="57"/>
      <c r="AC117" s="59"/>
      <c r="AD117" s="59"/>
      <c r="AE117" s="102"/>
      <c r="AF117" s="102"/>
      <c r="AG117" s="59"/>
      <c r="AH117" s="59"/>
      <c r="AI117" s="53"/>
    </row>
    <row r="118" spans="2:35" ht="14.25" customHeight="1" x14ac:dyDescent="0.2">
      <c r="B118" s="51"/>
      <c r="C118" s="61"/>
      <c r="D118" s="51"/>
      <c r="E118" s="51"/>
      <c r="F118" s="51"/>
      <c r="G118" s="51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Z118" s="51"/>
      <c r="AA118" s="51"/>
      <c r="AB118" s="57"/>
      <c r="AC118" s="59"/>
      <c r="AD118" s="59"/>
      <c r="AE118" s="102"/>
      <c r="AF118" s="102"/>
      <c r="AG118" s="59"/>
      <c r="AH118" s="59"/>
      <c r="AI118" s="53"/>
    </row>
    <row r="119" spans="2:35" ht="14.25" customHeight="1" x14ac:dyDescent="0.2">
      <c r="B119" s="51"/>
      <c r="C119" s="61"/>
      <c r="D119" s="51"/>
      <c r="E119" s="51"/>
      <c r="F119" s="51"/>
      <c r="G119" s="51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Z119" s="51"/>
      <c r="AA119" s="51"/>
      <c r="AB119" s="57"/>
      <c r="AC119" s="59"/>
      <c r="AD119" s="59"/>
      <c r="AE119" s="102"/>
      <c r="AF119" s="102"/>
      <c r="AG119" s="59"/>
      <c r="AH119" s="59"/>
      <c r="AI119" s="53"/>
    </row>
    <row r="120" spans="2:35" ht="14.25" customHeight="1" x14ac:dyDescent="0.2">
      <c r="B120" s="51"/>
      <c r="C120" s="61"/>
      <c r="D120" s="51"/>
      <c r="E120" s="51"/>
      <c r="F120" s="51"/>
      <c r="G120" s="51"/>
      <c r="H120" s="52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Z120" s="51"/>
      <c r="AA120" s="51"/>
      <c r="AB120" s="57"/>
      <c r="AC120" s="59"/>
      <c r="AD120" s="59"/>
      <c r="AE120" s="102"/>
      <c r="AF120" s="102"/>
      <c r="AG120" s="59"/>
      <c r="AH120" s="59"/>
      <c r="AI120" s="53"/>
    </row>
    <row r="121" spans="2:35" ht="14.25" customHeight="1" x14ac:dyDescent="0.2">
      <c r="B121" s="51"/>
      <c r="C121" s="61"/>
      <c r="D121" s="51"/>
      <c r="E121" s="51"/>
      <c r="F121" s="51"/>
      <c r="G121" s="51"/>
      <c r="H121" s="52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Z121" s="51"/>
      <c r="AA121" s="51"/>
      <c r="AB121" s="57"/>
      <c r="AC121" s="59"/>
      <c r="AD121" s="59"/>
      <c r="AE121" s="102"/>
      <c r="AF121" s="102"/>
      <c r="AG121" s="59"/>
      <c r="AH121" s="59"/>
      <c r="AI121" s="53"/>
    </row>
    <row r="122" spans="2:35" ht="14.25" customHeight="1" x14ac:dyDescent="0.2">
      <c r="B122" s="51"/>
      <c r="C122" s="61"/>
      <c r="D122" s="51"/>
      <c r="E122" s="51"/>
      <c r="F122" s="51"/>
      <c r="G122" s="51"/>
      <c r="H122" s="52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Z122" s="51"/>
      <c r="AA122" s="51"/>
      <c r="AB122" s="57"/>
      <c r="AC122" s="59"/>
      <c r="AD122" s="59"/>
      <c r="AE122" s="102"/>
      <c r="AF122" s="102"/>
      <c r="AG122" s="59"/>
      <c r="AH122" s="59"/>
      <c r="AI122" s="53"/>
    </row>
    <row r="123" spans="2:35" ht="14.25" customHeight="1" x14ac:dyDescent="0.2">
      <c r="B123" s="51"/>
      <c r="C123" s="61"/>
      <c r="D123" s="51"/>
      <c r="E123" s="51"/>
      <c r="F123" s="51"/>
      <c r="G123" s="51"/>
      <c r="H123" s="52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Z123" s="51"/>
      <c r="AA123" s="51"/>
      <c r="AB123" s="57"/>
      <c r="AC123" s="59"/>
      <c r="AD123" s="59"/>
      <c r="AE123" s="102"/>
      <c r="AF123" s="102"/>
      <c r="AG123" s="59"/>
      <c r="AH123" s="59"/>
      <c r="AI123" s="53"/>
    </row>
    <row r="124" spans="2:35" ht="14.25" customHeight="1" x14ac:dyDescent="0.2">
      <c r="B124" s="51"/>
      <c r="C124" s="61"/>
      <c r="D124" s="51"/>
      <c r="E124" s="51"/>
      <c r="F124" s="51"/>
      <c r="G124" s="51"/>
      <c r="H124" s="52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Z124" s="51"/>
      <c r="AA124" s="51"/>
      <c r="AB124" s="57"/>
      <c r="AC124" s="59"/>
      <c r="AD124" s="59"/>
      <c r="AE124" s="102"/>
      <c r="AF124" s="102"/>
      <c r="AG124" s="59"/>
      <c r="AH124" s="59"/>
      <c r="AI124" s="53"/>
    </row>
    <row r="125" spans="2:35" ht="14.25" customHeight="1" x14ac:dyDescent="0.2">
      <c r="B125" s="51"/>
      <c r="C125" s="61"/>
      <c r="D125" s="51"/>
      <c r="E125" s="51"/>
      <c r="F125" s="51"/>
      <c r="G125" s="51"/>
      <c r="H125" s="52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Z125" s="51"/>
      <c r="AA125" s="51"/>
      <c r="AB125" s="57"/>
      <c r="AC125" s="59"/>
      <c r="AD125" s="59"/>
      <c r="AE125" s="102"/>
      <c r="AF125" s="102"/>
      <c r="AG125" s="59"/>
      <c r="AH125" s="59"/>
      <c r="AI125" s="53"/>
    </row>
    <row r="126" spans="2:35" ht="14.25" customHeight="1" x14ac:dyDescent="0.2">
      <c r="B126" s="51"/>
      <c r="C126" s="61"/>
      <c r="D126" s="51"/>
      <c r="E126" s="51"/>
      <c r="F126" s="51"/>
      <c r="G126" s="51"/>
      <c r="H126" s="52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Z126" s="51"/>
      <c r="AA126" s="51"/>
      <c r="AB126" s="57"/>
      <c r="AC126" s="59"/>
      <c r="AD126" s="59"/>
      <c r="AE126" s="102"/>
      <c r="AF126" s="102"/>
      <c r="AG126" s="59"/>
      <c r="AH126" s="59"/>
      <c r="AI126" s="53"/>
    </row>
    <row r="127" spans="2:35" ht="14.25" customHeight="1" x14ac:dyDescent="0.2">
      <c r="B127" s="51"/>
      <c r="C127" s="61"/>
      <c r="D127" s="51"/>
      <c r="E127" s="51"/>
      <c r="F127" s="51"/>
      <c r="G127" s="51"/>
      <c r="H127" s="52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Z127" s="51"/>
      <c r="AA127" s="51"/>
      <c r="AB127" s="57"/>
      <c r="AC127" s="59"/>
      <c r="AD127" s="59"/>
      <c r="AE127" s="102"/>
      <c r="AF127" s="102"/>
      <c r="AG127" s="59"/>
      <c r="AH127" s="59"/>
      <c r="AI127" s="53"/>
    </row>
    <row r="128" spans="2:35" ht="14.25" customHeight="1" x14ac:dyDescent="0.2">
      <c r="B128" s="51"/>
      <c r="C128" s="61"/>
      <c r="D128" s="51"/>
      <c r="E128" s="51"/>
      <c r="F128" s="51"/>
      <c r="G128" s="51"/>
      <c r="H128" s="52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Z128" s="51"/>
      <c r="AA128" s="51"/>
      <c r="AB128" s="57"/>
      <c r="AC128" s="59"/>
      <c r="AD128" s="59"/>
      <c r="AE128" s="102"/>
      <c r="AF128" s="102"/>
      <c r="AG128" s="59"/>
      <c r="AH128" s="59"/>
      <c r="AI128" s="53"/>
    </row>
    <row r="129" spans="2:35" ht="14.25" customHeight="1" x14ac:dyDescent="0.2">
      <c r="B129" s="51"/>
      <c r="C129" s="61"/>
      <c r="D129" s="51"/>
      <c r="E129" s="51"/>
      <c r="F129" s="51"/>
      <c r="G129" s="51"/>
      <c r="H129" s="52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Z129" s="51"/>
      <c r="AA129" s="51"/>
      <c r="AB129" s="57"/>
      <c r="AC129" s="59"/>
      <c r="AD129" s="59"/>
      <c r="AE129" s="102"/>
      <c r="AF129" s="102"/>
      <c r="AG129" s="59"/>
      <c r="AH129" s="59"/>
      <c r="AI129" s="53"/>
    </row>
    <row r="130" spans="2:35" ht="14.25" customHeight="1" x14ac:dyDescent="0.2">
      <c r="B130" s="51"/>
      <c r="C130" s="61"/>
      <c r="D130" s="51"/>
      <c r="E130" s="51"/>
      <c r="F130" s="51"/>
      <c r="G130" s="51"/>
      <c r="H130" s="52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Z130" s="51"/>
      <c r="AA130" s="51"/>
      <c r="AB130" s="57"/>
      <c r="AC130" s="59"/>
      <c r="AD130" s="59"/>
      <c r="AE130" s="102"/>
      <c r="AF130" s="102"/>
      <c r="AG130" s="59"/>
      <c r="AH130" s="59"/>
      <c r="AI130" s="53"/>
    </row>
    <row r="131" spans="2:35" ht="14.25" customHeight="1" x14ac:dyDescent="0.2">
      <c r="B131" s="51"/>
      <c r="C131" s="61"/>
      <c r="D131" s="51"/>
      <c r="E131" s="51"/>
      <c r="F131" s="51"/>
      <c r="G131" s="51"/>
      <c r="H131" s="52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Z131" s="51"/>
      <c r="AA131" s="51"/>
      <c r="AB131" s="57"/>
      <c r="AC131" s="59"/>
      <c r="AD131" s="59"/>
      <c r="AE131" s="102"/>
      <c r="AF131" s="102"/>
      <c r="AG131" s="59"/>
      <c r="AH131" s="59"/>
      <c r="AI131" s="53"/>
    </row>
    <row r="132" spans="2:35" ht="14.25" customHeight="1" x14ac:dyDescent="0.2">
      <c r="B132" s="51"/>
      <c r="C132" s="61"/>
      <c r="D132" s="51"/>
      <c r="E132" s="51"/>
      <c r="F132" s="51"/>
      <c r="G132" s="51"/>
      <c r="H132" s="52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Z132" s="51"/>
      <c r="AA132" s="51"/>
      <c r="AB132" s="57"/>
      <c r="AC132" s="59"/>
      <c r="AD132" s="59"/>
      <c r="AE132" s="102"/>
      <c r="AF132" s="102"/>
      <c r="AG132" s="59"/>
      <c r="AH132" s="59"/>
      <c r="AI132" s="53"/>
    </row>
    <row r="133" spans="2:35" ht="14.25" customHeight="1" x14ac:dyDescent="0.2">
      <c r="B133" s="51"/>
      <c r="C133" s="61"/>
      <c r="D133" s="51"/>
      <c r="E133" s="51"/>
      <c r="F133" s="51"/>
      <c r="G133" s="51"/>
      <c r="H133" s="52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Z133" s="51"/>
      <c r="AA133" s="51"/>
      <c r="AB133" s="57"/>
      <c r="AC133" s="59"/>
      <c r="AD133" s="59"/>
      <c r="AE133" s="102"/>
      <c r="AF133" s="102"/>
      <c r="AG133" s="59"/>
      <c r="AH133" s="59"/>
      <c r="AI133" s="53"/>
    </row>
    <row r="134" spans="2:35" ht="14.25" customHeight="1" x14ac:dyDescent="0.2">
      <c r="B134" s="51"/>
      <c r="C134" s="61"/>
      <c r="D134" s="51"/>
      <c r="E134" s="51"/>
      <c r="F134" s="51"/>
      <c r="G134" s="51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Z134" s="51"/>
      <c r="AA134" s="51"/>
      <c r="AB134" s="57"/>
      <c r="AC134" s="59"/>
      <c r="AD134" s="59"/>
      <c r="AE134" s="102"/>
      <c r="AF134" s="102"/>
      <c r="AG134" s="59"/>
      <c r="AH134" s="59"/>
      <c r="AI134" s="53"/>
    </row>
    <row r="135" spans="2:35" ht="14.25" customHeight="1" x14ac:dyDescent="0.2">
      <c r="B135" s="51"/>
      <c r="C135" s="61"/>
      <c r="D135" s="51"/>
      <c r="E135" s="51"/>
      <c r="F135" s="51"/>
      <c r="G135" s="51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Z135" s="51"/>
      <c r="AA135" s="51"/>
      <c r="AB135" s="57"/>
      <c r="AC135" s="59"/>
      <c r="AD135" s="59"/>
      <c r="AE135" s="102"/>
      <c r="AF135" s="102"/>
      <c r="AG135" s="59"/>
      <c r="AH135" s="59"/>
      <c r="AI135" s="53"/>
    </row>
    <row r="136" spans="2:35" ht="14.25" customHeight="1" x14ac:dyDescent="0.2">
      <c r="B136" s="51"/>
      <c r="C136" s="61"/>
      <c r="D136" s="51"/>
      <c r="E136" s="51"/>
      <c r="F136" s="51"/>
      <c r="G136" s="51"/>
      <c r="H136" s="52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Z136" s="51"/>
      <c r="AA136" s="51"/>
      <c r="AB136" s="57"/>
      <c r="AC136" s="59"/>
      <c r="AD136" s="59"/>
      <c r="AE136" s="102"/>
      <c r="AF136" s="102"/>
      <c r="AG136" s="59"/>
      <c r="AH136" s="59"/>
      <c r="AI136" s="53"/>
    </row>
    <row r="137" spans="2:35" ht="14.25" customHeight="1" x14ac:dyDescent="0.2">
      <c r="B137" s="51"/>
      <c r="C137" s="61"/>
      <c r="D137" s="51"/>
      <c r="E137" s="51"/>
      <c r="F137" s="51"/>
      <c r="G137" s="51"/>
      <c r="H137" s="52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Z137" s="51"/>
      <c r="AA137" s="51"/>
      <c r="AB137" s="57"/>
      <c r="AC137" s="59"/>
      <c r="AD137" s="59"/>
      <c r="AE137" s="102"/>
      <c r="AF137" s="102"/>
      <c r="AG137" s="59"/>
      <c r="AH137" s="59"/>
      <c r="AI137" s="53"/>
    </row>
    <row r="138" spans="2:35" ht="14.25" customHeight="1" x14ac:dyDescent="0.2">
      <c r="B138" s="51"/>
      <c r="C138" s="61"/>
      <c r="D138" s="51"/>
      <c r="E138" s="51"/>
      <c r="F138" s="51"/>
      <c r="G138" s="51"/>
      <c r="H138" s="52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Z138" s="51"/>
      <c r="AA138" s="51"/>
      <c r="AB138" s="57"/>
      <c r="AC138" s="59"/>
      <c r="AD138" s="59"/>
      <c r="AE138" s="102"/>
      <c r="AF138" s="102"/>
      <c r="AG138" s="59"/>
      <c r="AH138" s="59"/>
      <c r="AI138" s="53"/>
    </row>
    <row r="139" spans="2:35" ht="14.25" customHeight="1" x14ac:dyDescent="0.2">
      <c r="B139" s="51"/>
      <c r="C139" s="61"/>
      <c r="D139" s="51"/>
      <c r="E139" s="51"/>
      <c r="F139" s="51"/>
      <c r="G139" s="51"/>
      <c r="H139" s="52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Z139" s="51"/>
      <c r="AA139" s="51"/>
      <c r="AB139" s="57"/>
      <c r="AC139" s="59"/>
      <c r="AD139" s="59"/>
      <c r="AE139" s="102"/>
      <c r="AF139" s="102"/>
      <c r="AG139" s="59"/>
      <c r="AH139" s="59"/>
      <c r="AI139" s="53"/>
    </row>
    <row r="140" spans="2:35" ht="14.25" customHeight="1" x14ac:dyDescent="0.2">
      <c r="B140" s="51"/>
      <c r="C140" s="61"/>
      <c r="D140" s="51"/>
      <c r="E140" s="51"/>
      <c r="F140" s="51"/>
      <c r="G140" s="51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Z140" s="51"/>
      <c r="AA140" s="51"/>
      <c r="AB140" s="57"/>
      <c r="AC140" s="59"/>
      <c r="AD140" s="59"/>
      <c r="AE140" s="102"/>
      <c r="AF140" s="102"/>
      <c r="AG140" s="59"/>
      <c r="AH140" s="59"/>
      <c r="AI140" s="53"/>
    </row>
    <row r="141" spans="2:35" ht="14.25" customHeight="1" x14ac:dyDescent="0.2">
      <c r="B141" s="51"/>
      <c r="C141" s="61"/>
      <c r="D141" s="51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Z141" s="51"/>
      <c r="AA141" s="51"/>
      <c r="AB141" s="57"/>
      <c r="AC141" s="59"/>
      <c r="AD141" s="59"/>
      <c r="AE141" s="102"/>
      <c r="AF141" s="102"/>
      <c r="AG141" s="59"/>
      <c r="AH141" s="59"/>
      <c r="AI141" s="53"/>
    </row>
    <row r="142" spans="2:35" ht="14.25" customHeight="1" x14ac:dyDescent="0.2">
      <c r="B142" s="51"/>
      <c r="C142" s="61"/>
      <c r="D142" s="51"/>
      <c r="E142" s="51"/>
      <c r="F142" s="51"/>
      <c r="G142" s="51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Z142" s="51"/>
      <c r="AA142" s="51"/>
      <c r="AB142" s="57"/>
      <c r="AC142" s="59"/>
      <c r="AD142" s="59"/>
      <c r="AE142" s="102"/>
      <c r="AF142" s="102"/>
      <c r="AG142" s="59"/>
      <c r="AH142" s="59"/>
      <c r="AI142" s="53"/>
    </row>
    <row r="143" spans="2:35" ht="14.25" customHeight="1" x14ac:dyDescent="0.2">
      <c r="B143" s="51"/>
      <c r="C143" s="61"/>
      <c r="D143" s="51"/>
      <c r="E143" s="51"/>
      <c r="F143" s="51"/>
      <c r="G143" s="51"/>
      <c r="H143" s="52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Z143" s="51"/>
      <c r="AA143" s="51"/>
      <c r="AB143" s="57"/>
      <c r="AC143" s="59"/>
      <c r="AD143" s="59"/>
      <c r="AE143" s="102"/>
      <c r="AF143" s="102"/>
      <c r="AG143" s="59"/>
      <c r="AH143" s="59"/>
      <c r="AI143" s="53"/>
    </row>
    <row r="144" spans="2:35" ht="14.25" customHeight="1" x14ac:dyDescent="0.2">
      <c r="B144" s="51"/>
      <c r="C144" s="61"/>
      <c r="D144" s="51"/>
      <c r="E144" s="51"/>
      <c r="F144" s="51"/>
      <c r="G144" s="51"/>
      <c r="H144" s="5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Z144" s="51"/>
      <c r="AA144" s="51"/>
      <c r="AB144" s="57"/>
      <c r="AC144" s="59"/>
      <c r="AD144" s="59"/>
      <c r="AE144" s="102"/>
      <c r="AF144" s="102"/>
      <c r="AG144" s="59"/>
      <c r="AH144" s="59"/>
      <c r="AI144" s="53"/>
    </row>
    <row r="145" spans="2:35" ht="14.25" customHeight="1" x14ac:dyDescent="0.2">
      <c r="B145" s="51"/>
      <c r="C145" s="61"/>
      <c r="D145" s="51"/>
      <c r="E145" s="51"/>
      <c r="F145" s="51"/>
      <c r="G145" s="51"/>
      <c r="H145" s="5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Z145" s="51"/>
      <c r="AA145" s="51"/>
      <c r="AB145" s="57"/>
      <c r="AC145" s="59"/>
      <c r="AD145" s="59"/>
      <c r="AE145" s="102"/>
      <c r="AF145" s="102"/>
      <c r="AG145" s="59"/>
      <c r="AH145" s="59"/>
      <c r="AI145" s="53"/>
    </row>
    <row r="146" spans="2:35" ht="14.25" customHeight="1" x14ac:dyDescent="0.2">
      <c r="B146" s="51"/>
      <c r="C146" s="61"/>
      <c r="D146" s="51"/>
      <c r="E146" s="51"/>
      <c r="F146" s="51"/>
      <c r="G146" s="51"/>
      <c r="H146" s="5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Z146" s="51"/>
      <c r="AA146" s="51"/>
      <c r="AB146" s="57"/>
      <c r="AC146" s="59"/>
      <c r="AD146" s="59"/>
      <c r="AE146" s="102"/>
      <c r="AF146" s="102"/>
      <c r="AG146" s="59"/>
      <c r="AH146" s="59"/>
      <c r="AI146" s="53"/>
    </row>
    <row r="147" spans="2:35" ht="14.25" customHeight="1" x14ac:dyDescent="0.2">
      <c r="B147" s="51"/>
      <c r="C147" s="61"/>
      <c r="D147" s="51"/>
      <c r="E147" s="51"/>
      <c r="F147" s="51"/>
      <c r="G147" s="51"/>
      <c r="H147" s="5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Z147" s="51"/>
      <c r="AA147" s="51"/>
      <c r="AB147" s="57"/>
      <c r="AC147" s="59"/>
      <c r="AD147" s="59"/>
      <c r="AE147" s="102"/>
      <c r="AF147" s="102"/>
      <c r="AG147" s="59"/>
      <c r="AH147" s="59"/>
      <c r="AI147" s="53"/>
    </row>
    <row r="148" spans="2:35" ht="14.25" customHeight="1" x14ac:dyDescent="0.2">
      <c r="B148" s="51"/>
      <c r="C148" s="61"/>
      <c r="D148" s="51"/>
      <c r="E148" s="51"/>
      <c r="F148" s="51"/>
      <c r="G148" s="51"/>
      <c r="H148" s="52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Z148" s="51"/>
      <c r="AA148" s="51"/>
      <c r="AB148" s="57"/>
      <c r="AC148" s="59"/>
      <c r="AD148" s="59"/>
      <c r="AE148" s="102"/>
      <c r="AF148" s="102"/>
      <c r="AG148" s="59"/>
      <c r="AH148" s="59"/>
      <c r="AI148" s="53"/>
    </row>
    <row r="149" spans="2:35" ht="14.25" customHeight="1" x14ac:dyDescent="0.2">
      <c r="B149" s="51"/>
      <c r="C149" s="61"/>
      <c r="D149" s="51"/>
      <c r="E149" s="51"/>
      <c r="F149" s="51"/>
      <c r="G149" s="51"/>
      <c r="H149" s="5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Z149" s="51"/>
      <c r="AA149" s="51"/>
      <c r="AB149" s="57"/>
      <c r="AC149" s="59"/>
      <c r="AD149" s="59"/>
      <c r="AE149" s="102"/>
      <c r="AF149" s="102"/>
      <c r="AG149" s="59"/>
      <c r="AH149" s="59"/>
      <c r="AI149" s="53"/>
    </row>
    <row r="150" spans="2:35" ht="14.25" customHeight="1" x14ac:dyDescent="0.2">
      <c r="B150" s="51"/>
      <c r="C150" s="61"/>
      <c r="D150" s="51"/>
      <c r="E150" s="51"/>
      <c r="F150" s="51"/>
      <c r="G150" s="51"/>
      <c r="H150" s="5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Z150" s="51"/>
      <c r="AA150" s="51"/>
      <c r="AB150" s="57"/>
      <c r="AC150" s="59"/>
      <c r="AD150" s="59"/>
      <c r="AE150" s="102"/>
      <c r="AF150" s="102"/>
      <c r="AG150" s="59"/>
      <c r="AH150" s="59"/>
      <c r="AI150" s="53"/>
    </row>
    <row r="151" spans="2:35" ht="14.25" customHeight="1" x14ac:dyDescent="0.2">
      <c r="B151" s="51"/>
      <c r="C151" s="61"/>
      <c r="D151" s="51"/>
      <c r="E151" s="51"/>
      <c r="F151" s="51"/>
      <c r="G151" s="51"/>
      <c r="H151" s="5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Z151" s="51"/>
      <c r="AA151" s="51"/>
      <c r="AB151" s="57"/>
      <c r="AC151" s="59"/>
      <c r="AD151" s="59"/>
      <c r="AE151" s="102"/>
      <c r="AF151" s="102"/>
      <c r="AG151" s="59"/>
      <c r="AH151" s="59"/>
      <c r="AI151" s="53"/>
    </row>
    <row r="152" spans="2:35" ht="14.25" customHeight="1" x14ac:dyDescent="0.2">
      <c r="B152" s="51"/>
      <c r="C152" s="61"/>
      <c r="D152" s="51"/>
      <c r="E152" s="51"/>
      <c r="F152" s="51"/>
      <c r="G152" s="51"/>
      <c r="H152" s="5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Z152" s="51"/>
      <c r="AA152" s="51"/>
      <c r="AB152" s="57"/>
      <c r="AC152" s="59"/>
      <c r="AD152" s="59"/>
      <c r="AE152" s="102"/>
      <c r="AF152" s="102"/>
      <c r="AG152" s="59"/>
      <c r="AH152" s="59"/>
      <c r="AI152" s="53"/>
    </row>
    <row r="153" spans="2:35" ht="14.25" customHeight="1" x14ac:dyDescent="0.2">
      <c r="B153" s="51"/>
      <c r="C153" s="61"/>
      <c r="D153" s="51"/>
      <c r="E153" s="51"/>
      <c r="F153" s="51"/>
      <c r="G153" s="51"/>
      <c r="H153" s="5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Z153" s="51"/>
      <c r="AA153" s="51"/>
      <c r="AB153" s="57"/>
      <c r="AC153" s="59"/>
      <c r="AD153" s="59"/>
      <c r="AE153" s="102"/>
      <c r="AF153" s="102"/>
      <c r="AG153" s="59"/>
      <c r="AH153" s="59"/>
      <c r="AI153" s="53"/>
    </row>
    <row r="154" spans="2:35" ht="14.25" customHeight="1" x14ac:dyDescent="0.2">
      <c r="B154" s="51"/>
      <c r="C154" s="61"/>
      <c r="D154" s="51"/>
      <c r="E154" s="51"/>
      <c r="F154" s="51"/>
      <c r="G154" s="51"/>
      <c r="H154" s="52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Z154" s="51"/>
      <c r="AA154" s="51"/>
      <c r="AB154" s="57"/>
      <c r="AC154" s="59"/>
      <c r="AD154" s="59"/>
      <c r="AE154" s="102"/>
      <c r="AF154" s="102"/>
      <c r="AG154" s="59"/>
      <c r="AH154" s="59"/>
      <c r="AI154" s="53"/>
    </row>
    <row r="155" spans="2:35" ht="14.25" customHeight="1" x14ac:dyDescent="0.2">
      <c r="B155" s="51"/>
      <c r="C155" s="61"/>
      <c r="D155" s="51"/>
      <c r="E155" s="51"/>
      <c r="F155" s="51"/>
      <c r="G155" s="51"/>
      <c r="H155" s="52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Z155" s="51"/>
      <c r="AA155" s="51"/>
      <c r="AB155" s="57"/>
      <c r="AC155" s="59"/>
      <c r="AD155" s="59"/>
      <c r="AE155" s="102"/>
      <c r="AF155" s="102"/>
      <c r="AG155" s="59"/>
      <c r="AH155" s="59"/>
      <c r="AI155" s="53"/>
    </row>
    <row r="156" spans="2:35" ht="14.25" customHeight="1" x14ac:dyDescent="0.2">
      <c r="B156" s="51"/>
      <c r="C156" s="61"/>
      <c r="D156" s="51"/>
      <c r="E156" s="51"/>
      <c r="F156" s="51"/>
      <c r="G156" s="51"/>
      <c r="H156" s="52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Z156" s="51"/>
      <c r="AA156" s="51"/>
      <c r="AB156" s="57"/>
      <c r="AC156" s="59"/>
      <c r="AD156" s="59"/>
      <c r="AE156" s="102"/>
      <c r="AF156" s="102"/>
      <c r="AG156" s="59"/>
      <c r="AH156" s="59"/>
      <c r="AI156" s="53"/>
    </row>
    <row r="157" spans="2:35" ht="14.25" customHeight="1" x14ac:dyDescent="0.2">
      <c r="B157" s="51"/>
      <c r="C157" s="61"/>
      <c r="D157" s="51"/>
      <c r="E157" s="51"/>
      <c r="F157" s="51"/>
      <c r="G157" s="51"/>
      <c r="H157" s="52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Z157" s="51"/>
      <c r="AA157" s="51"/>
      <c r="AB157" s="57"/>
      <c r="AC157" s="59"/>
      <c r="AD157" s="59"/>
      <c r="AE157" s="102"/>
      <c r="AF157" s="102"/>
      <c r="AG157" s="59"/>
      <c r="AH157" s="59"/>
      <c r="AI157" s="53"/>
    </row>
    <row r="158" spans="2:35" ht="14.25" customHeight="1" x14ac:dyDescent="0.2">
      <c r="B158" s="51"/>
      <c r="C158" s="61"/>
      <c r="D158" s="51"/>
      <c r="E158" s="51"/>
      <c r="F158" s="51"/>
      <c r="G158" s="51"/>
      <c r="H158" s="52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Z158" s="51"/>
      <c r="AA158" s="51"/>
      <c r="AB158" s="57"/>
      <c r="AC158" s="59"/>
      <c r="AD158" s="59"/>
      <c r="AE158" s="102"/>
      <c r="AF158" s="102"/>
      <c r="AG158" s="59"/>
      <c r="AH158" s="59"/>
      <c r="AI158" s="53"/>
    </row>
    <row r="159" spans="2:35" ht="14.25" customHeight="1" x14ac:dyDescent="0.2">
      <c r="B159" s="51"/>
      <c r="C159" s="61"/>
      <c r="D159" s="51"/>
      <c r="E159" s="51"/>
      <c r="F159" s="51"/>
      <c r="G159" s="51"/>
      <c r="H159" s="52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Z159" s="51"/>
      <c r="AA159" s="51"/>
      <c r="AB159" s="57"/>
      <c r="AC159" s="59"/>
      <c r="AD159" s="59"/>
      <c r="AE159" s="102"/>
      <c r="AF159" s="102"/>
      <c r="AG159" s="59"/>
      <c r="AH159" s="59"/>
      <c r="AI159" s="53"/>
    </row>
    <row r="160" spans="2:35" ht="14.25" customHeight="1" x14ac:dyDescent="0.2">
      <c r="B160" s="51"/>
      <c r="C160" s="61"/>
      <c r="D160" s="51"/>
      <c r="E160" s="51"/>
      <c r="F160" s="51"/>
      <c r="G160" s="51"/>
      <c r="H160" s="52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Z160" s="51"/>
      <c r="AA160" s="51"/>
      <c r="AB160" s="57"/>
      <c r="AC160" s="59"/>
      <c r="AD160" s="59"/>
      <c r="AE160" s="102"/>
      <c r="AF160" s="102"/>
      <c r="AG160" s="59"/>
      <c r="AH160" s="59"/>
      <c r="AI160" s="53"/>
    </row>
    <row r="161" spans="2:35" ht="14.25" customHeight="1" x14ac:dyDescent="0.2">
      <c r="B161" s="51"/>
      <c r="C161" s="61"/>
      <c r="D161" s="51"/>
      <c r="E161" s="51"/>
      <c r="F161" s="51"/>
      <c r="G161" s="51"/>
      <c r="H161" s="52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Z161" s="51"/>
      <c r="AA161" s="51"/>
      <c r="AB161" s="57"/>
      <c r="AC161" s="59"/>
      <c r="AD161" s="59"/>
      <c r="AE161" s="102"/>
      <c r="AF161" s="102"/>
      <c r="AG161" s="59"/>
      <c r="AH161" s="59"/>
      <c r="AI161" s="53"/>
    </row>
    <row r="162" spans="2:35" ht="14.25" customHeight="1" x14ac:dyDescent="0.2">
      <c r="B162" s="51"/>
      <c r="C162" s="61"/>
      <c r="D162" s="51"/>
      <c r="E162" s="51"/>
      <c r="F162" s="51"/>
      <c r="G162" s="51"/>
      <c r="H162" s="52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Z162" s="51"/>
      <c r="AA162" s="51"/>
      <c r="AB162" s="57"/>
      <c r="AC162" s="59"/>
      <c r="AD162" s="59"/>
      <c r="AE162" s="102"/>
      <c r="AF162" s="102"/>
      <c r="AG162" s="59"/>
      <c r="AH162" s="59"/>
      <c r="AI162" s="53"/>
    </row>
    <row r="163" spans="2:35" ht="14.25" customHeight="1" x14ac:dyDescent="0.2">
      <c r="B163" s="51"/>
      <c r="C163" s="61"/>
      <c r="D163" s="51"/>
      <c r="E163" s="51"/>
      <c r="F163" s="51"/>
      <c r="G163" s="51"/>
      <c r="H163" s="52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Z163" s="51"/>
      <c r="AA163" s="51"/>
      <c r="AB163" s="57"/>
      <c r="AC163" s="59"/>
      <c r="AD163" s="59"/>
      <c r="AE163" s="102"/>
      <c r="AF163" s="102"/>
      <c r="AG163" s="59"/>
      <c r="AH163" s="59"/>
      <c r="AI163" s="53"/>
    </row>
    <row r="164" spans="2:35" ht="14.25" customHeight="1" x14ac:dyDescent="0.2">
      <c r="B164" s="51"/>
      <c r="C164" s="61"/>
      <c r="D164" s="51"/>
      <c r="E164" s="51"/>
      <c r="F164" s="51"/>
      <c r="G164" s="51"/>
      <c r="H164" s="5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Z164" s="51"/>
      <c r="AA164" s="51"/>
      <c r="AB164" s="57"/>
      <c r="AC164" s="59"/>
      <c r="AD164" s="59"/>
      <c r="AE164" s="102"/>
      <c r="AF164" s="102"/>
      <c r="AG164" s="59"/>
      <c r="AH164" s="59"/>
      <c r="AI164" s="53"/>
    </row>
    <row r="165" spans="2:35" ht="14.25" customHeight="1" x14ac:dyDescent="0.2">
      <c r="B165" s="51"/>
      <c r="C165" s="61"/>
      <c r="D165" s="51"/>
      <c r="E165" s="51"/>
      <c r="F165" s="51"/>
      <c r="G165" s="51"/>
      <c r="H165" s="5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Z165" s="51"/>
      <c r="AA165" s="51"/>
      <c r="AB165" s="57"/>
      <c r="AC165" s="59"/>
      <c r="AD165" s="59"/>
      <c r="AE165" s="102"/>
      <c r="AF165" s="102"/>
      <c r="AG165" s="59"/>
      <c r="AH165" s="59"/>
      <c r="AI165" s="53"/>
    </row>
    <row r="166" spans="2:35" ht="14.25" customHeight="1" x14ac:dyDescent="0.2">
      <c r="B166" s="51"/>
      <c r="C166" s="61"/>
      <c r="D166" s="51"/>
      <c r="E166" s="51"/>
      <c r="F166" s="51"/>
      <c r="G166" s="51"/>
      <c r="H166" s="5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Z166" s="51"/>
      <c r="AA166" s="51"/>
      <c r="AB166" s="57"/>
      <c r="AC166" s="59"/>
      <c r="AD166" s="59"/>
      <c r="AE166" s="102"/>
      <c r="AF166" s="102"/>
      <c r="AG166" s="59"/>
      <c r="AH166" s="59"/>
      <c r="AI166" s="53"/>
    </row>
    <row r="167" spans="2:35" ht="14.25" customHeight="1" x14ac:dyDescent="0.2">
      <c r="B167" s="51"/>
      <c r="C167" s="61"/>
      <c r="D167" s="51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Z167" s="51"/>
      <c r="AA167" s="51"/>
      <c r="AB167" s="57"/>
      <c r="AC167" s="59"/>
      <c r="AD167" s="59"/>
      <c r="AE167" s="102"/>
      <c r="AF167" s="102"/>
      <c r="AG167" s="59"/>
      <c r="AH167" s="59"/>
      <c r="AI167" s="53"/>
    </row>
    <row r="168" spans="2:35" ht="14.25" customHeight="1" x14ac:dyDescent="0.2">
      <c r="B168" s="51"/>
      <c r="C168" s="61"/>
      <c r="D168" s="51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Z168" s="51"/>
      <c r="AA168" s="51"/>
      <c r="AB168" s="57"/>
      <c r="AC168" s="59"/>
      <c r="AD168" s="59"/>
      <c r="AE168" s="102"/>
      <c r="AF168" s="102"/>
      <c r="AG168" s="59"/>
      <c r="AH168" s="59"/>
      <c r="AI168" s="53"/>
    </row>
    <row r="169" spans="2:35" ht="14.25" customHeight="1" x14ac:dyDescent="0.2">
      <c r="B169" s="51"/>
      <c r="C169" s="61"/>
      <c r="D169" s="51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Z169" s="51"/>
      <c r="AA169" s="51"/>
      <c r="AB169" s="57"/>
      <c r="AC169" s="59"/>
      <c r="AD169" s="59"/>
      <c r="AE169" s="102"/>
      <c r="AF169" s="102"/>
      <c r="AG169" s="59"/>
      <c r="AH169" s="59"/>
      <c r="AI169" s="53"/>
    </row>
    <row r="170" spans="2:35" ht="14.25" customHeight="1" x14ac:dyDescent="0.2">
      <c r="B170" s="51"/>
      <c r="C170" s="61"/>
      <c r="D170" s="51"/>
      <c r="E170" s="51"/>
      <c r="F170" s="51"/>
      <c r="G170" s="51"/>
      <c r="H170" s="52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Z170" s="51"/>
      <c r="AA170" s="51"/>
      <c r="AB170" s="57"/>
      <c r="AC170" s="59"/>
      <c r="AD170" s="59"/>
      <c r="AE170" s="102"/>
      <c r="AF170" s="102"/>
      <c r="AG170" s="59"/>
      <c r="AH170" s="59"/>
      <c r="AI170" s="53"/>
    </row>
    <row r="171" spans="2:35" ht="14.25" customHeight="1" x14ac:dyDescent="0.2">
      <c r="B171" s="51"/>
      <c r="C171" s="61"/>
      <c r="D171" s="51"/>
      <c r="E171" s="51"/>
      <c r="F171" s="51"/>
      <c r="G171" s="51"/>
      <c r="H171" s="52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Z171" s="51"/>
      <c r="AA171" s="51"/>
      <c r="AB171" s="57"/>
      <c r="AC171" s="59"/>
      <c r="AD171" s="59"/>
      <c r="AE171" s="102"/>
      <c r="AF171" s="102"/>
      <c r="AG171" s="59"/>
      <c r="AH171" s="59"/>
      <c r="AI171" s="53"/>
    </row>
    <row r="172" spans="2:35" ht="14.25" customHeight="1" x14ac:dyDescent="0.2">
      <c r="B172" s="51"/>
      <c r="C172" s="61"/>
      <c r="D172" s="51"/>
      <c r="E172" s="51"/>
      <c r="F172" s="51"/>
      <c r="G172" s="51"/>
      <c r="H172" s="52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Z172" s="51"/>
      <c r="AA172" s="51"/>
      <c r="AB172" s="57"/>
      <c r="AC172" s="59"/>
      <c r="AD172" s="59"/>
      <c r="AE172" s="102"/>
      <c r="AF172" s="102"/>
      <c r="AG172" s="59"/>
      <c r="AH172" s="59"/>
      <c r="AI172" s="53"/>
    </row>
    <row r="173" spans="2:35" ht="14.25" customHeight="1" x14ac:dyDescent="0.2">
      <c r="B173" s="51"/>
      <c r="C173" s="61"/>
      <c r="D173" s="51"/>
      <c r="E173" s="51"/>
      <c r="F173" s="51"/>
      <c r="G173" s="51"/>
      <c r="H173" s="52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Z173" s="51"/>
      <c r="AA173" s="51"/>
      <c r="AB173" s="57"/>
      <c r="AC173" s="59"/>
      <c r="AD173" s="59"/>
      <c r="AE173" s="102"/>
      <c r="AF173" s="102"/>
      <c r="AG173" s="59"/>
      <c r="AH173" s="59"/>
      <c r="AI173" s="53"/>
    </row>
    <row r="174" spans="2:35" ht="14.25" customHeight="1" x14ac:dyDescent="0.2">
      <c r="B174" s="51"/>
      <c r="C174" s="61"/>
      <c r="D174" s="51"/>
      <c r="E174" s="51"/>
      <c r="F174" s="51"/>
      <c r="G174" s="51"/>
      <c r="H174" s="52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Z174" s="51"/>
      <c r="AA174" s="51"/>
      <c r="AB174" s="57"/>
      <c r="AC174" s="59"/>
      <c r="AD174" s="59"/>
      <c r="AE174" s="102"/>
      <c r="AF174" s="102"/>
      <c r="AG174" s="59"/>
      <c r="AH174" s="59"/>
      <c r="AI174" s="53"/>
    </row>
    <row r="175" spans="2:35" ht="14.25" customHeight="1" x14ac:dyDescent="0.2">
      <c r="B175" s="51"/>
      <c r="C175" s="61"/>
      <c r="D175" s="51"/>
      <c r="E175" s="51"/>
      <c r="F175" s="51"/>
      <c r="G175" s="51"/>
      <c r="H175" s="52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Z175" s="51"/>
      <c r="AA175" s="51"/>
      <c r="AB175" s="57"/>
      <c r="AC175" s="59"/>
      <c r="AD175" s="59"/>
      <c r="AE175" s="102"/>
      <c r="AF175" s="102"/>
      <c r="AG175" s="59"/>
      <c r="AH175" s="59"/>
      <c r="AI175" s="53"/>
    </row>
    <row r="176" spans="2:35" ht="14.25" customHeight="1" x14ac:dyDescent="0.2">
      <c r="B176" s="51"/>
      <c r="C176" s="61"/>
      <c r="D176" s="51"/>
      <c r="E176" s="51"/>
      <c r="F176" s="51"/>
      <c r="G176" s="51"/>
      <c r="H176" s="52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Z176" s="51"/>
      <c r="AA176" s="51"/>
      <c r="AB176" s="57"/>
      <c r="AC176" s="59"/>
      <c r="AD176" s="59"/>
      <c r="AE176" s="102"/>
      <c r="AF176" s="102"/>
      <c r="AG176" s="59"/>
      <c r="AH176" s="59"/>
      <c r="AI176" s="53"/>
    </row>
    <row r="177" spans="2:35" ht="14.25" customHeight="1" x14ac:dyDescent="0.2">
      <c r="B177" s="51"/>
      <c r="C177" s="61"/>
      <c r="D177" s="51"/>
      <c r="E177" s="51"/>
      <c r="F177" s="51"/>
      <c r="G177" s="51"/>
      <c r="H177" s="52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Z177" s="51"/>
      <c r="AA177" s="51"/>
      <c r="AB177" s="57"/>
      <c r="AC177" s="59"/>
      <c r="AD177" s="59"/>
      <c r="AE177" s="102"/>
      <c r="AF177" s="102"/>
      <c r="AG177" s="59"/>
      <c r="AH177" s="59"/>
      <c r="AI177" s="53"/>
    </row>
    <row r="178" spans="2:35" ht="14.25" customHeight="1" x14ac:dyDescent="0.2">
      <c r="B178" s="51"/>
      <c r="C178" s="61"/>
      <c r="D178" s="51"/>
      <c r="E178" s="51"/>
      <c r="F178" s="51"/>
      <c r="G178" s="51"/>
      <c r="H178" s="52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Z178" s="51"/>
      <c r="AA178" s="51"/>
      <c r="AB178" s="57"/>
      <c r="AC178" s="59"/>
      <c r="AD178" s="59"/>
      <c r="AE178" s="102"/>
      <c r="AF178" s="102"/>
      <c r="AG178" s="59"/>
      <c r="AH178" s="59"/>
      <c r="AI178" s="53"/>
    </row>
    <row r="179" spans="2:35" ht="14.25" customHeight="1" x14ac:dyDescent="0.2">
      <c r="B179" s="51"/>
      <c r="C179" s="61"/>
      <c r="D179" s="51"/>
      <c r="E179" s="51"/>
      <c r="F179" s="51"/>
      <c r="G179" s="51"/>
      <c r="H179" s="52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Z179" s="51"/>
      <c r="AA179" s="51"/>
      <c r="AB179" s="57"/>
      <c r="AC179" s="59"/>
      <c r="AD179" s="59"/>
      <c r="AE179" s="102"/>
      <c r="AF179" s="102"/>
      <c r="AG179" s="59"/>
      <c r="AH179" s="59"/>
      <c r="AI179" s="53"/>
    </row>
    <row r="180" spans="2:35" ht="14.25" customHeight="1" x14ac:dyDescent="0.2">
      <c r="B180" s="51"/>
      <c r="C180" s="61"/>
      <c r="D180" s="51"/>
      <c r="E180" s="51"/>
      <c r="F180" s="51"/>
      <c r="G180" s="51"/>
      <c r="H180" s="52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Z180" s="51"/>
      <c r="AA180" s="51"/>
      <c r="AB180" s="57"/>
      <c r="AC180" s="59"/>
      <c r="AD180" s="59"/>
      <c r="AE180" s="102"/>
      <c r="AF180" s="102"/>
      <c r="AG180" s="59"/>
      <c r="AH180" s="59"/>
      <c r="AI180" s="53"/>
    </row>
    <row r="181" spans="2:35" ht="14.25" customHeight="1" x14ac:dyDescent="0.2">
      <c r="B181" s="51"/>
      <c r="C181" s="61"/>
      <c r="D181" s="51"/>
      <c r="E181" s="51"/>
      <c r="F181" s="51"/>
      <c r="G181" s="51"/>
      <c r="H181" s="52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Z181" s="51"/>
      <c r="AA181" s="51"/>
      <c r="AB181" s="57"/>
      <c r="AC181" s="59"/>
      <c r="AD181" s="59"/>
      <c r="AE181" s="102"/>
      <c r="AF181" s="102"/>
      <c r="AG181" s="59"/>
      <c r="AH181" s="59"/>
      <c r="AI181" s="53"/>
    </row>
    <row r="182" spans="2:35" ht="14.25" customHeight="1" x14ac:dyDescent="0.2">
      <c r="B182" s="51"/>
      <c r="C182" s="61"/>
      <c r="D182" s="51"/>
      <c r="E182" s="51"/>
      <c r="F182" s="51"/>
      <c r="G182" s="51"/>
      <c r="H182" s="52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Z182" s="51"/>
      <c r="AA182" s="51"/>
      <c r="AB182" s="57"/>
      <c r="AC182" s="59"/>
      <c r="AD182" s="59"/>
      <c r="AE182" s="102"/>
      <c r="AF182" s="102"/>
      <c r="AG182" s="59"/>
      <c r="AH182" s="59"/>
      <c r="AI182" s="53"/>
    </row>
    <row r="183" spans="2:35" ht="14.25" customHeight="1" x14ac:dyDescent="0.2">
      <c r="B183" s="51"/>
      <c r="C183" s="61"/>
      <c r="D183" s="51"/>
      <c r="E183" s="51"/>
      <c r="F183" s="51"/>
      <c r="G183" s="51"/>
      <c r="H183" s="52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Z183" s="51"/>
      <c r="AA183" s="51"/>
      <c r="AB183" s="57"/>
      <c r="AC183" s="59"/>
      <c r="AD183" s="59"/>
      <c r="AE183" s="102"/>
      <c r="AF183" s="102"/>
      <c r="AG183" s="59"/>
      <c r="AH183" s="59"/>
      <c r="AI183" s="53"/>
    </row>
    <row r="184" spans="2:35" ht="14.25" customHeight="1" x14ac:dyDescent="0.2">
      <c r="B184" s="51"/>
      <c r="C184" s="61"/>
      <c r="D184" s="51"/>
      <c r="E184" s="51"/>
      <c r="F184" s="51"/>
      <c r="G184" s="51"/>
      <c r="H184" s="52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Z184" s="51"/>
      <c r="AA184" s="51"/>
      <c r="AB184" s="57"/>
      <c r="AC184" s="59"/>
      <c r="AD184" s="59"/>
      <c r="AE184" s="102"/>
      <c r="AF184" s="102"/>
      <c r="AG184" s="59"/>
      <c r="AH184" s="59"/>
      <c r="AI184" s="53"/>
    </row>
    <row r="185" spans="2:35" ht="14.25" customHeight="1" x14ac:dyDescent="0.2">
      <c r="B185" s="51"/>
      <c r="C185" s="61"/>
      <c r="D185" s="51"/>
      <c r="E185" s="51"/>
      <c r="F185" s="51"/>
      <c r="G185" s="51"/>
      <c r="H185" s="52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Z185" s="51"/>
      <c r="AA185" s="51"/>
      <c r="AB185" s="57"/>
      <c r="AC185" s="59"/>
      <c r="AD185" s="59"/>
      <c r="AE185" s="102"/>
      <c r="AF185" s="102"/>
      <c r="AG185" s="59"/>
      <c r="AH185" s="59"/>
      <c r="AI185" s="53"/>
    </row>
    <row r="186" spans="2:35" ht="14.25" customHeight="1" x14ac:dyDescent="0.2">
      <c r="B186" s="51"/>
      <c r="C186" s="61"/>
      <c r="D186" s="51"/>
      <c r="E186" s="51"/>
      <c r="F186" s="51"/>
      <c r="G186" s="51"/>
      <c r="H186" s="52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Z186" s="51"/>
      <c r="AA186" s="51"/>
      <c r="AB186" s="57"/>
      <c r="AC186" s="59"/>
      <c r="AD186" s="59"/>
      <c r="AE186" s="102"/>
      <c r="AF186" s="102"/>
      <c r="AG186" s="59"/>
      <c r="AH186" s="59"/>
      <c r="AI186" s="53"/>
    </row>
    <row r="187" spans="2:35" ht="14.25" customHeight="1" x14ac:dyDescent="0.2">
      <c r="B187" s="51"/>
      <c r="C187" s="61"/>
      <c r="D187" s="51"/>
      <c r="E187" s="51"/>
      <c r="F187" s="51"/>
      <c r="G187" s="51"/>
      <c r="H187" s="52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Z187" s="51"/>
      <c r="AA187" s="51"/>
      <c r="AB187" s="57"/>
      <c r="AC187" s="59"/>
      <c r="AD187" s="59"/>
      <c r="AE187" s="102"/>
      <c r="AF187" s="102"/>
      <c r="AG187" s="59"/>
      <c r="AH187" s="59"/>
      <c r="AI187" s="53"/>
    </row>
    <row r="188" spans="2:35" ht="14.25" customHeight="1" x14ac:dyDescent="0.2">
      <c r="B188" s="51"/>
      <c r="C188" s="61"/>
      <c r="D188" s="51"/>
      <c r="E188" s="51"/>
      <c r="F188" s="51"/>
      <c r="G188" s="51"/>
      <c r="H188" s="52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Z188" s="51"/>
      <c r="AA188" s="51"/>
      <c r="AB188" s="57"/>
      <c r="AC188" s="59"/>
      <c r="AD188" s="59"/>
      <c r="AE188" s="102"/>
      <c r="AF188" s="102"/>
      <c r="AG188" s="59"/>
      <c r="AH188" s="59"/>
      <c r="AI188" s="53"/>
    </row>
    <row r="189" spans="2:35" ht="14.25" customHeight="1" x14ac:dyDescent="0.2">
      <c r="B189" s="51"/>
      <c r="C189" s="61"/>
      <c r="D189" s="51"/>
      <c r="E189" s="51"/>
      <c r="F189" s="51"/>
      <c r="G189" s="51"/>
      <c r="H189" s="52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Z189" s="51"/>
      <c r="AA189" s="51"/>
      <c r="AB189" s="57"/>
      <c r="AC189" s="59"/>
      <c r="AD189" s="59"/>
      <c r="AE189" s="102"/>
      <c r="AF189" s="102"/>
      <c r="AG189" s="59"/>
      <c r="AH189" s="59"/>
      <c r="AI189" s="53"/>
    </row>
    <row r="190" spans="2:35" ht="14.25" customHeight="1" x14ac:dyDescent="0.2">
      <c r="B190" s="51"/>
      <c r="C190" s="61"/>
      <c r="D190" s="51"/>
      <c r="E190" s="51"/>
      <c r="F190" s="51"/>
      <c r="G190" s="51"/>
      <c r="H190" s="52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Z190" s="51"/>
      <c r="AA190" s="51"/>
      <c r="AB190" s="57"/>
      <c r="AC190" s="59"/>
      <c r="AD190" s="59"/>
      <c r="AE190" s="102"/>
      <c r="AF190" s="102"/>
      <c r="AG190" s="59"/>
      <c r="AH190" s="59"/>
      <c r="AI190" s="53"/>
    </row>
    <row r="191" spans="2:35" ht="14.25" customHeight="1" x14ac:dyDescent="0.2">
      <c r="B191" s="51"/>
      <c r="C191" s="61"/>
      <c r="D191" s="51"/>
      <c r="E191" s="51"/>
      <c r="F191" s="51"/>
      <c r="G191" s="51"/>
      <c r="H191" s="52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Z191" s="51"/>
      <c r="AA191" s="51"/>
      <c r="AB191" s="57"/>
      <c r="AC191" s="59"/>
      <c r="AD191" s="59"/>
      <c r="AE191" s="102"/>
      <c r="AF191" s="102"/>
      <c r="AG191" s="59"/>
      <c r="AH191" s="59"/>
      <c r="AI191" s="53"/>
    </row>
    <row r="192" spans="2:35" ht="14.25" customHeight="1" x14ac:dyDescent="0.2">
      <c r="B192" s="51"/>
      <c r="C192" s="61"/>
      <c r="D192" s="51"/>
      <c r="E192" s="51"/>
      <c r="F192" s="51"/>
      <c r="G192" s="51"/>
      <c r="H192" s="52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Z192" s="51"/>
      <c r="AA192" s="51"/>
      <c r="AB192" s="57"/>
      <c r="AC192" s="59"/>
      <c r="AD192" s="59"/>
      <c r="AE192" s="102"/>
      <c r="AF192" s="102"/>
      <c r="AG192" s="59"/>
      <c r="AH192" s="59"/>
      <c r="AI192" s="53"/>
    </row>
    <row r="193" spans="2:35" ht="14.25" customHeight="1" x14ac:dyDescent="0.2">
      <c r="B193" s="51"/>
      <c r="C193" s="61"/>
      <c r="D193" s="51"/>
      <c r="E193" s="51"/>
      <c r="F193" s="51"/>
      <c r="G193" s="51"/>
      <c r="H193" s="52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Z193" s="51"/>
      <c r="AA193" s="51"/>
      <c r="AB193" s="57"/>
      <c r="AC193" s="59"/>
      <c r="AD193" s="59"/>
      <c r="AE193" s="102"/>
      <c r="AF193" s="102"/>
      <c r="AG193" s="59"/>
      <c r="AH193" s="59"/>
      <c r="AI193" s="53"/>
    </row>
    <row r="194" spans="2:35" ht="14.25" customHeight="1" x14ac:dyDescent="0.2">
      <c r="B194" s="51"/>
      <c r="C194" s="61"/>
      <c r="D194" s="51"/>
      <c r="E194" s="51"/>
      <c r="F194" s="51"/>
      <c r="G194" s="51"/>
      <c r="H194" s="52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Z194" s="51"/>
      <c r="AA194" s="51"/>
      <c r="AB194" s="57"/>
      <c r="AC194" s="59"/>
      <c r="AD194" s="59"/>
      <c r="AE194" s="102"/>
      <c r="AF194" s="102"/>
      <c r="AG194" s="59"/>
      <c r="AH194" s="59"/>
      <c r="AI194" s="53"/>
    </row>
    <row r="195" spans="2:35" ht="14.25" customHeight="1" x14ac:dyDescent="0.2">
      <c r="B195" s="51"/>
      <c r="C195" s="61"/>
      <c r="D195" s="51"/>
      <c r="E195" s="51"/>
      <c r="F195" s="51"/>
      <c r="G195" s="51"/>
      <c r="H195" s="52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Z195" s="51"/>
      <c r="AA195" s="51"/>
      <c r="AB195" s="57"/>
      <c r="AC195" s="59"/>
      <c r="AD195" s="59"/>
      <c r="AE195" s="102"/>
      <c r="AF195" s="102"/>
      <c r="AG195" s="59"/>
      <c r="AH195" s="59"/>
      <c r="AI195" s="53"/>
    </row>
    <row r="196" spans="2:35" ht="14.25" customHeight="1" x14ac:dyDescent="0.2">
      <c r="B196" s="51"/>
      <c r="C196" s="61"/>
      <c r="D196" s="51"/>
      <c r="E196" s="51"/>
      <c r="F196" s="51"/>
      <c r="G196" s="51"/>
      <c r="H196" s="52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Z196" s="51"/>
      <c r="AA196" s="51"/>
      <c r="AB196" s="57"/>
      <c r="AC196" s="59"/>
      <c r="AD196" s="59"/>
      <c r="AE196" s="102"/>
      <c r="AF196" s="102"/>
      <c r="AG196" s="59"/>
      <c r="AH196" s="59"/>
      <c r="AI196" s="53"/>
    </row>
    <row r="197" spans="2:35" ht="14.25" customHeight="1" x14ac:dyDescent="0.2">
      <c r="B197" s="51"/>
      <c r="C197" s="61"/>
      <c r="D197" s="51"/>
      <c r="E197" s="51"/>
      <c r="F197" s="51"/>
      <c r="G197" s="51"/>
      <c r="H197" s="52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Z197" s="51"/>
      <c r="AA197" s="51"/>
      <c r="AB197" s="57"/>
      <c r="AC197" s="59"/>
      <c r="AD197" s="59"/>
      <c r="AE197" s="102"/>
      <c r="AF197" s="102"/>
      <c r="AG197" s="59"/>
      <c r="AH197" s="59"/>
      <c r="AI197" s="53"/>
    </row>
    <row r="198" spans="2:35" ht="14.25" customHeight="1" x14ac:dyDescent="0.2">
      <c r="B198" s="51"/>
      <c r="C198" s="61"/>
      <c r="D198" s="51"/>
      <c r="E198" s="51"/>
      <c r="F198" s="51"/>
      <c r="G198" s="51"/>
      <c r="H198" s="52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Z198" s="51"/>
      <c r="AA198" s="51"/>
      <c r="AB198" s="57"/>
      <c r="AC198" s="59"/>
      <c r="AD198" s="59"/>
      <c r="AE198" s="102"/>
      <c r="AF198" s="102"/>
      <c r="AG198" s="59"/>
      <c r="AH198" s="59"/>
      <c r="AI198" s="53"/>
    </row>
    <row r="199" spans="2:35" ht="14.25" customHeight="1" x14ac:dyDescent="0.2">
      <c r="B199" s="51"/>
      <c r="C199" s="61"/>
      <c r="D199" s="51"/>
      <c r="E199" s="51"/>
      <c r="F199" s="51"/>
      <c r="G199" s="51"/>
      <c r="H199" s="52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Z199" s="51"/>
      <c r="AA199" s="51"/>
      <c r="AB199" s="57"/>
      <c r="AC199" s="59"/>
      <c r="AD199" s="59"/>
      <c r="AE199" s="102"/>
      <c r="AF199" s="102"/>
      <c r="AG199" s="59"/>
      <c r="AH199" s="59"/>
      <c r="AI199" s="53"/>
    </row>
    <row r="200" spans="2:35" ht="14.25" customHeight="1" x14ac:dyDescent="0.2">
      <c r="B200" s="51"/>
      <c r="C200" s="61"/>
      <c r="D200" s="51"/>
      <c r="E200" s="51"/>
      <c r="F200" s="51"/>
      <c r="G200" s="51"/>
      <c r="H200" s="52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Z200" s="51"/>
      <c r="AA200" s="51"/>
      <c r="AB200" s="57"/>
      <c r="AC200" s="59"/>
      <c r="AD200" s="59"/>
      <c r="AE200" s="102"/>
      <c r="AF200" s="102"/>
      <c r="AG200" s="59"/>
      <c r="AH200" s="59"/>
      <c r="AI200" s="53"/>
    </row>
    <row r="201" spans="2:35" ht="14.25" customHeight="1" x14ac:dyDescent="0.2">
      <c r="B201" s="51"/>
      <c r="C201" s="61"/>
      <c r="D201" s="51"/>
      <c r="E201" s="51"/>
      <c r="F201" s="51"/>
      <c r="G201" s="51"/>
      <c r="H201" s="52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Z201" s="51"/>
      <c r="AA201" s="51"/>
      <c r="AB201" s="57"/>
      <c r="AC201" s="59"/>
      <c r="AD201" s="59"/>
      <c r="AE201" s="102"/>
      <c r="AF201" s="102"/>
      <c r="AG201" s="59"/>
      <c r="AH201" s="59"/>
      <c r="AI201" s="53"/>
    </row>
    <row r="202" spans="2:35" ht="14.25" customHeight="1" x14ac:dyDescent="0.2">
      <c r="B202" s="51"/>
      <c r="C202" s="61"/>
      <c r="D202" s="51"/>
      <c r="E202" s="51"/>
      <c r="F202" s="51"/>
      <c r="G202" s="51"/>
      <c r="H202" s="52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Z202" s="51"/>
      <c r="AA202" s="51"/>
      <c r="AB202" s="57"/>
      <c r="AC202" s="59"/>
      <c r="AD202" s="59"/>
      <c r="AE202" s="102"/>
      <c r="AF202" s="102"/>
      <c r="AG202" s="59"/>
      <c r="AH202" s="59"/>
      <c r="AI202" s="53"/>
    </row>
    <row r="203" spans="2:35" ht="14.25" customHeight="1" x14ac:dyDescent="0.2">
      <c r="B203" s="51"/>
      <c r="C203" s="61"/>
      <c r="D203" s="51"/>
      <c r="E203" s="51"/>
      <c r="F203" s="51"/>
      <c r="G203" s="51"/>
      <c r="H203" s="52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Z203" s="51"/>
      <c r="AA203" s="51"/>
      <c r="AB203" s="57"/>
      <c r="AC203" s="59"/>
      <c r="AD203" s="59"/>
      <c r="AE203" s="102"/>
      <c r="AF203" s="102"/>
      <c r="AG203" s="59"/>
      <c r="AH203" s="59"/>
      <c r="AI203" s="53"/>
    </row>
    <row r="204" spans="2:35" x14ac:dyDescent="0.2">
      <c r="Q204" s="51"/>
      <c r="R204" s="51"/>
      <c r="S204" s="51"/>
    </row>
    <row r="205" spans="2:35" x14ac:dyDescent="0.2">
      <c r="Q205" s="51"/>
      <c r="R205" s="51"/>
      <c r="S205" s="51"/>
    </row>
    <row r="206" spans="2:35" x14ac:dyDescent="0.2">
      <c r="Q206" s="51"/>
      <c r="R206" s="51"/>
      <c r="S206" s="51"/>
    </row>
    <row r="207" spans="2:35" x14ac:dyDescent="0.2">
      <c r="Q207" s="51"/>
      <c r="R207" s="51"/>
      <c r="S207" s="51"/>
    </row>
    <row r="208" spans="2:35" x14ac:dyDescent="0.2">
      <c r="Q208" s="51"/>
      <c r="R208" s="51"/>
      <c r="S208" s="51"/>
    </row>
    <row r="209" spans="17:19" x14ac:dyDescent="0.2">
      <c r="Q209" s="51"/>
      <c r="R209" s="51"/>
      <c r="S209" s="51"/>
    </row>
    <row r="210" spans="17:19" x14ac:dyDescent="0.2">
      <c r="Q210" s="51"/>
      <c r="R210" s="51"/>
      <c r="S210" s="51"/>
    </row>
    <row r="211" spans="17:19" x14ac:dyDescent="0.2">
      <c r="Q211" s="51"/>
      <c r="R211" s="51"/>
      <c r="S211" s="51"/>
    </row>
    <row r="212" spans="17:19" x14ac:dyDescent="0.2">
      <c r="Q212" s="51"/>
      <c r="R212" s="51"/>
      <c r="S212" s="51"/>
    </row>
    <row r="213" spans="17:19" x14ac:dyDescent="0.2">
      <c r="Q213" s="51"/>
      <c r="R213" s="51"/>
      <c r="S213" s="51"/>
    </row>
    <row r="214" spans="17:19" x14ac:dyDescent="0.2">
      <c r="Q214" s="51"/>
      <c r="R214" s="51"/>
      <c r="S214" s="51"/>
    </row>
    <row r="215" spans="17:19" x14ac:dyDescent="0.2">
      <c r="Q215" s="51"/>
      <c r="R215" s="51"/>
      <c r="S215" s="51"/>
    </row>
    <row r="216" spans="17:19" x14ac:dyDescent="0.2">
      <c r="Q216" s="51"/>
      <c r="R216" s="51"/>
      <c r="S216" s="51"/>
    </row>
    <row r="217" spans="17:19" x14ac:dyDescent="0.2">
      <c r="Q217" s="51"/>
      <c r="R217" s="51"/>
      <c r="S217" s="51"/>
    </row>
    <row r="218" spans="17:19" x14ac:dyDescent="0.2">
      <c r="Q218" s="51"/>
      <c r="R218" s="51"/>
      <c r="S218" s="51"/>
    </row>
    <row r="219" spans="17:19" x14ac:dyDescent="0.2">
      <c r="Q219" s="51"/>
      <c r="R219" s="51"/>
      <c r="S219" s="51"/>
    </row>
    <row r="220" spans="17:19" x14ac:dyDescent="0.2">
      <c r="Q220" s="51"/>
      <c r="R220" s="51"/>
      <c r="S220" s="51"/>
    </row>
    <row r="221" spans="17:19" x14ac:dyDescent="0.2">
      <c r="Q221" s="51"/>
      <c r="R221" s="51"/>
      <c r="S221" s="51"/>
    </row>
    <row r="222" spans="17:19" x14ac:dyDescent="0.2">
      <c r="Q222" s="51"/>
      <c r="R222" s="51"/>
      <c r="S222" s="51"/>
    </row>
    <row r="223" spans="17:19" x14ac:dyDescent="0.2">
      <c r="Q223" s="51"/>
      <c r="R223" s="51"/>
      <c r="S223" s="51"/>
    </row>
    <row r="224" spans="17:19" x14ac:dyDescent="0.2">
      <c r="Q224" s="51"/>
      <c r="R224" s="51"/>
      <c r="S224" s="51"/>
    </row>
    <row r="225" spans="17:19" x14ac:dyDescent="0.2">
      <c r="Q225" s="51"/>
      <c r="R225" s="51"/>
      <c r="S225" s="51"/>
    </row>
    <row r="226" spans="17:19" x14ac:dyDescent="0.2">
      <c r="Q226" s="51"/>
      <c r="R226" s="51"/>
      <c r="S226" s="51"/>
    </row>
    <row r="227" spans="17:19" x14ac:dyDescent="0.2">
      <c r="Q227" s="51"/>
      <c r="R227" s="51"/>
      <c r="S227" s="51"/>
    </row>
    <row r="228" spans="17:19" x14ac:dyDescent="0.2">
      <c r="Q228" s="51"/>
      <c r="R228" s="51"/>
      <c r="S228" s="51"/>
    </row>
    <row r="229" spans="17:19" x14ac:dyDescent="0.2">
      <c r="Q229" s="51"/>
      <c r="R229" s="51"/>
      <c r="S229" s="51"/>
    </row>
    <row r="230" spans="17:19" x14ac:dyDescent="0.2">
      <c r="Q230" s="51"/>
      <c r="R230" s="51"/>
      <c r="S230" s="51"/>
    </row>
    <row r="231" spans="17:19" x14ac:dyDescent="0.2">
      <c r="Q231" s="51"/>
      <c r="R231" s="51"/>
      <c r="S231" s="51"/>
    </row>
    <row r="232" spans="17:19" x14ac:dyDescent="0.2">
      <c r="Q232" s="51"/>
      <c r="R232" s="51"/>
      <c r="S232" s="51"/>
    </row>
    <row r="233" spans="17:19" x14ac:dyDescent="0.2">
      <c r="Q233" s="51"/>
      <c r="R233" s="51"/>
      <c r="S233" s="51"/>
    </row>
    <row r="234" spans="17:19" x14ac:dyDescent="0.2">
      <c r="Q234" s="51"/>
      <c r="R234" s="51"/>
      <c r="S234" s="51"/>
    </row>
    <row r="235" spans="17:19" x14ac:dyDescent="0.2">
      <c r="Q235" s="51"/>
      <c r="R235" s="51"/>
      <c r="S235" s="51"/>
    </row>
    <row r="236" spans="17:19" x14ac:dyDescent="0.2">
      <c r="Q236" s="51"/>
      <c r="R236" s="51"/>
      <c r="S236" s="51"/>
    </row>
    <row r="237" spans="17:19" x14ac:dyDescent="0.2">
      <c r="Q237" s="51"/>
      <c r="R237" s="51"/>
      <c r="S237" s="51"/>
    </row>
    <row r="238" spans="17:19" x14ac:dyDescent="0.2">
      <c r="Q238" s="51"/>
      <c r="R238" s="51"/>
      <c r="S238" s="51"/>
    </row>
    <row r="239" spans="17:19" x14ac:dyDescent="0.2">
      <c r="Q239" s="51"/>
      <c r="R239" s="51"/>
      <c r="S239" s="51"/>
    </row>
    <row r="240" spans="17:19" x14ac:dyDescent="0.2">
      <c r="Q240" s="51"/>
      <c r="R240" s="51"/>
      <c r="S240" s="51"/>
    </row>
    <row r="241" spans="17:19" x14ac:dyDescent="0.2">
      <c r="Q241" s="51"/>
      <c r="R241" s="51"/>
      <c r="S241" s="51"/>
    </row>
    <row r="242" spans="17:19" x14ac:dyDescent="0.2">
      <c r="Q242" s="51"/>
      <c r="R242" s="51"/>
      <c r="S242" s="51"/>
    </row>
    <row r="243" spans="17:19" x14ac:dyDescent="0.2">
      <c r="Q243" s="51"/>
      <c r="R243" s="51"/>
      <c r="S243" s="51"/>
    </row>
    <row r="244" spans="17:19" x14ac:dyDescent="0.2">
      <c r="Q244" s="51"/>
      <c r="R244" s="51"/>
      <c r="S244" s="51"/>
    </row>
    <row r="245" spans="17:19" x14ac:dyDescent="0.2">
      <c r="Q245" s="51"/>
      <c r="R245" s="51"/>
      <c r="S245" s="51"/>
    </row>
    <row r="246" spans="17:19" x14ac:dyDescent="0.2">
      <c r="Q246" s="51"/>
      <c r="R246" s="51"/>
      <c r="S246" s="51"/>
    </row>
    <row r="247" spans="17:19" x14ac:dyDescent="0.2">
      <c r="Q247" s="51"/>
      <c r="R247" s="51"/>
      <c r="S247" s="51"/>
    </row>
    <row r="248" spans="17:19" x14ac:dyDescent="0.2">
      <c r="Q248" s="51"/>
      <c r="R248" s="51"/>
      <c r="S248" s="51"/>
    </row>
    <row r="249" spans="17:19" x14ac:dyDescent="0.2">
      <c r="Q249" s="51"/>
      <c r="R249" s="51"/>
      <c r="S249" s="51"/>
    </row>
    <row r="250" spans="17:19" x14ac:dyDescent="0.2">
      <c r="Q250" s="51"/>
      <c r="R250" s="51"/>
      <c r="S250" s="51"/>
    </row>
    <row r="251" spans="17:19" x14ac:dyDescent="0.2">
      <c r="Q251" s="51"/>
      <c r="R251" s="51"/>
      <c r="S251" s="51"/>
    </row>
    <row r="252" spans="17:19" x14ac:dyDescent="0.2">
      <c r="Q252" s="51"/>
      <c r="R252" s="51"/>
      <c r="S252" s="51"/>
    </row>
    <row r="253" spans="17:19" x14ac:dyDescent="0.2">
      <c r="Q253" s="51"/>
      <c r="R253" s="51"/>
      <c r="S253" s="51"/>
    </row>
    <row r="254" spans="17:19" x14ac:dyDescent="0.2">
      <c r="Q254" s="51"/>
      <c r="R254" s="51"/>
      <c r="S254" s="51"/>
    </row>
    <row r="255" spans="17:19" x14ac:dyDescent="0.2">
      <c r="Q255" s="51"/>
      <c r="R255" s="51"/>
      <c r="S255" s="51"/>
    </row>
    <row r="256" spans="17:19" x14ac:dyDescent="0.2">
      <c r="Q256" s="51"/>
      <c r="R256" s="51"/>
      <c r="S256" s="51"/>
    </row>
    <row r="257" spans="17:19" x14ac:dyDescent="0.2">
      <c r="Q257" s="51"/>
      <c r="R257" s="51"/>
      <c r="S257" s="51"/>
    </row>
    <row r="258" spans="17:19" x14ac:dyDescent="0.2">
      <c r="Q258" s="51"/>
      <c r="R258" s="51"/>
      <c r="S258" s="51"/>
    </row>
    <row r="259" spans="17:19" x14ac:dyDescent="0.2">
      <c r="Q259" s="51"/>
      <c r="R259" s="51"/>
      <c r="S259" s="51"/>
    </row>
    <row r="260" spans="17:19" x14ac:dyDescent="0.2">
      <c r="Q260" s="51"/>
      <c r="R260" s="51"/>
      <c r="S260" s="51"/>
    </row>
    <row r="261" spans="17:19" x14ac:dyDescent="0.2">
      <c r="Q261" s="51"/>
      <c r="R261" s="51"/>
      <c r="S261" s="51"/>
    </row>
    <row r="262" spans="17:19" x14ac:dyDescent="0.2">
      <c r="Q262" s="51"/>
      <c r="R262" s="51"/>
      <c r="S262" s="51"/>
    </row>
    <row r="263" spans="17:19" x14ac:dyDescent="0.2">
      <c r="Q263" s="51"/>
      <c r="R263" s="51"/>
      <c r="S263" s="51"/>
    </row>
    <row r="264" spans="17:19" x14ac:dyDescent="0.2">
      <c r="Q264" s="51"/>
      <c r="R264" s="51"/>
      <c r="S264" s="51"/>
    </row>
    <row r="265" spans="17:19" x14ac:dyDescent="0.2">
      <c r="Q265" s="51"/>
      <c r="R265" s="51"/>
      <c r="S265" s="51"/>
    </row>
    <row r="266" spans="17:19" x14ac:dyDescent="0.2">
      <c r="Q266" s="51"/>
      <c r="R266" s="51"/>
      <c r="S266" s="51"/>
    </row>
    <row r="267" spans="17:19" x14ac:dyDescent="0.2">
      <c r="Q267" s="51"/>
      <c r="R267" s="51"/>
      <c r="S267" s="51"/>
    </row>
    <row r="268" spans="17:19" x14ac:dyDescent="0.2">
      <c r="Q268" s="51"/>
      <c r="R268" s="51"/>
      <c r="S268" s="51"/>
    </row>
    <row r="269" spans="17:19" x14ac:dyDescent="0.2">
      <c r="Q269" s="51"/>
      <c r="R269" s="51"/>
      <c r="S269" s="51"/>
    </row>
    <row r="270" spans="17:19" x14ac:dyDescent="0.2">
      <c r="Q270" s="51"/>
      <c r="R270" s="51"/>
      <c r="S270" s="51"/>
    </row>
    <row r="271" spans="17:19" x14ac:dyDescent="0.2">
      <c r="Q271" s="51"/>
      <c r="R271" s="51"/>
      <c r="S271" s="51"/>
    </row>
    <row r="272" spans="17:19" x14ac:dyDescent="0.2">
      <c r="Q272" s="51"/>
      <c r="R272" s="51"/>
      <c r="S272" s="51"/>
    </row>
    <row r="273" spans="17:19" x14ac:dyDescent="0.2">
      <c r="Q273" s="51"/>
      <c r="R273" s="51"/>
      <c r="S273" s="51"/>
    </row>
    <row r="274" spans="17:19" x14ac:dyDescent="0.2">
      <c r="Q274" s="51"/>
      <c r="R274" s="51"/>
      <c r="S274" s="51"/>
    </row>
    <row r="275" spans="17:19" x14ac:dyDescent="0.2">
      <c r="Q275" s="51"/>
      <c r="R275" s="51"/>
      <c r="S275" s="51"/>
    </row>
    <row r="276" spans="17:19" x14ac:dyDescent="0.2">
      <c r="Q276" s="51"/>
      <c r="R276" s="51"/>
      <c r="S276" s="51"/>
    </row>
    <row r="277" spans="17:19" x14ac:dyDescent="0.2">
      <c r="Q277" s="51"/>
      <c r="R277" s="51"/>
      <c r="S277" s="51"/>
    </row>
    <row r="278" spans="17:19" x14ac:dyDescent="0.2">
      <c r="Q278" s="51"/>
      <c r="R278" s="51"/>
      <c r="S278" s="51"/>
    </row>
    <row r="279" spans="17:19" x14ac:dyDescent="0.2">
      <c r="Q279" s="51"/>
      <c r="R279" s="51"/>
      <c r="S279" s="51"/>
    </row>
    <row r="280" spans="17:19" x14ac:dyDescent="0.2">
      <c r="Q280" s="51"/>
      <c r="R280" s="51"/>
      <c r="S280" s="51"/>
    </row>
    <row r="281" spans="17:19" x14ac:dyDescent="0.2">
      <c r="Q281" s="51"/>
      <c r="R281" s="51"/>
      <c r="S281" s="51"/>
    </row>
    <row r="282" spans="17:19" x14ac:dyDescent="0.2">
      <c r="Q282" s="51"/>
      <c r="R282" s="51"/>
      <c r="S282" s="51"/>
    </row>
    <row r="283" spans="17:19" x14ac:dyDescent="0.2">
      <c r="Q283" s="51"/>
      <c r="R283" s="51"/>
      <c r="S283" s="51"/>
    </row>
    <row r="284" spans="17:19" x14ac:dyDescent="0.2">
      <c r="Q284" s="51"/>
      <c r="R284" s="51"/>
      <c r="S284" s="51"/>
    </row>
    <row r="285" spans="17:19" x14ac:dyDescent="0.2">
      <c r="Q285" s="51"/>
      <c r="R285" s="51"/>
      <c r="S285" s="51"/>
    </row>
    <row r="286" spans="17:19" x14ac:dyDescent="0.2">
      <c r="Q286" s="51"/>
      <c r="R286" s="51"/>
      <c r="S286" s="51"/>
    </row>
    <row r="287" spans="17:19" x14ac:dyDescent="0.2">
      <c r="Q287" s="51"/>
      <c r="R287" s="51"/>
      <c r="S287" s="51"/>
    </row>
    <row r="288" spans="17:19" x14ac:dyDescent="0.2">
      <c r="Q288" s="51"/>
      <c r="R288" s="51"/>
      <c r="S288" s="51"/>
    </row>
    <row r="289" spans="17:19" x14ac:dyDescent="0.2">
      <c r="Q289" s="51"/>
      <c r="R289" s="51"/>
      <c r="S289" s="51"/>
    </row>
    <row r="290" spans="17:19" x14ac:dyDescent="0.2">
      <c r="Q290" s="51"/>
      <c r="R290" s="51"/>
      <c r="S290" s="51"/>
    </row>
    <row r="291" spans="17:19" x14ac:dyDescent="0.2">
      <c r="Q291" s="51"/>
      <c r="R291" s="51"/>
      <c r="S291" s="51"/>
    </row>
    <row r="292" spans="17:19" x14ac:dyDescent="0.2">
      <c r="Q292" s="51"/>
      <c r="R292" s="51"/>
      <c r="S292" s="51"/>
    </row>
    <row r="293" spans="17:19" x14ac:dyDescent="0.2">
      <c r="Q293" s="51"/>
      <c r="R293" s="51"/>
      <c r="S293" s="51"/>
    </row>
    <row r="294" spans="17:19" x14ac:dyDescent="0.2">
      <c r="Q294" s="51"/>
      <c r="R294" s="51"/>
      <c r="S294" s="51"/>
    </row>
    <row r="295" spans="17:19" x14ac:dyDescent="0.2">
      <c r="Q295" s="51"/>
      <c r="R295" s="51"/>
      <c r="S295" s="51"/>
    </row>
    <row r="296" spans="17:19" x14ac:dyDescent="0.2">
      <c r="Q296" s="51"/>
      <c r="R296" s="51"/>
      <c r="S296" s="51"/>
    </row>
    <row r="297" spans="17:19" x14ac:dyDescent="0.2">
      <c r="Q297" s="51"/>
      <c r="R297" s="51"/>
      <c r="S297" s="51"/>
    </row>
    <row r="298" spans="17:19" x14ac:dyDescent="0.2">
      <c r="Q298" s="51"/>
      <c r="R298" s="51"/>
      <c r="S298" s="51"/>
    </row>
    <row r="299" spans="17:19" x14ac:dyDescent="0.2">
      <c r="Q299" s="51"/>
      <c r="R299" s="51"/>
      <c r="S299" s="51"/>
    </row>
    <row r="300" spans="17:19" x14ac:dyDescent="0.2">
      <c r="Q300" s="51"/>
      <c r="R300" s="51"/>
      <c r="S300" s="51"/>
    </row>
    <row r="301" spans="17:19" x14ac:dyDescent="0.2">
      <c r="Q301" s="51"/>
      <c r="R301" s="51"/>
      <c r="S301" s="51"/>
    </row>
    <row r="302" spans="17:19" x14ac:dyDescent="0.2">
      <c r="Q302" s="51"/>
      <c r="R302" s="51"/>
      <c r="S302" s="51"/>
    </row>
    <row r="303" spans="17:19" x14ac:dyDescent="0.2">
      <c r="Q303" s="51"/>
      <c r="R303" s="51"/>
      <c r="S303" s="51"/>
    </row>
    <row r="304" spans="17:19" x14ac:dyDescent="0.2">
      <c r="Q304" s="51"/>
      <c r="R304" s="51"/>
      <c r="S304" s="51"/>
    </row>
    <row r="305" spans="17:19" x14ac:dyDescent="0.2">
      <c r="Q305" s="51"/>
      <c r="R305" s="51"/>
      <c r="S305" s="51"/>
    </row>
    <row r="306" spans="17:19" x14ac:dyDescent="0.2">
      <c r="Q306" s="51"/>
      <c r="R306" s="51"/>
      <c r="S306" s="51"/>
    </row>
    <row r="307" spans="17:19" x14ac:dyDescent="0.2">
      <c r="Q307" s="51"/>
      <c r="R307" s="51"/>
      <c r="S307" s="51"/>
    </row>
    <row r="308" spans="17:19" x14ac:dyDescent="0.2">
      <c r="Q308" s="51"/>
      <c r="R308" s="51"/>
      <c r="S308" s="51"/>
    </row>
    <row r="309" spans="17:19" x14ac:dyDescent="0.2">
      <c r="Q309" s="51"/>
      <c r="R309" s="51"/>
      <c r="S309" s="51"/>
    </row>
    <row r="310" spans="17:19" x14ac:dyDescent="0.2">
      <c r="Q310" s="51"/>
      <c r="R310" s="51"/>
      <c r="S310" s="51"/>
    </row>
    <row r="311" spans="17:19" x14ac:dyDescent="0.2">
      <c r="Q311" s="51"/>
      <c r="R311" s="51"/>
      <c r="S311" s="51"/>
    </row>
    <row r="312" spans="17:19" x14ac:dyDescent="0.2">
      <c r="Q312" s="51"/>
      <c r="R312" s="51"/>
      <c r="S312" s="51"/>
    </row>
    <row r="313" spans="17:19" x14ac:dyDescent="0.2">
      <c r="Q313" s="51"/>
      <c r="R313" s="51"/>
      <c r="S313" s="51"/>
    </row>
    <row r="314" spans="17:19" x14ac:dyDescent="0.2">
      <c r="Q314" s="51"/>
      <c r="R314" s="51"/>
      <c r="S314" s="51"/>
    </row>
    <row r="315" spans="17:19" x14ac:dyDescent="0.2">
      <c r="Q315" s="51"/>
      <c r="R315" s="51"/>
      <c r="S315" s="51"/>
    </row>
    <row r="316" spans="17:19" x14ac:dyDescent="0.2">
      <c r="Q316" s="51"/>
      <c r="R316" s="51"/>
      <c r="S316" s="51"/>
    </row>
    <row r="317" spans="17:19" x14ac:dyDescent="0.2">
      <c r="Q317" s="51"/>
      <c r="R317" s="51"/>
      <c r="S317" s="51"/>
    </row>
    <row r="318" spans="17:19" x14ac:dyDescent="0.2">
      <c r="Q318" s="51"/>
      <c r="R318" s="51"/>
      <c r="S318" s="51"/>
    </row>
    <row r="319" spans="17:19" x14ac:dyDescent="0.2">
      <c r="Q319" s="51"/>
      <c r="R319" s="51"/>
      <c r="S319" s="51"/>
    </row>
    <row r="320" spans="17:19" x14ac:dyDescent="0.2">
      <c r="Q320" s="51"/>
      <c r="R320" s="51"/>
      <c r="S320" s="51"/>
    </row>
    <row r="321" spans="17:19" x14ac:dyDescent="0.2">
      <c r="Q321" s="51"/>
      <c r="R321" s="51"/>
      <c r="S321" s="51"/>
    </row>
    <row r="322" spans="17:19" x14ac:dyDescent="0.2">
      <c r="Q322" s="51"/>
      <c r="R322" s="51"/>
      <c r="S322" s="51"/>
    </row>
    <row r="323" spans="17:19" x14ac:dyDescent="0.2">
      <c r="Q323" s="51"/>
      <c r="R323" s="51"/>
      <c r="S323" s="51"/>
    </row>
    <row r="324" spans="17:19" x14ac:dyDescent="0.2">
      <c r="Q324" s="51"/>
      <c r="R324" s="51"/>
      <c r="S324" s="51"/>
    </row>
    <row r="325" spans="17:19" x14ac:dyDescent="0.2">
      <c r="Q325" s="51"/>
      <c r="R325" s="51"/>
      <c r="S325" s="51"/>
    </row>
    <row r="326" spans="17:19" x14ac:dyDescent="0.2">
      <c r="Q326" s="51"/>
      <c r="R326" s="51"/>
      <c r="S326" s="51"/>
    </row>
    <row r="327" spans="17:19" x14ac:dyDescent="0.2">
      <c r="Q327" s="51"/>
      <c r="R327" s="51"/>
      <c r="S327" s="51"/>
    </row>
    <row r="328" spans="17:19" x14ac:dyDescent="0.2">
      <c r="Q328" s="51"/>
      <c r="R328" s="51"/>
      <c r="S328" s="51"/>
    </row>
    <row r="329" spans="17:19" x14ac:dyDescent="0.2">
      <c r="Q329" s="51"/>
      <c r="R329" s="51"/>
      <c r="S329" s="51"/>
    </row>
    <row r="330" spans="17:19" x14ac:dyDescent="0.2">
      <c r="Q330" s="51"/>
      <c r="R330" s="51"/>
      <c r="S330" s="51"/>
    </row>
    <row r="331" spans="17:19" x14ac:dyDescent="0.2">
      <c r="Q331" s="51"/>
      <c r="R331" s="51"/>
      <c r="S331" s="51"/>
    </row>
    <row r="332" spans="17:19" x14ac:dyDescent="0.2">
      <c r="Q332" s="51"/>
      <c r="R332" s="51"/>
      <c r="S332" s="51"/>
    </row>
    <row r="333" spans="17:19" x14ac:dyDescent="0.2">
      <c r="Q333" s="51"/>
      <c r="R333" s="51"/>
      <c r="S333" s="51"/>
    </row>
    <row r="334" spans="17:19" x14ac:dyDescent="0.2">
      <c r="Q334" s="51"/>
      <c r="R334" s="51"/>
      <c r="S334" s="51"/>
    </row>
    <row r="335" spans="17:19" x14ac:dyDescent="0.2">
      <c r="Q335" s="51"/>
      <c r="R335" s="51"/>
      <c r="S335" s="51"/>
    </row>
    <row r="336" spans="17:19" x14ac:dyDescent="0.2">
      <c r="Q336" s="51"/>
      <c r="R336" s="51"/>
      <c r="S336" s="51"/>
    </row>
    <row r="337" spans="17:19" x14ac:dyDescent="0.2">
      <c r="Q337" s="51"/>
      <c r="R337" s="51"/>
      <c r="S337" s="51"/>
    </row>
    <row r="338" spans="17:19" x14ac:dyDescent="0.2">
      <c r="Q338" s="51"/>
      <c r="R338" s="51"/>
      <c r="S338" s="51"/>
    </row>
    <row r="339" spans="17:19" x14ac:dyDescent="0.2">
      <c r="Q339" s="51"/>
      <c r="R339" s="51"/>
      <c r="S339" s="51"/>
    </row>
    <row r="340" spans="17:19" x14ac:dyDescent="0.2">
      <c r="Q340" s="51"/>
      <c r="R340" s="51"/>
      <c r="S340" s="51"/>
    </row>
    <row r="341" spans="17:19" x14ac:dyDescent="0.2">
      <c r="Q341" s="51"/>
      <c r="R341" s="51"/>
      <c r="S341" s="51"/>
    </row>
    <row r="342" spans="17:19" x14ac:dyDescent="0.2">
      <c r="Q342" s="51"/>
      <c r="R342" s="51"/>
      <c r="S342" s="51"/>
    </row>
    <row r="343" spans="17:19" x14ac:dyDescent="0.2">
      <c r="Q343" s="51"/>
      <c r="R343" s="51"/>
      <c r="S343" s="51"/>
    </row>
    <row r="344" spans="17:19" x14ac:dyDescent="0.2">
      <c r="Q344" s="51"/>
      <c r="R344" s="51"/>
      <c r="S344" s="51"/>
    </row>
    <row r="345" spans="17:19" x14ac:dyDescent="0.2">
      <c r="Q345" s="51"/>
      <c r="R345" s="51"/>
      <c r="S345" s="51"/>
    </row>
    <row r="346" spans="17:19" x14ac:dyDescent="0.2">
      <c r="Q346" s="51"/>
      <c r="R346" s="51"/>
      <c r="S346" s="51"/>
    </row>
    <row r="347" spans="17:19" x14ac:dyDescent="0.2">
      <c r="Q347" s="51"/>
      <c r="R347" s="51"/>
      <c r="S347" s="51"/>
    </row>
    <row r="348" spans="17:19" x14ac:dyDescent="0.2">
      <c r="Q348" s="51"/>
      <c r="R348" s="51"/>
      <c r="S348" s="51"/>
    </row>
    <row r="349" spans="17:19" x14ac:dyDescent="0.2">
      <c r="Q349" s="51"/>
      <c r="R349" s="51"/>
      <c r="S349" s="51"/>
    </row>
    <row r="350" spans="17:19" x14ac:dyDescent="0.2">
      <c r="Q350" s="51"/>
      <c r="R350" s="51"/>
      <c r="S350" s="51"/>
    </row>
    <row r="351" spans="17:19" x14ac:dyDescent="0.2">
      <c r="Q351" s="51"/>
      <c r="R351" s="51"/>
      <c r="S351" s="51"/>
    </row>
    <row r="352" spans="17:19" x14ac:dyDescent="0.2">
      <c r="Q352" s="51"/>
      <c r="R352" s="51"/>
      <c r="S352" s="51"/>
    </row>
    <row r="353" spans="17:19" x14ac:dyDescent="0.2">
      <c r="Q353" s="51"/>
      <c r="R353" s="51"/>
      <c r="S353" s="51"/>
    </row>
    <row r="354" spans="17:19" x14ac:dyDescent="0.2">
      <c r="Q354" s="51"/>
      <c r="R354" s="51"/>
      <c r="S354" s="51"/>
    </row>
    <row r="355" spans="17:19" x14ac:dyDescent="0.2">
      <c r="Q355" s="51"/>
      <c r="R355" s="51"/>
      <c r="S355" s="51"/>
    </row>
    <row r="356" spans="17:19" x14ac:dyDescent="0.2">
      <c r="Q356" s="51"/>
      <c r="R356" s="51"/>
      <c r="S356" s="51"/>
    </row>
    <row r="357" spans="17:19" x14ac:dyDescent="0.2">
      <c r="Q357" s="51"/>
      <c r="R357" s="51"/>
      <c r="S357" s="51"/>
    </row>
    <row r="358" spans="17:19" x14ac:dyDescent="0.2">
      <c r="Q358" s="51"/>
      <c r="R358" s="51"/>
      <c r="S358" s="51"/>
    </row>
    <row r="359" spans="17:19" x14ac:dyDescent="0.2">
      <c r="Q359" s="51"/>
      <c r="R359" s="51"/>
      <c r="S359" s="51"/>
    </row>
    <row r="360" spans="17:19" x14ac:dyDescent="0.2">
      <c r="Q360" s="51"/>
      <c r="R360" s="51"/>
      <c r="S360" s="51"/>
    </row>
    <row r="361" spans="17:19" x14ac:dyDescent="0.2">
      <c r="Q361" s="51"/>
      <c r="R361" s="51"/>
      <c r="S361" s="51"/>
    </row>
    <row r="362" spans="17:19" x14ac:dyDescent="0.2">
      <c r="Q362" s="51"/>
      <c r="R362" s="51"/>
      <c r="S362" s="51"/>
    </row>
    <row r="363" spans="17:19" x14ac:dyDescent="0.2">
      <c r="Q363" s="51"/>
      <c r="R363" s="51"/>
      <c r="S363" s="51"/>
    </row>
    <row r="364" spans="17:19" x14ac:dyDescent="0.2">
      <c r="Q364" s="51"/>
      <c r="R364" s="51"/>
      <c r="S364" s="51"/>
    </row>
    <row r="365" spans="17:19" x14ac:dyDescent="0.2">
      <c r="Q365" s="51"/>
      <c r="R365" s="51"/>
      <c r="S365" s="51"/>
    </row>
    <row r="366" spans="17:19" x14ac:dyDescent="0.2">
      <c r="Q366" s="51"/>
      <c r="R366" s="51"/>
      <c r="S366" s="51"/>
    </row>
    <row r="367" spans="17:19" x14ac:dyDescent="0.2">
      <c r="Q367" s="51"/>
      <c r="R367" s="51"/>
      <c r="S367" s="51"/>
    </row>
    <row r="368" spans="17:19" x14ac:dyDescent="0.2">
      <c r="Q368" s="51"/>
      <c r="R368" s="51"/>
      <c r="S368" s="51"/>
    </row>
    <row r="369" spans="17:19" x14ac:dyDescent="0.2">
      <c r="Q369" s="51"/>
      <c r="R369" s="51"/>
      <c r="S369" s="51"/>
    </row>
    <row r="370" spans="17:19" x14ac:dyDescent="0.2">
      <c r="Q370" s="51"/>
      <c r="R370" s="51"/>
      <c r="S370" s="51"/>
    </row>
    <row r="371" spans="17:19" x14ac:dyDescent="0.2">
      <c r="Q371" s="51"/>
      <c r="R371" s="51"/>
      <c r="S371" s="51"/>
    </row>
    <row r="372" spans="17:19" x14ac:dyDescent="0.2">
      <c r="Q372" s="51"/>
      <c r="R372" s="51"/>
      <c r="S372" s="51"/>
    </row>
    <row r="373" spans="17:19" x14ac:dyDescent="0.2">
      <c r="Q373" s="51"/>
      <c r="R373" s="51"/>
      <c r="S373" s="51"/>
    </row>
    <row r="374" spans="17:19" x14ac:dyDescent="0.2">
      <c r="Q374" s="51"/>
      <c r="R374" s="51"/>
      <c r="S374" s="51"/>
    </row>
    <row r="375" spans="17:19" x14ac:dyDescent="0.2">
      <c r="Q375" s="51"/>
      <c r="R375" s="51"/>
      <c r="S375" s="51"/>
    </row>
    <row r="376" spans="17:19" x14ac:dyDescent="0.2">
      <c r="Q376" s="51"/>
      <c r="R376" s="51"/>
      <c r="S376" s="51"/>
    </row>
    <row r="377" spans="17:19" x14ac:dyDescent="0.2">
      <c r="Q377" s="51"/>
      <c r="R377" s="51"/>
      <c r="S377" s="51"/>
    </row>
    <row r="378" spans="17:19" x14ac:dyDescent="0.2">
      <c r="Q378" s="51"/>
      <c r="R378" s="51"/>
      <c r="S378" s="51"/>
    </row>
    <row r="379" spans="17:19" x14ac:dyDescent="0.2">
      <c r="Q379" s="51"/>
      <c r="R379" s="51"/>
      <c r="S379" s="51"/>
    </row>
    <row r="380" spans="17:19" x14ac:dyDescent="0.2">
      <c r="Q380" s="51"/>
      <c r="R380" s="51"/>
      <c r="S380" s="51"/>
    </row>
    <row r="381" spans="17:19" x14ac:dyDescent="0.2">
      <c r="Q381" s="51"/>
      <c r="R381" s="51"/>
      <c r="S381" s="51"/>
    </row>
    <row r="382" spans="17:19" x14ac:dyDescent="0.2">
      <c r="Q382" s="51"/>
      <c r="R382" s="51"/>
      <c r="S382" s="51"/>
    </row>
    <row r="383" spans="17:19" x14ac:dyDescent="0.2">
      <c r="Q383" s="51"/>
      <c r="R383" s="51"/>
      <c r="S383" s="51"/>
    </row>
    <row r="384" spans="17:19" x14ac:dyDescent="0.2">
      <c r="Q384" s="51"/>
      <c r="R384" s="51"/>
      <c r="S384" s="51"/>
    </row>
    <row r="385" spans="17:19" x14ac:dyDescent="0.2">
      <c r="Q385" s="51"/>
      <c r="R385" s="51"/>
      <c r="S385" s="51"/>
    </row>
    <row r="386" spans="17:19" x14ac:dyDescent="0.2">
      <c r="Q386" s="51"/>
      <c r="R386" s="51"/>
      <c r="S386" s="51"/>
    </row>
    <row r="387" spans="17:19" x14ac:dyDescent="0.2">
      <c r="Q387" s="51"/>
      <c r="R387" s="51"/>
      <c r="S387" s="51"/>
    </row>
    <row r="388" spans="17:19" x14ac:dyDescent="0.2">
      <c r="Q388" s="51"/>
      <c r="R388" s="51"/>
      <c r="S388" s="51"/>
    </row>
    <row r="389" spans="17:19" x14ac:dyDescent="0.2">
      <c r="Q389" s="51"/>
      <c r="R389" s="51"/>
      <c r="S389" s="51"/>
    </row>
    <row r="390" spans="17:19" x14ac:dyDescent="0.2">
      <c r="Q390" s="51"/>
      <c r="R390" s="51"/>
      <c r="S390" s="51"/>
    </row>
    <row r="391" spans="17:19" x14ac:dyDescent="0.2">
      <c r="Q391" s="51"/>
      <c r="R391" s="51"/>
      <c r="S391" s="51"/>
    </row>
    <row r="392" spans="17:19" x14ac:dyDescent="0.2">
      <c r="Q392" s="51"/>
      <c r="R392" s="51"/>
      <c r="S392" s="51"/>
    </row>
    <row r="393" spans="17:19" x14ac:dyDescent="0.2">
      <c r="Q393" s="51"/>
      <c r="R393" s="51"/>
      <c r="S393" s="51"/>
    </row>
    <row r="394" spans="17:19" x14ac:dyDescent="0.2">
      <c r="Q394" s="51"/>
      <c r="R394" s="51"/>
      <c r="S394" s="51"/>
    </row>
    <row r="395" spans="17:19" x14ac:dyDescent="0.2">
      <c r="Q395" s="51"/>
      <c r="R395" s="51"/>
      <c r="S395" s="51"/>
    </row>
    <row r="396" spans="17:19" x14ac:dyDescent="0.2">
      <c r="Q396" s="51"/>
      <c r="R396" s="51"/>
      <c r="S396" s="51"/>
    </row>
    <row r="397" spans="17:19" x14ac:dyDescent="0.2">
      <c r="Q397" s="51"/>
      <c r="R397" s="51"/>
      <c r="S397" s="51"/>
    </row>
    <row r="398" spans="17:19" x14ac:dyDescent="0.2">
      <c r="Q398" s="51"/>
      <c r="R398" s="51"/>
      <c r="S398" s="51"/>
    </row>
    <row r="399" spans="17:19" x14ac:dyDescent="0.2">
      <c r="Q399" s="51"/>
      <c r="R399" s="51"/>
      <c r="S399" s="51"/>
    </row>
    <row r="400" spans="17:19" x14ac:dyDescent="0.2">
      <c r="Q400" s="51"/>
      <c r="R400" s="51"/>
      <c r="S400" s="51"/>
    </row>
    <row r="401" spans="17:19" x14ac:dyDescent="0.2">
      <c r="Q401" s="51"/>
      <c r="R401" s="51"/>
      <c r="S401" s="51"/>
    </row>
    <row r="402" spans="17:19" x14ac:dyDescent="0.2">
      <c r="Q402" s="51"/>
      <c r="R402" s="51"/>
      <c r="S402" s="51"/>
    </row>
    <row r="403" spans="17:19" x14ac:dyDescent="0.2">
      <c r="Q403" s="51"/>
      <c r="R403" s="51"/>
      <c r="S403" s="51"/>
    </row>
    <row r="404" spans="17:19" x14ac:dyDescent="0.2">
      <c r="Q404" s="51"/>
      <c r="R404" s="51"/>
      <c r="S404" s="51"/>
    </row>
    <row r="405" spans="17:19" x14ac:dyDescent="0.2">
      <c r="Q405" s="51"/>
      <c r="R405" s="51"/>
      <c r="S405" s="51"/>
    </row>
    <row r="406" spans="17:19" x14ac:dyDescent="0.2">
      <c r="Q406" s="51"/>
      <c r="R406" s="51"/>
      <c r="S406" s="51"/>
    </row>
    <row r="407" spans="17:19" x14ac:dyDescent="0.2">
      <c r="Q407" s="51"/>
      <c r="R407" s="51"/>
      <c r="S407" s="51"/>
    </row>
    <row r="408" spans="17:19" x14ac:dyDescent="0.2">
      <c r="Q408" s="51"/>
      <c r="R408" s="51"/>
      <c r="S408" s="51"/>
    </row>
    <row r="409" spans="17:19" x14ac:dyDescent="0.2">
      <c r="Q409" s="51"/>
      <c r="R409" s="51"/>
      <c r="S409" s="51"/>
    </row>
    <row r="410" spans="17:19" x14ac:dyDescent="0.2">
      <c r="Q410" s="51"/>
      <c r="R410" s="51"/>
      <c r="S410" s="51"/>
    </row>
    <row r="411" spans="17:19" x14ac:dyDescent="0.2">
      <c r="Q411" s="51"/>
      <c r="R411" s="51"/>
      <c r="S411" s="51"/>
    </row>
    <row r="412" spans="17:19" x14ac:dyDescent="0.2">
      <c r="Q412" s="51"/>
      <c r="R412" s="51"/>
      <c r="S412" s="51"/>
    </row>
    <row r="413" spans="17:19" x14ac:dyDescent="0.2">
      <c r="Q413" s="51"/>
      <c r="R413" s="51"/>
      <c r="S413" s="51"/>
    </row>
    <row r="414" spans="17:19" x14ac:dyDescent="0.2">
      <c r="Q414" s="51"/>
      <c r="R414" s="51"/>
      <c r="S414" s="51"/>
    </row>
    <row r="415" spans="17:19" x14ac:dyDescent="0.2">
      <c r="Q415" s="51"/>
      <c r="R415" s="51"/>
      <c r="S415" s="51"/>
    </row>
    <row r="416" spans="17:19" x14ac:dyDescent="0.2">
      <c r="Q416" s="51"/>
      <c r="R416" s="51"/>
      <c r="S416" s="51"/>
    </row>
    <row r="417" spans="17:19" x14ac:dyDescent="0.2">
      <c r="Q417" s="51"/>
      <c r="R417" s="51"/>
      <c r="S417" s="51"/>
    </row>
    <row r="418" spans="17:19" x14ac:dyDescent="0.2">
      <c r="Q418" s="51"/>
      <c r="R418" s="51"/>
      <c r="S418" s="51"/>
    </row>
    <row r="419" spans="17:19" x14ac:dyDescent="0.2">
      <c r="Q419" s="51"/>
      <c r="R419" s="51"/>
      <c r="S419" s="51"/>
    </row>
    <row r="420" spans="17:19" x14ac:dyDescent="0.2">
      <c r="Q420" s="51"/>
      <c r="R420" s="51"/>
      <c r="S420" s="51"/>
    </row>
    <row r="421" spans="17:19" x14ac:dyDescent="0.2">
      <c r="Q421" s="51"/>
      <c r="R421" s="51"/>
      <c r="S421" s="51"/>
    </row>
    <row r="422" spans="17:19" x14ac:dyDescent="0.2">
      <c r="Q422" s="51"/>
      <c r="R422" s="51"/>
      <c r="S422" s="51"/>
    </row>
    <row r="423" spans="17:19" x14ac:dyDescent="0.2">
      <c r="Q423" s="51"/>
      <c r="R423" s="51"/>
      <c r="S423" s="51"/>
    </row>
    <row r="424" spans="17:19" x14ac:dyDescent="0.2">
      <c r="Q424" s="51"/>
      <c r="R424" s="51"/>
      <c r="S424" s="51"/>
    </row>
    <row r="425" spans="17:19" x14ac:dyDescent="0.2">
      <c r="Q425" s="51"/>
      <c r="R425" s="51"/>
      <c r="S425" s="51"/>
    </row>
    <row r="426" spans="17:19" x14ac:dyDescent="0.2">
      <c r="Q426" s="51"/>
      <c r="R426" s="51"/>
      <c r="S426" s="51"/>
    </row>
    <row r="427" spans="17:19" x14ac:dyDescent="0.2">
      <c r="Q427" s="51"/>
      <c r="R427" s="51"/>
      <c r="S427" s="51"/>
    </row>
    <row r="428" spans="17:19" x14ac:dyDescent="0.2">
      <c r="Q428" s="51"/>
      <c r="R428" s="51"/>
      <c r="S428" s="51"/>
    </row>
    <row r="429" spans="17:19" x14ac:dyDescent="0.2">
      <c r="Q429" s="51"/>
      <c r="R429" s="51"/>
      <c r="S429" s="51"/>
    </row>
    <row r="430" spans="17:19" x14ac:dyDescent="0.2">
      <c r="Q430" s="51"/>
      <c r="R430" s="51"/>
      <c r="S430" s="51"/>
    </row>
    <row r="431" spans="17:19" x14ac:dyDescent="0.2">
      <c r="Q431" s="51"/>
      <c r="R431" s="51"/>
      <c r="S431" s="51"/>
    </row>
    <row r="432" spans="17:19" x14ac:dyDescent="0.2">
      <c r="Q432" s="51"/>
      <c r="R432" s="51"/>
      <c r="S432" s="51"/>
    </row>
    <row r="433" spans="17:19" x14ac:dyDescent="0.2">
      <c r="Q433" s="51"/>
      <c r="R433" s="51"/>
      <c r="S433" s="51"/>
    </row>
    <row r="434" spans="17:19" x14ac:dyDescent="0.2">
      <c r="Q434" s="51"/>
      <c r="R434" s="51"/>
      <c r="S434" s="51"/>
    </row>
    <row r="435" spans="17:19" x14ac:dyDescent="0.2">
      <c r="Q435" s="51"/>
      <c r="R435" s="51"/>
      <c r="S435" s="51"/>
    </row>
    <row r="436" spans="17:19" x14ac:dyDescent="0.2">
      <c r="Q436" s="51"/>
      <c r="R436" s="51"/>
      <c r="S436" s="51"/>
    </row>
    <row r="437" spans="17:19" x14ac:dyDescent="0.2">
      <c r="Q437" s="51"/>
      <c r="R437" s="51"/>
      <c r="S437" s="51"/>
    </row>
    <row r="438" spans="17:19" x14ac:dyDescent="0.2">
      <c r="Q438" s="51"/>
      <c r="R438" s="51"/>
      <c r="S438" s="51"/>
    </row>
    <row r="439" spans="17:19" x14ac:dyDescent="0.2">
      <c r="Q439" s="51"/>
      <c r="R439" s="51"/>
      <c r="S439" s="51"/>
    </row>
    <row r="440" spans="17:19" x14ac:dyDescent="0.2">
      <c r="Q440" s="51"/>
      <c r="R440" s="51"/>
      <c r="S440" s="51"/>
    </row>
    <row r="441" spans="17:19" x14ac:dyDescent="0.2">
      <c r="Q441" s="51"/>
      <c r="R441" s="51"/>
      <c r="S441" s="51"/>
    </row>
    <row r="442" spans="17:19" x14ac:dyDescent="0.2">
      <c r="Q442" s="51"/>
      <c r="R442" s="51"/>
      <c r="S442" s="51"/>
    </row>
    <row r="443" spans="17:19" x14ac:dyDescent="0.2">
      <c r="Q443" s="51"/>
      <c r="R443" s="51"/>
      <c r="S443" s="51"/>
    </row>
    <row r="444" spans="17:19" x14ac:dyDescent="0.2">
      <c r="Q444" s="51"/>
      <c r="R444" s="51"/>
      <c r="S444" s="51"/>
    </row>
    <row r="445" spans="17:19" x14ac:dyDescent="0.2">
      <c r="Q445" s="51"/>
      <c r="R445" s="51"/>
      <c r="S445" s="51"/>
    </row>
    <row r="446" spans="17:19" x14ac:dyDescent="0.2">
      <c r="Q446" s="51"/>
      <c r="R446" s="51"/>
      <c r="S446" s="51"/>
    </row>
    <row r="447" spans="17:19" x14ac:dyDescent="0.2">
      <c r="Q447" s="51"/>
      <c r="R447" s="51"/>
      <c r="S447" s="51"/>
    </row>
    <row r="448" spans="17:19" x14ac:dyDescent="0.2">
      <c r="Q448" s="51"/>
      <c r="R448" s="51"/>
      <c r="S448" s="51"/>
    </row>
    <row r="449" spans="17:19" x14ac:dyDescent="0.2">
      <c r="Q449" s="51"/>
      <c r="R449" s="51"/>
      <c r="S449" s="51"/>
    </row>
    <row r="450" spans="17:19" x14ac:dyDescent="0.2">
      <c r="Q450" s="51"/>
      <c r="R450" s="51"/>
      <c r="S450" s="51"/>
    </row>
    <row r="451" spans="17:19" x14ac:dyDescent="0.2">
      <c r="Q451" s="51"/>
      <c r="R451" s="51"/>
      <c r="S451" s="51"/>
    </row>
    <row r="452" spans="17:19" x14ac:dyDescent="0.2">
      <c r="Q452" s="51"/>
      <c r="R452" s="51"/>
      <c r="S452" s="51"/>
    </row>
    <row r="453" spans="17:19" x14ac:dyDescent="0.2">
      <c r="Q453" s="51"/>
      <c r="R453" s="51"/>
      <c r="S453" s="51"/>
    </row>
    <row r="454" spans="17:19" x14ac:dyDescent="0.2">
      <c r="Q454" s="51"/>
      <c r="R454" s="51"/>
      <c r="S454" s="51"/>
    </row>
    <row r="455" spans="17:19" x14ac:dyDescent="0.2">
      <c r="Q455" s="51"/>
      <c r="R455" s="51"/>
      <c r="S455" s="51"/>
    </row>
    <row r="456" spans="17:19" x14ac:dyDescent="0.2">
      <c r="Q456" s="51"/>
      <c r="R456" s="51"/>
      <c r="S456" s="51"/>
    </row>
    <row r="457" spans="17:19" x14ac:dyDescent="0.2">
      <c r="Q457" s="51"/>
      <c r="R457" s="51"/>
      <c r="S457" s="51"/>
    </row>
    <row r="458" spans="17:19" x14ac:dyDescent="0.2">
      <c r="Q458" s="51"/>
      <c r="R458" s="51"/>
      <c r="S458" s="51"/>
    </row>
    <row r="459" spans="17:19" x14ac:dyDescent="0.2">
      <c r="Q459" s="51"/>
      <c r="R459" s="51"/>
      <c r="S459" s="51"/>
    </row>
    <row r="460" spans="17:19" x14ac:dyDescent="0.2">
      <c r="Q460" s="51"/>
      <c r="R460" s="51"/>
      <c r="S460" s="51"/>
    </row>
    <row r="461" spans="17:19" x14ac:dyDescent="0.2">
      <c r="Q461" s="51"/>
      <c r="R461" s="51"/>
      <c r="S461" s="51"/>
    </row>
    <row r="462" spans="17:19" x14ac:dyDescent="0.2">
      <c r="Q462" s="51"/>
      <c r="R462" s="51"/>
      <c r="S462" s="51"/>
    </row>
    <row r="463" spans="17:19" x14ac:dyDescent="0.2">
      <c r="Q463" s="51"/>
      <c r="R463" s="51"/>
      <c r="S463" s="51"/>
    </row>
    <row r="464" spans="17:19" x14ac:dyDescent="0.2">
      <c r="Q464" s="51"/>
      <c r="R464" s="51"/>
      <c r="S464" s="51"/>
    </row>
  </sheetData>
  <mergeCells count="1">
    <mergeCell ref="D1:AI1"/>
  </mergeCells>
  <phoneticPr fontId="0" type="noConversion"/>
  <conditionalFormatting sqref="H2:J2 AC2:AH2">
    <cfRule type="cellIs" dxfId="17" priority="1" stopIfTrue="1" operator="equal">
      <formula>$B$4</formula>
    </cfRule>
  </conditionalFormatting>
  <conditionalFormatting sqref="Q2:S2 Q465:S65536 O2:P203 K204:P65536 N3:N203 K2:N2 T2:V65536 Z2:AB65536 W2:Y2">
    <cfRule type="cellIs" dxfId="16" priority="2" stopIfTrue="1" operator="lessThan">
      <formula>0</formula>
    </cfRule>
  </conditionalFormatting>
  <conditionalFormatting sqref="R3:S464 Q4:Q464">
    <cfRule type="cellIs" dxfId="15" priority="5" stopIfTrue="1" operator="lessThan">
      <formula>0</formula>
    </cfRule>
    <cfRule type="expression" dxfId="14" priority="6" stopIfTrue="1">
      <formula>AND(Q3&gt;0,Q3&lt;=$U3)</formula>
    </cfRule>
  </conditionalFormatting>
  <conditionalFormatting sqref="M3:M203 K4:L203">
    <cfRule type="cellIs" dxfId="13" priority="7" stopIfTrue="1" operator="lessThan">
      <formula>0</formula>
    </cfRule>
    <cfRule type="expression" dxfId="12" priority="8" stopIfTrue="1">
      <formula>AND(K3&gt;0,K3&lt;=$O3)</formula>
    </cfRule>
  </conditionalFormatting>
  <conditionalFormatting sqref="K3:L3">
    <cfRule type="cellIs" dxfId="11" priority="9" stopIfTrue="1" operator="lessThan">
      <formula>0</formula>
    </cfRule>
    <cfRule type="expression" dxfId="10" priority="10" stopIfTrue="1">
      <formula>AND(K3&gt;0,K3&lt;=$O3)</formula>
    </cfRule>
  </conditionalFormatting>
  <conditionalFormatting sqref="Q3">
    <cfRule type="cellIs" dxfId="9" priority="11" stopIfTrue="1" operator="lessThan">
      <formula>0</formula>
    </cfRule>
    <cfRule type="expression" dxfId="8" priority="12" stopIfTrue="1">
      <formula>AND(Q3&gt;0,Q3&lt;=$U3)</formula>
    </cfRule>
  </conditionalFormatting>
  <conditionalFormatting sqref="W3:Y65536">
    <cfRule type="cellIs" dxfId="7" priority="13" stopIfTrue="1" operator="lessThan">
      <formula>0</formula>
    </cfRule>
    <cfRule type="expression" dxfId="6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104"/>
  <sheetViews>
    <sheetView topLeftCell="G1" workbookViewId="0"/>
  </sheetViews>
  <sheetFormatPr defaultColWidth="9.109375" defaultRowHeight="13.2" x14ac:dyDescent="0.25"/>
  <cols>
    <col min="1" max="1" width="9.109375" style="128" hidden="1" customWidth="1"/>
    <col min="2" max="2" width="17.6640625" style="129" hidden="1" customWidth="1"/>
    <col min="3" max="6" width="5.109375" style="128" hidden="1" customWidth="1"/>
    <col min="7" max="9" width="5.109375" style="128" customWidth="1"/>
    <col min="10" max="10" width="9.5546875" style="131" customWidth="1"/>
    <col min="11" max="11" width="33.88671875" style="130" customWidth="1"/>
    <col min="12" max="15" width="11.109375" style="130" customWidth="1"/>
    <col min="16" max="16" width="13.44140625" style="130" customWidth="1"/>
    <col min="17" max="18" width="9.109375" style="130"/>
    <col min="19" max="24" width="9.109375" style="131"/>
    <col min="25" max="25" width="10.5546875" style="131" customWidth="1"/>
    <col min="26" max="26" width="15.6640625" style="131" customWidth="1"/>
    <col min="27" max="27" width="10.33203125" style="131" customWidth="1"/>
    <col min="28" max="28" width="15.109375" style="131" customWidth="1"/>
    <col min="29" max="16384" width="9.109375" style="130"/>
  </cols>
  <sheetData>
    <row r="1" spans="1:34" ht="7.5" customHeight="1" x14ac:dyDescent="0.25"/>
    <row r="2" spans="1:34" ht="45" customHeight="1" x14ac:dyDescent="0.25">
      <c r="J2" s="400" t="str">
        <f>Setup!C2</f>
        <v>APF Power Pit Classic</v>
      </c>
      <c r="K2" s="400"/>
      <c r="L2" s="400"/>
      <c r="M2" s="400"/>
      <c r="N2" s="400"/>
      <c r="O2" s="400"/>
      <c r="P2" s="400"/>
    </row>
    <row r="3" spans="1:34" ht="110.25" customHeight="1" x14ac:dyDescent="0.25">
      <c r="B3" s="132"/>
      <c r="L3" s="199" t="s">
        <v>126</v>
      </c>
    </row>
    <row r="5" spans="1:34" x14ac:dyDescent="0.25">
      <c r="A5" s="129" t="s">
        <v>87</v>
      </c>
      <c r="B5" s="129" t="s">
        <v>96</v>
      </c>
    </row>
    <row r="6" spans="1:34" s="135" customFormat="1" ht="36" customHeight="1" x14ac:dyDescent="0.25">
      <c r="A6" s="133" t="e">
        <f ca="1">OFFSET(Setup!O6,MATCH(J6,INDIRECT(B6),0),0)</f>
        <v>#N/A</v>
      </c>
      <c r="B6" s="133" t="str">
        <f>CONCATENATE("Setup!P7:P",COUNTA(Setup!O:O)+4)</f>
        <v>Setup!P7:P248</v>
      </c>
      <c r="C6" s="128"/>
      <c r="D6" s="128"/>
      <c r="E6" s="128"/>
      <c r="F6" s="128"/>
      <c r="G6" s="128"/>
      <c r="H6" s="128"/>
      <c r="I6" s="128"/>
      <c r="J6" s="399" t="s">
        <v>125</v>
      </c>
      <c r="K6" s="399"/>
      <c r="L6" s="399"/>
      <c r="M6" s="399"/>
      <c r="N6" s="399"/>
      <c r="O6" s="399"/>
      <c r="P6" s="134"/>
      <c r="R6" s="130"/>
      <c r="S6" s="131"/>
      <c r="T6" s="131"/>
      <c r="U6" s="131"/>
      <c r="V6" s="131"/>
      <c r="W6" s="131"/>
      <c r="X6" s="131"/>
      <c r="Y6" s="136"/>
      <c r="Z6" s="136"/>
      <c r="AA6" s="131"/>
      <c r="AB6" s="131"/>
      <c r="AC6" s="130"/>
      <c r="AD6" s="130"/>
    </row>
    <row r="7" spans="1:34" s="135" customFormat="1" ht="36" customHeight="1" x14ac:dyDescent="0.25">
      <c r="A7" s="133" t="s">
        <v>97</v>
      </c>
      <c r="B7" s="133" t="e">
        <f ca="1">IF(LEFT(A6,1)="M","Setup!K9:K23","Setup!M9:M23")</f>
        <v>#N/A</v>
      </c>
      <c r="C7" s="128"/>
      <c r="D7" s="128"/>
      <c r="E7" s="128"/>
      <c r="F7" s="128"/>
      <c r="G7" s="128"/>
      <c r="H7" s="128"/>
      <c r="I7" s="128"/>
      <c r="J7" s="177">
        <v>181</v>
      </c>
      <c r="K7" s="137" t="str">
        <f>IF(J7="SHW","Class",IF(Setup!K6="BWt (Kg)","Kilo Class","Pound Class"))</f>
        <v>Kilo Class</v>
      </c>
      <c r="L7" s="398" t="s">
        <v>68</v>
      </c>
      <c r="M7" s="398"/>
      <c r="N7" s="398"/>
      <c r="O7" s="398"/>
      <c r="P7" s="134"/>
      <c r="R7" s="130"/>
      <c r="S7" s="131"/>
      <c r="T7" s="131"/>
      <c r="U7" s="131"/>
      <c r="V7" s="131"/>
      <c r="W7" s="131"/>
      <c r="X7" s="131"/>
      <c r="Y7" s="136"/>
      <c r="Z7" s="136"/>
      <c r="AA7" s="131"/>
      <c r="AB7" s="131"/>
      <c r="AC7" s="130"/>
      <c r="AD7" s="130"/>
    </row>
    <row r="8" spans="1:34" ht="5.25" customHeight="1" x14ac:dyDescent="0.25">
      <c r="J8" s="138"/>
      <c r="K8" s="139"/>
      <c r="L8" s="139"/>
      <c r="M8" s="139"/>
      <c r="N8" s="139"/>
      <c r="O8" s="139"/>
      <c r="P8" s="139"/>
      <c r="Y8" s="136"/>
      <c r="Z8" s="136"/>
    </row>
    <row r="9" spans="1:34" s="135" customFormat="1" ht="36" customHeight="1" x14ac:dyDescent="0.25">
      <c r="A9" s="140"/>
      <c r="B9" s="129" t="e">
        <f ca="1">OFFSET(Setup!Q6,MATCH(J6,INDIRECT(B6),0),0)</f>
        <v>#N/A</v>
      </c>
      <c r="C9" s="128"/>
      <c r="D9" s="128"/>
      <c r="E9" s="128"/>
      <c r="F9" s="128"/>
      <c r="G9" s="128"/>
      <c r="H9" s="128"/>
      <c r="I9" s="128"/>
      <c r="J9" s="141" t="s">
        <v>76</v>
      </c>
      <c r="K9" s="142" t="s">
        <v>0</v>
      </c>
      <c r="L9" s="141" t="s">
        <v>11</v>
      </c>
      <c r="M9" s="141" t="s">
        <v>15</v>
      </c>
      <c r="N9" s="141" t="s">
        <v>21</v>
      </c>
      <c r="O9" s="141" t="s">
        <v>68</v>
      </c>
      <c r="P9" s="143" t="e">
        <f ca="1">IF(B9=1,"","Coeff-Score")</f>
        <v>#N/A</v>
      </c>
      <c r="R9" s="130"/>
      <c r="S9" s="131"/>
      <c r="T9" s="131"/>
      <c r="U9" s="131"/>
      <c r="V9" s="131"/>
      <c r="W9" s="131"/>
      <c r="X9" s="131"/>
      <c r="Y9" s="136"/>
      <c r="Z9" s="136"/>
      <c r="AA9" s="131"/>
      <c r="AB9" s="131"/>
      <c r="AC9" s="130"/>
      <c r="AD9" s="130"/>
      <c r="AH9" s="144"/>
    </row>
    <row r="10" spans="1:34" s="135" customFormat="1" ht="36" customHeight="1" x14ac:dyDescent="0.25">
      <c r="A10" s="140"/>
      <c r="B10" s="129" t="e">
        <f ca="1">CONCATENATE(J10,"-",$A$6,IF($B$9=1,CONCATENATE("-",IF($J$7="SHW",$J$7,ROUND($J$7,1))),""))</f>
        <v>#N/A</v>
      </c>
      <c r="C10" s="128"/>
      <c r="D10" s="128"/>
      <c r="E10" s="128"/>
      <c r="F10" s="128"/>
      <c r="G10" s="128"/>
      <c r="H10" s="128"/>
      <c r="I10" s="128"/>
      <c r="J10" s="141">
        <v>1</v>
      </c>
      <c r="K10" s="142" t="str">
        <f ca="1">IF(ISERROR(INDIRECT(CONCATENATE("Lifting!C",MATCH(B10,Lifting!$AF:$AF,0)))),"",INDIRECT(CONCATENATE("Lifting!C",MATCH(B10,Lifting!$AF:$AF,0))))</f>
        <v/>
      </c>
      <c r="L10" s="141" t="str">
        <f ca="1">IF(OR($L$7="Best Bench",$L$7="Best Deadlift",$L$7="Push Pull Total"),"",IF(K10="","",INDIRECT(CONCATENATE("Lifting!O",MATCH(B10,Lifting!$AF:$AF,0)))))</f>
        <v/>
      </c>
      <c r="M10" s="141" t="str">
        <f ca="1">IF(OR($L$7="Best Squat",$L$7="Best Deadlift"),"",IF(K10="","",INDIRECT(CONCATENATE("Lifting!U",MATCH(B10,Lifting!$AF:$AF,0)))))</f>
        <v/>
      </c>
      <c r="N10" s="141" t="str">
        <f ca="1">IF(OR($L$7="Best Bench",$L$7="Best Squat"),"",IF(K10="","",INDIRECT(CONCATENATE("Lifting!AA",MATCH(B10,Lifting!$AF:$AF,0)))))</f>
        <v/>
      </c>
      <c r="O10" s="141" t="str">
        <f ca="1">IF(OR($L$7="Best Bench",$L$7="Best Deadlift",$L$7="Best Deadlift"),"",IF(K10="","",INDIRECT(CONCATENATE("Lifting!AB",MATCH(B10,Lifting!$AF:$AF,0)))))</f>
        <v/>
      </c>
      <c r="P10" s="134" t="e">
        <f ca="1">IF(OR($B$9=1,K10=""),"",INDIRECT(CONCATENATE(CONCATENATE("Lifting!",IF($B$9=2,"AC","AD"),MATCH(B10,Lifting!$AF:$AF,0)))))</f>
        <v>#N/A</v>
      </c>
      <c r="R10" s="130"/>
      <c r="S10" s="131"/>
      <c r="T10" s="131"/>
      <c r="U10" s="131"/>
      <c r="V10" s="131"/>
      <c r="W10" s="131"/>
      <c r="X10" s="131"/>
      <c r="Y10" s="136"/>
      <c r="Z10" s="136"/>
      <c r="AA10" s="131"/>
      <c r="AB10" s="131"/>
      <c r="AC10" s="130"/>
      <c r="AD10" s="130"/>
      <c r="AH10" s="144"/>
    </row>
    <row r="11" spans="1:34" s="135" customFormat="1" ht="36" customHeight="1" x14ac:dyDescent="0.25">
      <c r="A11" s="140"/>
      <c r="B11" s="129" t="e">
        <f ca="1">CONCATENATE(J11,"-",$A$6,IF($B$9=1,CONCATENATE("-",IF($J$7="SHW",$J$7,ROUND($J$7,1))),""))</f>
        <v>#N/A</v>
      </c>
      <c r="C11" s="128"/>
      <c r="D11" s="128"/>
      <c r="E11" s="128"/>
      <c r="F11" s="128"/>
      <c r="G11" s="128"/>
      <c r="H11" s="128"/>
      <c r="I11" s="128"/>
      <c r="J11" s="141">
        <v>2</v>
      </c>
      <c r="K11" s="142" t="str">
        <f ca="1">IF(ISERROR(INDIRECT(CONCATENATE("Lifting!C",MATCH(B11,Lifting!$AF:$AF,0)))),"",INDIRECT(CONCATENATE("Lifting!C",MATCH(B11,Lifting!$AF:$AF,0))))</f>
        <v/>
      </c>
      <c r="L11" s="141" t="str">
        <f ca="1">IF(OR($L$7="Best Bench",$L$7="Best Deadlift",$L$7="Push Pull Total"),"",IF(K11="","",INDIRECT(CONCATENATE("Lifting!O",MATCH(B11,Lifting!$AF:$AF,0)))))</f>
        <v/>
      </c>
      <c r="M11" s="141" t="str">
        <f ca="1">IF(OR($L$7="Best Squat",$L$7="Best Deadlift"),"",IF(K11="","",INDIRECT(CONCATENATE("Lifting!U",MATCH(B11,Lifting!$AF:$AF,0)))))</f>
        <v/>
      </c>
      <c r="N11" s="141" t="str">
        <f ca="1">IF(OR($L$7="Best Bench",$L$7="Best Squat"),"",IF(K11="","",INDIRECT(CONCATENATE("Lifting!AA",MATCH(B11,Lifting!$AF:$AF,0)))))</f>
        <v/>
      </c>
      <c r="O11" s="141" t="str">
        <f ca="1">IF(OR($L$7="Best Bench",$L$7="Best Deadlift",$L$7="Best Deadlift"),"",IF(K11="","",INDIRECT(CONCATENATE("Lifting!AB",MATCH(B11,Lifting!$AF:$AF,0)))))</f>
        <v/>
      </c>
      <c r="P11" s="134" t="e">
        <f ca="1">IF(OR($B$9=1,K11=""),"",INDIRECT(CONCATENATE(CONCATENATE("Lifting!",IF($B$9=2,"AC","AD"),MATCH(B11,Lifting!$AF:$AF,0)))))</f>
        <v>#N/A</v>
      </c>
      <c r="R11" s="130"/>
      <c r="S11" s="131"/>
      <c r="T11" s="131"/>
      <c r="U11" s="131"/>
      <c r="V11" s="131"/>
      <c r="W11" s="131"/>
      <c r="X11" s="131"/>
      <c r="Y11" s="136"/>
      <c r="Z11" s="136"/>
      <c r="AA11" s="131"/>
      <c r="AB11" s="131"/>
      <c r="AC11" s="130"/>
      <c r="AD11" s="130"/>
      <c r="AH11" s="144"/>
    </row>
    <row r="12" spans="1:34" s="135" customFormat="1" ht="36" customHeight="1" x14ac:dyDescent="0.25">
      <c r="A12" s="140"/>
      <c r="B12" s="129" t="e">
        <f ca="1">CONCATENATE(J12,"-",$A$6,IF($B$9=1,CONCATENATE("-",IF($J$7="SHW",$J$7,ROUND($J$7,1))),""))</f>
        <v>#N/A</v>
      </c>
      <c r="C12" s="128"/>
      <c r="D12" s="128"/>
      <c r="E12" s="128"/>
      <c r="F12" s="128"/>
      <c r="G12" s="128"/>
      <c r="H12" s="128"/>
      <c r="I12" s="128"/>
      <c r="J12" s="141">
        <v>3</v>
      </c>
      <c r="K12" s="142" t="str">
        <f ca="1">IF(ISERROR(INDIRECT(CONCATENATE("Lifting!C",MATCH(B12,Lifting!$AF:$AF,0)))),"",INDIRECT(CONCATENATE("Lifting!C",MATCH(B12,Lifting!$AF:$AF,0))))</f>
        <v/>
      </c>
      <c r="L12" s="141" t="str">
        <f ca="1">IF(OR($L$7="Best Bench",$L$7="Best Deadlift",$L$7="Push Pull Total"),"",IF(K12="","",INDIRECT(CONCATENATE("Lifting!O",MATCH(B12,Lifting!$AF:$AF,0)))))</f>
        <v/>
      </c>
      <c r="M12" s="141" t="str">
        <f ca="1">IF(OR($L$7="Best Squat",$L$7="Best Deadlift"),"",IF(K12="","",INDIRECT(CONCATENATE("Lifting!U",MATCH(B12,Lifting!$AF:$AF,0)))))</f>
        <v/>
      </c>
      <c r="N12" s="141" t="str">
        <f ca="1">IF(OR($L$7="Best Bench",$L$7="Best Squat"),"",IF(K12="","",INDIRECT(CONCATENATE("Lifting!AA",MATCH(B12,Lifting!$AF:$AF,0)))))</f>
        <v/>
      </c>
      <c r="O12" s="141" t="str">
        <f ca="1">IF(OR($L$7="Best Bench",$L$7="Best Deadlift",$L$7="Best Deadlift"),"",IF(K12="","",INDIRECT(CONCATENATE("Lifting!AB",MATCH(B12,Lifting!$AF:$AF,0)))))</f>
        <v/>
      </c>
      <c r="P12" s="134" t="e">
        <f ca="1">IF(OR($B$9=1,K12=""),"",INDIRECT(CONCATENATE(CONCATENATE("Lifting!",IF($B$9=2,"AC","AD"),MATCH(B12,Lifting!$AF:$AF,0)))))</f>
        <v>#N/A</v>
      </c>
      <c r="R12" s="130"/>
      <c r="S12" s="131"/>
      <c r="T12" s="131"/>
      <c r="U12" s="131"/>
      <c r="V12" s="131"/>
      <c r="W12" s="131"/>
      <c r="X12" s="131"/>
      <c r="Y12" s="136"/>
      <c r="Z12" s="136"/>
      <c r="AA12" s="131"/>
      <c r="AB12" s="131"/>
      <c r="AC12" s="130"/>
      <c r="AD12" s="130"/>
      <c r="AH12" s="144"/>
    </row>
    <row r="13" spans="1:34" s="135" customFormat="1" ht="36" customHeight="1" x14ac:dyDescent="0.25">
      <c r="A13" s="140"/>
      <c r="B13" s="129" t="e">
        <f ca="1">CONCATENATE(J13,"-",$A$6,IF($B$9=1,CONCATENATE("-",IF($J$7="SHW",$J$7,ROUND($J$7,1))),""))</f>
        <v>#N/A</v>
      </c>
      <c r="C13" s="128"/>
      <c r="D13" s="128"/>
      <c r="E13" s="128"/>
      <c r="F13" s="128"/>
      <c r="G13" s="128"/>
      <c r="H13" s="128"/>
      <c r="I13" s="128"/>
      <c r="J13" s="141">
        <v>4</v>
      </c>
      <c r="K13" s="142" t="str">
        <f ca="1">IF(ISERROR(INDIRECT(CONCATENATE("Lifting!C",MATCH(B13,Lifting!$AF:$AF,0)))),"",INDIRECT(CONCATENATE("Lifting!C",MATCH(B13,Lifting!$AF:$AF,0))))</f>
        <v/>
      </c>
      <c r="L13" s="141" t="str">
        <f ca="1">IF(OR($L$7="Best Bench",$L$7="Best Deadlift",$L$7="Push Pull Total"),"",IF(K13="","",INDIRECT(CONCATENATE("Lifting!O",MATCH(B13,Lifting!$AF:$AF,0)))))</f>
        <v/>
      </c>
      <c r="M13" s="141" t="str">
        <f ca="1">IF(OR($L$7="Best Squat",$L$7="Best Deadlift"),"",IF(K13="","",INDIRECT(CONCATENATE("Lifting!U",MATCH(B13,Lifting!$AF:$AF,0)))))</f>
        <v/>
      </c>
      <c r="N13" s="141" t="str">
        <f ca="1">IF(OR($L$7="Best Bench",$L$7="Best Squat"),"",IF(K13="","",INDIRECT(CONCATENATE("Lifting!AA",MATCH(B13,Lifting!$AF:$AF,0)))))</f>
        <v/>
      </c>
      <c r="O13" s="141" t="str">
        <f ca="1">IF(OR($L$7="Best Bench",$L$7="Best Deadlift",$L$7="Best Deadlift"),"",IF(K13="","",INDIRECT(CONCATENATE("Lifting!AB",MATCH(B13,Lifting!$AF:$AF,0)))))</f>
        <v/>
      </c>
      <c r="P13" s="134" t="e">
        <f ca="1">IF(OR($B$9=1,K13=""),"",INDIRECT(CONCATENATE(CONCATENATE("Lifting!",IF($B$9=2,"AC","AD"),MATCH(B13,Lifting!$AF:$AF,0)))))</f>
        <v>#N/A</v>
      </c>
      <c r="R13" s="130"/>
      <c r="S13" s="131"/>
      <c r="T13" s="131"/>
      <c r="U13" s="131"/>
      <c r="V13" s="131"/>
      <c r="W13" s="131"/>
      <c r="X13" s="131"/>
      <c r="Y13" s="136"/>
      <c r="Z13" s="136"/>
      <c r="AA13" s="131"/>
      <c r="AB13" s="131"/>
      <c r="AC13" s="130"/>
      <c r="AD13" s="130"/>
      <c r="AH13" s="144"/>
    </row>
    <row r="14" spans="1:34" s="135" customFormat="1" ht="36" customHeight="1" x14ac:dyDescent="0.25">
      <c r="A14" s="140"/>
      <c r="B14" s="129" t="e">
        <f ca="1">CONCATENATE(J14,"-",$A$6,IF($B$9=1,CONCATENATE("-",IF($J$7="SHW",$J$7,ROUND($J$7,1))),""))</f>
        <v>#N/A</v>
      </c>
      <c r="C14" s="128"/>
      <c r="D14" s="128"/>
      <c r="E14" s="128"/>
      <c r="F14" s="128"/>
      <c r="G14" s="128"/>
      <c r="H14" s="128"/>
      <c r="I14" s="128"/>
      <c r="J14" s="141">
        <v>5</v>
      </c>
      <c r="K14" s="142" t="str">
        <f ca="1">IF(ISERROR(INDIRECT(CONCATENATE("Lifting!C",MATCH(B14,Lifting!$AF:$AF,0)))),"",INDIRECT(CONCATENATE("Lifting!C",MATCH(B14,Lifting!$AF:$AF,0))))</f>
        <v/>
      </c>
      <c r="L14" s="141" t="str">
        <f ca="1">IF(OR($L$7="Best Bench",$L$7="Best Deadlift",$L$7="Push Pull Total"),"",IF(K14="","",INDIRECT(CONCATENATE("Lifting!O",MATCH(B14,Lifting!$AF:$AF,0)))))</f>
        <v/>
      </c>
      <c r="M14" s="141" t="str">
        <f ca="1">IF(OR($L$7="Best Squat",$L$7="Best Deadlift"),"",IF(K14="","",INDIRECT(CONCATENATE("Lifting!U",MATCH(B14,Lifting!$AF:$AF,0)))))</f>
        <v/>
      </c>
      <c r="N14" s="141" t="str">
        <f ca="1">IF(OR($L$7="Best Bench",$L$7="Best Squat"),"",IF(K14="","",INDIRECT(CONCATENATE("Lifting!AA",MATCH(B14,Lifting!$AF:$AF,0)))))</f>
        <v/>
      </c>
      <c r="O14" s="141" t="str">
        <f ca="1">IF(OR($L$7="Best Bench",$L$7="Best Deadlift",$L$7="Best Deadlift"),"",IF(K14="","",INDIRECT(CONCATENATE("Lifting!AB",MATCH(B14,Lifting!$AF:$AF,0)))))</f>
        <v/>
      </c>
      <c r="P14" s="134" t="e">
        <f ca="1">IF(OR($B$9=1,K14=""),"",INDIRECT(CONCATENATE(CONCATENATE("Lifting!",IF($B$9=2,"AC","AD"),MATCH(B14,Lifting!$AF:$AF,0)))))</f>
        <v>#N/A</v>
      </c>
      <c r="R14" s="130"/>
      <c r="S14" s="131"/>
      <c r="T14" s="131"/>
      <c r="U14" s="131"/>
      <c r="V14" s="131"/>
      <c r="W14" s="131"/>
      <c r="X14" s="131"/>
      <c r="Y14" s="136"/>
      <c r="Z14" s="136"/>
      <c r="AA14" s="131"/>
      <c r="AB14" s="131"/>
      <c r="AC14" s="130"/>
      <c r="AD14" s="130"/>
      <c r="AH14" s="144"/>
    </row>
    <row r="15" spans="1:34" s="135" customFormat="1" ht="36" customHeight="1" x14ac:dyDescent="0.25">
      <c r="A15" s="140"/>
      <c r="B15" s="129"/>
      <c r="C15" s="128"/>
      <c r="D15" s="128"/>
      <c r="E15" s="128"/>
      <c r="F15" s="128"/>
      <c r="G15" s="128"/>
      <c r="H15" s="128"/>
      <c r="I15" s="128"/>
      <c r="J15" s="145"/>
      <c r="K15" s="146"/>
      <c r="L15" s="145"/>
      <c r="M15" s="145"/>
      <c r="N15" s="145"/>
      <c r="O15" s="145"/>
      <c r="P15" s="147"/>
      <c r="R15" s="130"/>
      <c r="S15" s="131"/>
      <c r="T15" s="131"/>
      <c r="U15" s="131"/>
      <c r="V15" s="131"/>
      <c r="W15" s="131"/>
      <c r="X15" s="131"/>
      <c r="Y15" s="136"/>
      <c r="Z15" s="136"/>
      <c r="AA15" s="131"/>
      <c r="AB15" s="131"/>
      <c r="AC15" s="130"/>
      <c r="AD15" s="130"/>
      <c r="AH15" s="144"/>
    </row>
    <row r="16" spans="1:34" s="135" customFormat="1" ht="36" customHeight="1" x14ac:dyDescent="0.25">
      <c r="A16" s="140"/>
      <c r="B16" s="129"/>
      <c r="C16" s="128"/>
      <c r="D16" s="128"/>
      <c r="E16" s="128"/>
      <c r="F16" s="128"/>
      <c r="G16" s="128"/>
      <c r="H16" s="128"/>
      <c r="I16" s="128"/>
      <c r="J16" s="145"/>
      <c r="K16" s="146"/>
      <c r="L16" s="145"/>
      <c r="M16" s="145"/>
      <c r="N16" s="145"/>
      <c r="O16" s="145"/>
      <c r="P16" s="147"/>
      <c r="R16" s="130"/>
      <c r="S16" s="131"/>
      <c r="T16" s="131"/>
      <c r="U16" s="131"/>
      <c r="V16" s="131"/>
      <c r="W16" s="131"/>
      <c r="X16" s="131"/>
      <c r="Y16" s="136"/>
      <c r="Z16" s="136"/>
      <c r="AA16" s="131"/>
      <c r="AB16" s="131"/>
      <c r="AC16" s="130"/>
      <c r="AD16" s="130"/>
    </row>
    <row r="17" spans="1:30" s="135" customFormat="1" ht="36" customHeight="1" x14ac:dyDescent="0.25">
      <c r="A17" s="140"/>
      <c r="B17" s="129"/>
      <c r="C17" s="128"/>
      <c r="D17" s="128"/>
      <c r="E17" s="128"/>
      <c r="F17" s="128"/>
      <c r="G17" s="128"/>
      <c r="H17" s="128"/>
      <c r="I17" s="128"/>
      <c r="J17" s="145"/>
      <c r="K17" s="146"/>
      <c r="L17" s="145"/>
      <c r="M17" s="145"/>
      <c r="N17" s="145"/>
      <c r="O17" s="145"/>
      <c r="P17" s="147"/>
      <c r="R17" s="130"/>
      <c r="S17" s="131"/>
      <c r="T17" s="131"/>
      <c r="U17" s="131"/>
      <c r="V17" s="131"/>
      <c r="W17" s="131"/>
      <c r="X17" s="131"/>
      <c r="Y17" s="136"/>
      <c r="Z17" s="136"/>
      <c r="AA17" s="131"/>
      <c r="AB17" s="131"/>
      <c r="AC17" s="130"/>
      <c r="AD17" s="130"/>
    </row>
    <row r="18" spans="1:30" s="135" customFormat="1" ht="36" customHeight="1" x14ac:dyDescent="0.25">
      <c r="A18" s="140"/>
      <c r="B18" s="129"/>
      <c r="C18" s="128"/>
      <c r="D18" s="128"/>
      <c r="E18" s="128"/>
      <c r="F18" s="128"/>
      <c r="G18" s="128"/>
      <c r="H18" s="128"/>
      <c r="I18" s="128"/>
      <c r="J18" s="145"/>
      <c r="K18" s="146"/>
      <c r="L18" s="145"/>
      <c r="M18" s="145"/>
      <c r="N18" s="145"/>
      <c r="O18" s="145"/>
      <c r="P18" s="147"/>
      <c r="R18" s="130"/>
      <c r="S18" s="131"/>
      <c r="T18" s="131"/>
      <c r="U18" s="131"/>
      <c r="V18" s="131"/>
      <c r="W18" s="131"/>
      <c r="X18" s="131"/>
      <c r="Y18" s="136"/>
      <c r="Z18" s="136"/>
      <c r="AA18" s="131"/>
      <c r="AB18" s="131"/>
      <c r="AC18" s="130"/>
      <c r="AD18" s="130"/>
    </row>
    <row r="19" spans="1:30" s="135" customFormat="1" ht="36" customHeight="1" x14ac:dyDescent="0.25">
      <c r="A19" s="140"/>
      <c r="B19" s="129"/>
      <c r="C19" s="128"/>
      <c r="D19" s="128"/>
      <c r="E19" s="128"/>
      <c r="F19" s="128"/>
      <c r="G19" s="128"/>
      <c r="H19" s="128"/>
      <c r="I19" s="128"/>
      <c r="J19" s="145"/>
      <c r="K19" s="146"/>
      <c r="L19" s="145"/>
      <c r="M19" s="145"/>
      <c r="N19" s="145"/>
      <c r="O19" s="145"/>
      <c r="P19" s="147"/>
      <c r="R19" s="130"/>
      <c r="S19" s="131"/>
      <c r="T19" s="131"/>
      <c r="U19" s="131"/>
      <c r="V19" s="131"/>
      <c r="W19" s="131"/>
      <c r="X19" s="131"/>
      <c r="Y19" s="136"/>
      <c r="Z19" s="136"/>
      <c r="AA19" s="131"/>
      <c r="AB19" s="131"/>
      <c r="AC19" s="130"/>
      <c r="AD19" s="130"/>
    </row>
    <row r="20" spans="1:30" s="135" customFormat="1" ht="36" customHeight="1" x14ac:dyDescent="0.25">
      <c r="A20" s="140"/>
      <c r="B20" s="129"/>
      <c r="C20" s="128"/>
      <c r="D20" s="128"/>
      <c r="E20" s="128"/>
      <c r="F20" s="128"/>
      <c r="G20" s="128"/>
      <c r="H20" s="128"/>
      <c r="I20" s="128"/>
      <c r="J20" s="145"/>
      <c r="K20" s="146"/>
      <c r="L20" s="145"/>
      <c r="M20" s="145"/>
      <c r="N20" s="145"/>
      <c r="O20" s="145"/>
      <c r="P20" s="147"/>
      <c r="R20" s="130"/>
      <c r="S20" s="131"/>
      <c r="T20" s="131"/>
      <c r="U20" s="131"/>
      <c r="V20" s="131"/>
      <c r="W20" s="131"/>
      <c r="X20" s="131"/>
      <c r="Y20" s="136"/>
      <c r="Z20" s="136"/>
      <c r="AA20" s="131"/>
      <c r="AB20" s="131"/>
      <c r="AC20" s="130"/>
      <c r="AD20" s="130"/>
    </row>
    <row r="21" spans="1:30" s="135" customFormat="1" ht="36" customHeight="1" x14ac:dyDescent="0.25">
      <c r="A21" s="140"/>
      <c r="B21" s="129"/>
      <c r="C21" s="128"/>
      <c r="D21" s="128"/>
      <c r="E21" s="128"/>
      <c r="F21" s="128"/>
      <c r="G21" s="128"/>
      <c r="H21" s="128"/>
      <c r="I21" s="128"/>
      <c r="J21" s="145"/>
      <c r="K21" s="146"/>
      <c r="L21" s="145"/>
      <c r="M21" s="145"/>
      <c r="N21" s="145"/>
      <c r="O21" s="145"/>
      <c r="P21" s="147"/>
      <c r="R21" s="130"/>
      <c r="S21" s="131"/>
      <c r="T21" s="131"/>
      <c r="U21" s="131"/>
      <c r="V21" s="131"/>
      <c r="W21" s="131"/>
      <c r="X21" s="131"/>
      <c r="Y21" s="136"/>
      <c r="Z21" s="136"/>
      <c r="AA21" s="131"/>
      <c r="AB21" s="131"/>
      <c r="AC21" s="130"/>
      <c r="AD21" s="130"/>
    </row>
    <row r="22" spans="1:30" s="135" customFormat="1" ht="36" customHeight="1" x14ac:dyDescent="0.25">
      <c r="A22" s="140"/>
      <c r="B22" s="129"/>
      <c r="C22" s="148"/>
      <c r="D22" s="148"/>
      <c r="E22" s="148"/>
      <c r="F22" s="148"/>
      <c r="G22" s="148"/>
      <c r="H22" s="148"/>
      <c r="I22" s="148"/>
      <c r="J22" s="145"/>
      <c r="K22" s="146"/>
      <c r="L22" s="145"/>
      <c r="M22" s="145"/>
      <c r="N22" s="145"/>
      <c r="O22" s="145"/>
      <c r="P22" s="147"/>
      <c r="R22" s="130"/>
      <c r="S22" s="131"/>
      <c r="T22" s="131"/>
      <c r="U22" s="131"/>
      <c r="V22" s="131"/>
      <c r="W22" s="131"/>
      <c r="X22" s="131"/>
      <c r="Y22" s="136"/>
      <c r="Z22" s="136"/>
      <c r="AA22" s="131"/>
      <c r="AB22" s="131"/>
      <c r="AC22" s="130"/>
      <c r="AD22" s="130"/>
    </row>
    <row r="23" spans="1:30" s="135" customFormat="1" ht="36" customHeight="1" x14ac:dyDescent="0.25">
      <c r="A23" s="140"/>
      <c r="B23" s="129"/>
      <c r="C23" s="148"/>
      <c r="D23" s="148"/>
      <c r="E23" s="148"/>
      <c r="F23" s="148"/>
      <c r="G23" s="148"/>
      <c r="H23" s="148"/>
      <c r="I23" s="148"/>
      <c r="J23" s="145"/>
      <c r="K23" s="146"/>
      <c r="L23" s="145"/>
      <c r="M23" s="145"/>
      <c r="N23" s="145"/>
      <c r="O23" s="145"/>
      <c r="P23" s="147"/>
      <c r="R23" s="130"/>
      <c r="S23" s="131"/>
      <c r="T23" s="131"/>
      <c r="U23" s="131"/>
      <c r="V23" s="131"/>
      <c r="W23" s="131"/>
      <c r="X23" s="131"/>
      <c r="Y23" s="136"/>
      <c r="Z23" s="136"/>
      <c r="AA23" s="131"/>
      <c r="AB23" s="131"/>
      <c r="AC23" s="130"/>
      <c r="AD23" s="130"/>
    </row>
    <row r="24" spans="1:30" s="135" customFormat="1" ht="36" customHeight="1" x14ac:dyDescent="0.25">
      <c r="A24" s="140"/>
      <c r="B24" s="129"/>
      <c r="C24" s="148"/>
      <c r="D24" s="148"/>
      <c r="E24" s="148"/>
      <c r="F24" s="148"/>
      <c r="G24" s="148"/>
      <c r="H24" s="148"/>
      <c r="I24" s="148"/>
      <c r="J24" s="145"/>
      <c r="K24" s="146"/>
      <c r="L24" s="145"/>
      <c r="M24" s="145"/>
      <c r="N24" s="145"/>
      <c r="O24" s="145"/>
      <c r="P24" s="147"/>
      <c r="R24" s="130"/>
      <c r="S24" s="131"/>
      <c r="T24" s="131"/>
      <c r="U24" s="131"/>
      <c r="V24" s="131"/>
      <c r="W24" s="131"/>
      <c r="X24" s="131"/>
      <c r="Y24" s="136"/>
      <c r="Z24" s="136"/>
      <c r="AA24" s="131"/>
      <c r="AB24" s="131"/>
      <c r="AC24" s="130"/>
      <c r="AD24" s="130"/>
    </row>
    <row r="25" spans="1:30" s="135" customFormat="1" ht="36" customHeight="1" x14ac:dyDescent="0.25">
      <c r="A25" s="140"/>
      <c r="B25" s="129"/>
      <c r="C25" s="148"/>
      <c r="D25" s="148"/>
      <c r="E25" s="148"/>
      <c r="F25" s="148"/>
      <c r="G25" s="148"/>
      <c r="H25" s="148"/>
      <c r="I25" s="148"/>
      <c r="J25" s="145"/>
      <c r="K25" s="146"/>
      <c r="L25" s="145"/>
      <c r="M25" s="145"/>
      <c r="N25" s="145"/>
      <c r="O25" s="145"/>
      <c r="P25" s="147"/>
      <c r="R25" s="130"/>
      <c r="S25" s="131"/>
      <c r="T25" s="131"/>
      <c r="U25" s="131"/>
      <c r="V25" s="131"/>
      <c r="W25" s="131"/>
      <c r="X25" s="131"/>
      <c r="Y25" s="136"/>
      <c r="Z25" s="136"/>
      <c r="AA25" s="131"/>
      <c r="AB25" s="131"/>
      <c r="AC25" s="130"/>
      <c r="AD25" s="130"/>
    </row>
    <row r="26" spans="1:30" s="135" customFormat="1" ht="36" customHeight="1" x14ac:dyDescent="0.25">
      <c r="A26" s="140"/>
      <c r="B26" s="129"/>
      <c r="C26" s="148"/>
      <c r="D26" s="148"/>
      <c r="E26" s="148"/>
      <c r="F26" s="148"/>
      <c r="G26" s="148"/>
      <c r="H26" s="148"/>
      <c r="I26" s="148"/>
      <c r="J26" s="145"/>
      <c r="K26" s="146"/>
      <c r="L26" s="145"/>
      <c r="M26" s="145"/>
      <c r="N26" s="145"/>
      <c r="O26" s="145"/>
      <c r="P26" s="147"/>
      <c r="R26" s="130"/>
      <c r="S26" s="131"/>
      <c r="T26" s="131"/>
      <c r="U26" s="131"/>
      <c r="V26" s="131"/>
      <c r="W26" s="131"/>
      <c r="X26" s="131"/>
      <c r="Y26" s="136"/>
      <c r="Z26" s="136"/>
      <c r="AA26" s="131"/>
      <c r="AB26" s="131"/>
      <c r="AC26" s="130"/>
      <c r="AD26" s="130"/>
    </row>
    <row r="27" spans="1:30" s="135" customFormat="1" ht="36" customHeight="1" x14ac:dyDescent="0.25">
      <c r="A27" s="140"/>
      <c r="B27" s="129"/>
      <c r="C27" s="148"/>
      <c r="D27" s="148"/>
      <c r="E27" s="148"/>
      <c r="F27" s="148"/>
      <c r="G27" s="148"/>
      <c r="H27" s="148"/>
      <c r="I27" s="148"/>
      <c r="J27" s="145"/>
      <c r="K27" s="146"/>
      <c r="L27" s="145"/>
      <c r="M27" s="145"/>
      <c r="N27" s="145"/>
      <c r="O27" s="145"/>
      <c r="P27" s="147"/>
      <c r="R27" s="130"/>
      <c r="S27" s="131"/>
      <c r="T27" s="131"/>
      <c r="U27" s="131"/>
      <c r="V27" s="131"/>
      <c r="W27" s="131"/>
      <c r="X27" s="131"/>
      <c r="Y27" s="136"/>
      <c r="Z27" s="136"/>
      <c r="AA27" s="131"/>
      <c r="AB27" s="131"/>
      <c r="AC27" s="130"/>
      <c r="AD27" s="130"/>
    </row>
    <row r="28" spans="1:30" s="135" customFormat="1" ht="36" customHeight="1" x14ac:dyDescent="0.25">
      <c r="A28" s="140"/>
      <c r="B28" s="129"/>
      <c r="C28" s="148"/>
      <c r="D28" s="148"/>
      <c r="E28" s="148"/>
      <c r="F28" s="148"/>
      <c r="G28" s="148"/>
      <c r="H28" s="148"/>
      <c r="I28" s="148"/>
      <c r="J28" s="145"/>
      <c r="K28" s="146"/>
      <c r="L28" s="145"/>
      <c r="M28" s="145"/>
      <c r="N28" s="145"/>
      <c r="O28" s="145"/>
      <c r="P28" s="147"/>
      <c r="R28" s="130"/>
      <c r="S28" s="131"/>
      <c r="T28" s="131"/>
      <c r="U28" s="131"/>
      <c r="V28" s="131"/>
      <c r="W28" s="131"/>
      <c r="X28" s="131"/>
      <c r="Y28" s="136"/>
      <c r="Z28" s="136"/>
      <c r="AA28" s="131"/>
      <c r="AB28" s="131"/>
      <c r="AC28" s="130"/>
      <c r="AD28" s="130"/>
    </row>
    <row r="29" spans="1:30" s="135" customFormat="1" ht="36" customHeight="1" x14ac:dyDescent="0.25">
      <c r="A29" s="140"/>
      <c r="B29" s="129"/>
      <c r="C29" s="148"/>
      <c r="D29" s="148"/>
      <c r="E29" s="148"/>
      <c r="F29" s="148"/>
      <c r="G29" s="148"/>
      <c r="H29" s="148"/>
      <c r="I29" s="148"/>
      <c r="J29" s="145"/>
      <c r="K29" s="146"/>
      <c r="L29" s="145"/>
      <c r="M29" s="145"/>
      <c r="N29" s="145"/>
      <c r="O29" s="145"/>
      <c r="P29" s="147"/>
      <c r="R29" s="130"/>
      <c r="S29" s="131"/>
      <c r="T29" s="131"/>
      <c r="U29" s="131"/>
      <c r="V29" s="131"/>
      <c r="W29" s="131"/>
      <c r="X29" s="131"/>
      <c r="Y29" s="136"/>
      <c r="Z29" s="136"/>
      <c r="AA29" s="131"/>
      <c r="AB29" s="131"/>
      <c r="AC29" s="130"/>
      <c r="AD29" s="130"/>
    </row>
    <row r="30" spans="1:30" x14ac:dyDescent="0.25">
      <c r="Y30" s="136"/>
      <c r="Z30" s="136"/>
    </row>
    <row r="31" spans="1:30" x14ac:dyDescent="0.25">
      <c r="Y31" s="136"/>
      <c r="Z31" s="136"/>
    </row>
    <row r="32" spans="1:30" x14ac:dyDescent="0.25">
      <c r="Y32" s="136"/>
      <c r="Z32" s="136"/>
    </row>
    <row r="33" spans="25:26" x14ac:dyDescent="0.25">
      <c r="Y33" s="136"/>
      <c r="Z33" s="136"/>
    </row>
    <row r="34" spans="25:26" x14ac:dyDescent="0.25">
      <c r="Y34" s="136"/>
      <c r="Z34" s="136"/>
    </row>
    <row r="35" spans="25:26" x14ac:dyDescent="0.25">
      <c r="Y35" s="136"/>
      <c r="Z35" s="136"/>
    </row>
    <row r="36" spans="25:26" x14ac:dyDescent="0.25">
      <c r="Y36" s="136"/>
      <c r="Z36" s="136"/>
    </row>
    <row r="37" spans="25:26" x14ac:dyDescent="0.25">
      <c r="Y37" s="136"/>
      <c r="Z37" s="136"/>
    </row>
    <row r="38" spans="25:26" x14ac:dyDescent="0.25">
      <c r="Y38" s="136"/>
      <c r="Z38" s="136"/>
    </row>
    <row r="39" spans="25:26" x14ac:dyDescent="0.25">
      <c r="Y39" s="136"/>
      <c r="Z39" s="136"/>
    </row>
    <row r="40" spans="25:26" x14ac:dyDescent="0.25">
      <c r="Y40" s="136"/>
      <c r="Z40" s="136"/>
    </row>
    <row r="41" spans="25:26" x14ac:dyDescent="0.25">
      <c r="Y41" s="136"/>
      <c r="Z41" s="136"/>
    </row>
    <row r="42" spans="25:26" x14ac:dyDescent="0.25">
      <c r="Y42" s="136"/>
      <c r="Z42" s="136"/>
    </row>
    <row r="43" spans="25:26" x14ac:dyDescent="0.25">
      <c r="Y43" s="136"/>
      <c r="Z43" s="136"/>
    </row>
    <row r="44" spans="25:26" x14ac:dyDescent="0.25">
      <c r="Y44" s="136"/>
      <c r="Z44" s="136"/>
    </row>
    <row r="45" spans="25:26" x14ac:dyDescent="0.25">
      <c r="Y45" s="136"/>
      <c r="Z45" s="136"/>
    </row>
    <row r="46" spans="25:26" x14ac:dyDescent="0.25">
      <c r="Y46" s="136"/>
      <c r="Z46" s="136"/>
    </row>
    <row r="47" spans="25:26" x14ac:dyDescent="0.25">
      <c r="Y47" s="136"/>
      <c r="Z47" s="136"/>
    </row>
    <row r="48" spans="25:26" x14ac:dyDescent="0.25">
      <c r="Y48" s="136"/>
      <c r="Z48" s="136"/>
    </row>
    <row r="49" spans="25:26" x14ac:dyDescent="0.25">
      <c r="Y49" s="136"/>
      <c r="Z49" s="136"/>
    </row>
    <row r="50" spans="25:26" x14ac:dyDescent="0.25">
      <c r="Y50" s="136"/>
      <c r="Z50" s="136"/>
    </row>
    <row r="51" spans="25:26" x14ac:dyDescent="0.25">
      <c r="Y51" s="136"/>
      <c r="Z51" s="136"/>
    </row>
    <row r="52" spans="25:26" x14ac:dyDescent="0.25">
      <c r="Y52" s="136"/>
      <c r="Z52" s="136"/>
    </row>
    <row r="53" spans="25:26" x14ac:dyDescent="0.25">
      <c r="Y53" s="136"/>
      <c r="Z53" s="136"/>
    </row>
    <row r="54" spans="25:26" x14ac:dyDescent="0.25">
      <c r="Y54" s="136"/>
      <c r="Z54" s="136"/>
    </row>
    <row r="55" spans="25:26" x14ac:dyDescent="0.25">
      <c r="Y55" s="136"/>
      <c r="Z55" s="136"/>
    </row>
    <row r="56" spans="25:26" x14ac:dyDescent="0.25">
      <c r="Y56" s="136"/>
      <c r="Z56" s="136"/>
    </row>
    <row r="57" spans="25:26" x14ac:dyDescent="0.25">
      <c r="Y57" s="136"/>
      <c r="Z57" s="136"/>
    </row>
    <row r="58" spans="25:26" x14ac:dyDescent="0.25">
      <c r="Y58" s="136"/>
      <c r="Z58" s="136"/>
    </row>
    <row r="59" spans="25:26" x14ac:dyDescent="0.25">
      <c r="Y59" s="136"/>
      <c r="Z59" s="136"/>
    </row>
    <row r="60" spans="25:26" x14ac:dyDescent="0.25">
      <c r="Y60" s="136"/>
      <c r="Z60" s="136"/>
    </row>
    <row r="61" spans="25:26" x14ac:dyDescent="0.25">
      <c r="Y61" s="136"/>
      <c r="Z61" s="136"/>
    </row>
    <row r="62" spans="25:26" x14ac:dyDescent="0.25">
      <c r="Y62" s="136"/>
      <c r="Z62" s="136"/>
    </row>
    <row r="63" spans="25:26" x14ac:dyDescent="0.25">
      <c r="Y63" s="136"/>
      <c r="Z63" s="136"/>
    </row>
    <row r="64" spans="25:26" x14ac:dyDescent="0.25">
      <c r="Y64" s="136"/>
      <c r="Z64" s="136"/>
    </row>
    <row r="65" spans="25:26" x14ac:dyDescent="0.25">
      <c r="Y65" s="136"/>
      <c r="Z65" s="136"/>
    </row>
    <row r="66" spans="25:26" x14ac:dyDescent="0.25">
      <c r="Y66" s="136"/>
      <c r="Z66" s="136"/>
    </row>
    <row r="67" spans="25:26" x14ac:dyDescent="0.25">
      <c r="Y67" s="136"/>
      <c r="Z67" s="136"/>
    </row>
    <row r="68" spans="25:26" x14ac:dyDescent="0.25">
      <c r="Y68" s="136"/>
      <c r="Z68" s="136"/>
    </row>
    <row r="69" spans="25:26" x14ac:dyDescent="0.25">
      <c r="Y69" s="136"/>
      <c r="Z69" s="136"/>
    </row>
    <row r="70" spans="25:26" x14ac:dyDescent="0.25">
      <c r="Y70" s="136"/>
      <c r="Z70" s="136"/>
    </row>
    <row r="71" spans="25:26" x14ac:dyDescent="0.25">
      <c r="Y71" s="136"/>
      <c r="Z71" s="136"/>
    </row>
    <row r="72" spans="25:26" x14ac:dyDescent="0.25">
      <c r="Y72" s="136"/>
      <c r="Z72" s="136"/>
    </row>
    <row r="73" spans="25:26" x14ac:dyDescent="0.25">
      <c r="Y73" s="136"/>
      <c r="Z73" s="136"/>
    </row>
    <row r="74" spans="25:26" x14ac:dyDescent="0.25">
      <c r="Y74" s="136"/>
      <c r="Z74" s="136"/>
    </row>
    <row r="75" spans="25:26" x14ac:dyDescent="0.25">
      <c r="Y75" s="136"/>
      <c r="Z75" s="136"/>
    </row>
    <row r="76" spans="25:26" x14ac:dyDescent="0.25">
      <c r="Y76" s="136"/>
      <c r="Z76" s="136"/>
    </row>
    <row r="77" spans="25:26" x14ac:dyDescent="0.25">
      <c r="Y77" s="136"/>
      <c r="Z77" s="136"/>
    </row>
    <row r="78" spans="25:26" x14ac:dyDescent="0.25">
      <c r="Y78" s="136"/>
      <c r="Z78" s="136"/>
    </row>
    <row r="79" spans="25:26" x14ac:dyDescent="0.25">
      <c r="Y79" s="136"/>
      <c r="Z79" s="136"/>
    </row>
    <row r="80" spans="25:26" x14ac:dyDescent="0.25">
      <c r="Y80" s="136"/>
      <c r="Z80" s="136"/>
    </row>
    <row r="81" spans="25:26" x14ac:dyDescent="0.25">
      <c r="Y81" s="136"/>
      <c r="Z81" s="136"/>
    </row>
    <row r="82" spans="25:26" x14ac:dyDescent="0.25">
      <c r="Y82" s="136"/>
      <c r="Z82" s="136"/>
    </row>
    <row r="83" spans="25:26" x14ac:dyDescent="0.25">
      <c r="Y83" s="136"/>
      <c r="Z83" s="136"/>
    </row>
    <row r="84" spans="25:26" x14ac:dyDescent="0.25">
      <c r="Y84" s="136"/>
      <c r="Z84" s="136"/>
    </row>
    <row r="85" spans="25:26" x14ac:dyDescent="0.25">
      <c r="Y85" s="136"/>
      <c r="Z85" s="136"/>
    </row>
    <row r="86" spans="25:26" x14ac:dyDescent="0.25">
      <c r="Y86" s="136"/>
      <c r="Z86" s="136"/>
    </row>
    <row r="87" spans="25:26" x14ac:dyDescent="0.25">
      <c r="Y87" s="136"/>
      <c r="Z87" s="136"/>
    </row>
    <row r="88" spans="25:26" x14ac:dyDescent="0.25">
      <c r="Y88" s="136"/>
      <c r="Z88" s="136"/>
    </row>
    <row r="89" spans="25:26" x14ac:dyDescent="0.25">
      <c r="Y89" s="136"/>
      <c r="Z89" s="136"/>
    </row>
    <row r="90" spans="25:26" x14ac:dyDescent="0.25">
      <c r="Y90" s="136"/>
      <c r="Z90" s="136"/>
    </row>
    <row r="91" spans="25:26" x14ac:dyDescent="0.25">
      <c r="Y91" s="136"/>
      <c r="Z91" s="136"/>
    </row>
    <row r="92" spans="25:26" x14ac:dyDescent="0.25">
      <c r="Y92" s="136"/>
      <c r="Z92" s="136"/>
    </row>
    <row r="93" spans="25:26" x14ac:dyDescent="0.25">
      <c r="Y93" s="136"/>
      <c r="Z93" s="136"/>
    </row>
    <row r="94" spans="25:26" x14ac:dyDescent="0.25">
      <c r="Y94" s="136"/>
      <c r="Z94" s="136"/>
    </row>
    <row r="95" spans="25:26" x14ac:dyDescent="0.25">
      <c r="Y95" s="136"/>
      <c r="Z95" s="136"/>
    </row>
    <row r="96" spans="25:26" x14ac:dyDescent="0.25">
      <c r="Y96" s="136"/>
      <c r="Z96" s="136"/>
    </row>
    <row r="97" spans="25:26" x14ac:dyDescent="0.25">
      <c r="Y97" s="136"/>
      <c r="Z97" s="136"/>
    </row>
    <row r="98" spans="25:26" x14ac:dyDescent="0.25">
      <c r="Y98" s="136"/>
      <c r="Z98" s="136"/>
    </row>
    <row r="99" spans="25:26" x14ac:dyDescent="0.25">
      <c r="Y99" s="136"/>
      <c r="Z99" s="136"/>
    </row>
    <row r="100" spans="25:26" x14ac:dyDescent="0.25">
      <c r="Y100" s="136"/>
      <c r="Z100" s="136"/>
    </row>
    <row r="101" spans="25:26" x14ac:dyDescent="0.25">
      <c r="Y101" s="136"/>
      <c r="Z101" s="136"/>
    </row>
    <row r="102" spans="25:26" x14ac:dyDescent="0.25">
      <c r="Y102" s="136"/>
      <c r="Z102" s="136"/>
    </row>
    <row r="103" spans="25:26" x14ac:dyDescent="0.25">
      <c r="Y103" s="136"/>
      <c r="Z103" s="136"/>
    </row>
    <row r="104" spans="25:26" x14ac:dyDescent="0.25">
      <c r="Y104" s="136"/>
      <c r="Z104" s="136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/>
    <dataValidation type="list" allowBlank="1" showInputMessage="1" showErrorMessage="1" promptTitle="Mens/Womens Weight Classes" prompt="Make a selection from the Division menu first so the program can choose the Men's or Women's weight classes." sqref="J7">
      <formula1>INDIRECT($B$7)</formula1>
    </dataValidation>
    <dataValidation type="list" allowBlank="1" showInputMessage="1" showErrorMessage="1" sqref="J6">
      <formula1>INDIRECT($B$6)</formula1>
    </dataValidation>
    <dataValidation type="list" allowBlank="1" showInputMessage="1" showErrorMessage="1" sqref="L7:O7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8"/>
  <sheetViews>
    <sheetView workbookViewId="0"/>
  </sheetViews>
  <sheetFormatPr defaultRowHeight="13.2" x14ac:dyDescent="0.25"/>
  <sheetData>
    <row r="2" spans="2:14" x14ac:dyDescent="0.25">
      <c r="B2" s="401" t="s">
        <v>127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2:14" x14ac:dyDescent="0.25">
      <c r="B3" s="401" t="s">
        <v>128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2:14" x14ac:dyDescent="0.25">
      <c r="B4" s="401" t="s">
        <v>45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2:14" x14ac:dyDescent="0.25"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</row>
    <row r="6" spans="2:14" x14ac:dyDescent="0.25">
      <c r="B6" s="401" t="s">
        <v>130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2:14" x14ac:dyDescent="0.25">
      <c r="B7" s="401" t="s">
        <v>129</v>
      </c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</row>
    <row r="8" spans="2:14" x14ac:dyDescent="0.25"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</row>
    <row r="9" spans="2:14" x14ac:dyDescent="0.25">
      <c r="B9" s="401" t="s">
        <v>46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</row>
    <row r="10" spans="2:14" x14ac:dyDescent="0.25">
      <c r="B10" s="401" t="s">
        <v>132</v>
      </c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</row>
    <row r="11" spans="2:14" x14ac:dyDescent="0.25">
      <c r="B11" s="401" t="s">
        <v>47</v>
      </c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</row>
    <row r="12" spans="2:14" x14ac:dyDescent="0.25">
      <c r="B12" s="401" t="s">
        <v>131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</row>
    <row r="13" spans="2:14" x14ac:dyDescent="0.25">
      <c r="B13" s="401" t="s">
        <v>48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</row>
    <row r="14" spans="2:14" x14ac:dyDescent="0.25">
      <c r="B14" s="13"/>
    </row>
    <row r="15" spans="2:14" x14ac:dyDescent="0.25">
      <c r="B15" s="13" t="s">
        <v>49</v>
      </c>
    </row>
    <row r="16" spans="2:14" x14ac:dyDescent="0.25">
      <c r="B16" s="13"/>
    </row>
    <row r="17" spans="2:7" x14ac:dyDescent="0.25">
      <c r="B17" s="13" t="s">
        <v>50</v>
      </c>
    </row>
    <row r="18" spans="2:7" x14ac:dyDescent="0.25">
      <c r="B18" t="s">
        <v>51</v>
      </c>
    </row>
    <row r="20" spans="2:7" x14ac:dyDescent="0.25">
      <c r="B20" t="s">
        <v>52</v>
      </c>
    </row>
    <row r="21" spans="2:7" x14ac:dyDescent="0.25">
      <c r="B21" t="s">
        <v>53</v>
      </c>
      <c r="C21" s="14" t="s">
        <v>54</v>
      </c>
    </row>
    <row r="22" spans="2:7" x14ac:dyDescent="0.25">
      <c r="B22" t="s">
        <v>55</v>
      </c>
      <c r="C22" s="14" t="s">
        <v>56</v>
      </c>
    </row>
    <row r="24" spans="2:7" x14ac:dyDescent="0.25">
      <c r="B24" t="s">
        <v>57</v>
      </c>
    </row>
    <row r="25" spans="2:7" x14ac:dyDescent="0.25">
      <c r="B25" t="s">
        <v>53</v>
      </c>
      <c r="C25" t="s">
        <v>58</v>
      </c>
    </row>
    <row r="26" spans="2:7" x14ac:dyDescent="0.25">
      <c r="B26" t="s">
        <v>55</v>
      </c>
      <c r="C26" t="s">
        <v>59</v>
      </c>
    </row>
    <row r="27" spans="2:7" x14ac:dyDescent="0.25">
      <c r="B27" t="s">
        <v>60</v>
      </c>
      <c r="C27" t="s">
        <v>74</v>
      </c>
    </row>
    <row r="28" spans="2:7" x14ac:dyDescent="0.25">
      <c r="G28" s="13"/>
    </row>
  </sheetData>
  <mergeCells count="12">
    <mergeCell ref="B6:N6"/>
    <mergeCell ref="B7:N7"/>
    <mergeCell ref="B2:N2"/>
    <mergeCell ref="B3:N3"/>
    <mergeCell ref="B4:N4"/>
    <mergeCell ref="B5:N5"/>
    <mergeCell ref="B8:N8"/>
    <mergeCell ref="B9:N9"/>
    <mergeCell ref="B13:N13"/>
    <mergeCell ref="B10:N10"/>
    <mergeCell ref="B11:N11"/>
    <mergeCell ref="B12:N12"/>
  </mergeCells>
  <phoneticPr fontId="0" type="noConversion"/>
  <hyperlinks>
    <hyperlink ref="C21" r:id="rId1"/>
    <hyperlink ref="C22" r:id="rId2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260"/>
  <sheetViews>
    <sheetView workbookViewId="0">
      <selection activeCell="K2" sqref="K2"/>
    </sheetView>
  </sheetViews>
  <sheetFormatPr defaultColWidth="9.109375" defaultRowHeight="12.75" customHeight="1" x14ac:dyDescent="0.25"/>
  <cols>
    <col min="1" max="1" width="9.6640625" style="190" customWidth="1"/>
    <col min="2" max="2" width="4.6640625" style="193" customWidth="1"/>
    <col min="3" max="3" width="4.6640625" style="194" customWidth="1"/>
    <col min="4" max="4" width="4.6640625" style="193" customWidth="1"/>
    <col min="5" max="5" width="4.6640625" style="194" customWidth="1"/>
    <col min="6" max="6" width="4.6640625" style="193" customWidth="1"/>
    <col min="7" max="7" width="4.6640625" style="194" customWidth="1"/>
    <col min="8" max="8" width="4.6640625" style="193" customWidth="1"/>
    <col min="9" max="9" width="4.6640625" style="194" customWidth="1"/>
    <col min="10" max="10" width="4.6640625" style="193" customWidth="1"/>
    <col min="11" max="11" width="7.33203125" style="194" customWidth="1"/>
    <col min="12" max="18" width="9.109375" style="190" hidden="1" customWidth="1"/>
    <col min="19" max="16384" width="9.109375" style="190"/>
  </cols>
  <sheetData>
    <row r="1" spans="1:17" s="184" customFormat="1" ht="25.5" customHeight="1" x14ac:dyDescent="0.25">
      <c r="A1" s="180" t="s">
        <v>140</v>
      </c>
      <c r="B1" s="181">
        <v>4</v>
      </c>
      <c r="C1" s="182">
        <v>0</v>
      </c>
      <c r="D1" s="181">
        <v>0</v>
      </c>
      <c r="E1" s="182">
        <v>16</v>
      </c>
      <c r="F1" s="181">
        <v>2</v>
      </c>
      <c r="G1" s="182">
        <v>2</v>
      </c>
      <c r="H1" s="181">
        <v>4</v>
      </c>
      <c r="I1" s="182">
        <v>2</v>
      </c>
      <c r="J1" s="181">
        <v>2</v>
      </c>
      <c r="K1" s="182" t="s">
        <v>141</v>
      </c>
      <c r="L1" s="183">
        <f>K2+B2*B1+C2*C1+D2*D1+E2*E1+F2*F1+G2*G1+H2*H1+I2*I1+J2*J1</f>
        <v>632.5</v>
      </c>
      <c r="M1" s="183"/>
    </row>
    <row r="2" spans="1:17" ht="12.75" customHeight="1" x14ac:dyDescent="0.25">
      <c r="A2" s="185" t="s">
        <v>75</v>
      </c>
      <c r="B2" s="186">
        <f>IF($A$2="Kilos",50,110)</f>
        <v>50</v>
      </c>
      <c r="C2" s="187">
        <f>IF($A$2="Kilos",45,100)</f>
        <v>45</v>
      </c>
      <c r="D2" s="186">
        <f>IF($A$2="Kilos",25,55)</f>
        <v>25</v>
      </c>
      <c r="E2" s="187">
        <f>IF($A$2="Kilos",20,45)</f>
        <v>20</v>
      </c>
      <c r="F2" s="186">
        <f>IF($A$2="Kilos",15,35)</f>
        <v>15</v>
      </c>
      <c r="G2" s="187">
        <f>IF($A$2="Kilos",10,25)</f>
        <v>10</v>
      </c>
      <c r="H2" s="186">
        <f>IF($A$2="Kilos",5,10)</f>
        <v>5</v>
      </c>
      <c r="I2" s="187">
        <f>IF($A$2="Kilos",2.5,5)</f>
        <v>2.5</v>
      </c>
      <c r="J2" s="186">
        <f>IF($A$2="Kilos",1.25,2.5)</f>
        <v>1.25</v>
      </c>
      <c r="K2" s="188">
        <v>35</v>
      </c>
      <c r="L2" s="189" t="s">
        <v>142</v>
      </c>
      <c r="M2" s="189"/>
      <c r="O2" s="190">
        <f>IF($A$2="Pounds",P2,Q2)</f>
        <v>20</v>
      </c>
      <c r="P2" s="190">
        <v>45</v>
      </c>
      <c r="Q2" s="190">
        <v>20</v>
      </c>
    </row>
    <row r="3" spans="1:17" ht="12.75" customHeight="1" x14ac:dyDescent="0.25">
      <c r="A3" s="191" t="s">
        <v>143</v>
      </c>
      <c r="B3" s="186"/>
      <c r="C3" s="187"/>
      <c r="D3" s="186"/>
      <c r="E3" s="187"/>
      <c r="F3" s="186"/>
      <c r="G3" s="187"/>
      <c r="H3" s="186"/>
      <c r="I3" s="187"/>
      <c r="J3" s="186"/>
      <c r="K3" s="187"/>
      <c r="L3" s="189"/>
      <c r="M3" s="189" t="s">
        <v>144</v>
      </c>
      <c r="O3" s="190">
        <f>IF($A$2="Pounds",P3,Q3)</f>
        <v>22.5</v>
      </c>
      <c r="P3" s="190">
        <v>50</v>
      </c>
      <c r="Q3" s="190">
        <v>22.5</v>
      </c>
    </row>
    <row r="4" spans="1:17" ht="12.75" customHeight="1" x14ac:dyDescent="0.25">
      <c r="A4" s="191">
        <f>IF(M4+$K$2&gt;$L$1,0,M4+$K$2)</f>
        <v>35</v>
      </c>
      <c r="B4" s="186">
        <f>IF(A4=0,0,MIN($B$1/2,INT(M4/(2*$B$2))))</f>
        <v>0</v>
      </c>
      <c r="C4" s="187">
        <f>IF(A4=0,0,MIN($C$1/2,INT(($M4-2*$B4*$B$2)/(2*$C$2))))</f>
        <v>0</v>
      </c>
      <c r="D4" s="186">
        <f>IF(A4=0,0,MIN($D$1/2,INT(($M4-2*$B4*$B$2-2*$C4*$C$2)/(2*$D$2))))</f>
        <v>0</v>
      </c>
      <c r="E4" s="187">
        <f>IF(A4=0,0,MIN($E$1/2,INT(($M4-2*$B4*$B$2-2*$C4*$C$2-2*$D4*$D$2)/(2*$E$2))))</f>
        <v>0</v>
      </c>
      <c r="F4" s="186">
        <f>IF(A4=0,0,MIN($F$1/2,INT(($M4-2*$B4*$B$2-2*$C4*$C$2-2*$D4*$D$2-2*$E4*$E$2)/(2*$F$2))))</f>
        <v>0</v>
      </c>
      <c r="G4" s="187">
        <f>IF(A4=0,0,MIN($G$1/2,INT(($M4-2*$B4*$B$2-2*$C4*$C$2-2*$D4*$D$2-2*$E4*$E$2-2*$F4*$F$2)/(2*$G$2))))</f>
        <v>0</v>
      </c>
      <c r="H4" s="186">
        <f>IF(A4=0,0,MIN($H$1/2,INT(($M4-2*$B4*$B$2-2*$C4*$C$2-2*$D4*$D$2-2*$E4*$E$2-2*$F4*$F$2-2*$G4*$G$2)/(2*$H$2))))</f>
        <v>0</v>
      </c>
      <c r="I4" s="187">
        <f>IF(A4=0,0,MIN($I$1/2,INT(($M4-2*$B4*$B$2-2*$C4*$C$2-2*$D4*$D$2-2*$E4*$E$2-2*$F4*$F$2-2*$G4*$G$2-2*$H4*$H$2)/(2*$I$2))))</f>
        <v>0</v>
      </c>
      <c r="J4" s="186">
        <f>IF(A4=0,0,MIN($J$1/2,INT(($M4-2*$B4*$B$2-2*$C4*$C$2-2*$D4*$D$2-2*$E4*$E$2-2*$F4*$F$2-2*$G4*$G$2-2*$H4*$H$2-2*$I4*$I$2)/(2*$J$2))))</f>
        <v>0</v>
      </c>
      <c r="K4" s="187"/>
      <c r="L4" s="189">
        <v>0</v>
      </c>
      <c r="M4" s="192">
        <v>0</v>
      </c>
      <c r="N4" s="190" t="str">
        <f>IF($K$2+2*(B4*$B$2+C4*$C$2+D4*$D$2+E4*$E$2+F4*$F$2+G4*$G$2+H4*$H$2+I4*$I$2+J4*$J$2)=A4,"","Not enough weight for this load")</f>
        <v/>
      </c>
      <c r="O4" s="190">
        <f>IF($A$2="Pounds",P4,Q4)</f>
        <v>25</v>
      </c>
      <c r="P4" s="190">
        <v>55</v>
      </c>
      <c r="Q4" s="190">
        <v>25</v>
      </c>
    </row>
    <row r="5" spans="1:17" ht="12.75" customHeight="1" x14ac:dyDescent="0.25">
      <c r="A5" s="191">
        <f t="shared" ref="A5:A68" si="0">IF(M5+$K$2&gt;$L$1,0,M5+$K$2)</f>
        <v>37.5</v>
      </c>
      <c r="B5" s="186">
        <f t="shared" ref="B5:B68" si="1">IF(A5=0,0,MIN($B$1/2,INT(M5/(2*$B$2))))</f>
        <v>0</v>
      </c>
      <c r="C5" s="187">
        <f t="shared" ref="C5:C68" si="2">IF(A5=0,0,MIN($C$1/2,INT(($M5-2*$B5*$B$2)/(2*$C$2))))</f>
        <v>0</v>
      </c>
      <c r="D5" s="186">
        <f t="shared" ref="D5:D68" si="3">IF(A5=0,0,MIN($D$1/2,INT(($M5-2*$B5*$B$2-2*$C5*$C$2)/(2*$D$2))))</f>
        <v>0</v>
      </c>
      <c r="E5" s="187">
        <f t="shared" ref="E5:E68" si="4">IF(A5=0,0,MIN($E$1/2,INT(($M5-2*$B5*$B$2-2*$C5*$C$2-2*$D5*$D$2)/(2*$E$2))))</f>
        <v>0</v>
      </c>
      <c r="F5" s="186">
        <f t="shared" ref="F5:F68" si="5">IF(A5=0,0,MIN($F$1/2,INT(($M5-2*$B5*$B$2-2*$C5*$C$2-2*$D5*$D$2-2*$E5*$E$2)/(2*$F$2))))</f>
        <v>0</v>
      </c>
      <c r="G5" s="187">
        <f t="shared" ref="G5:G68" si="6">IF(A5=0,0,MIN($G$1/2,INT(($M5-2*$B5*$B$2-2*$C5*$C$2-2*$D5*$D$2-2*$E5*$E$2-2*$F5*$F$2)/(2*$G$2))))</f>
        <v>0</v>
      </c>
      <c r="H5" s="186">
        <f t="shared" ref="H5:H68" si="7">IF(A5=0,0,MIN($H$1/2,INT(($M5-2*$B5*$B$2-2*$C5*$C$2-2*$D5*$D$2-2*$E5*$E$2-2*$F5*$F$2-2*$G5*$G$2)/(2*$H$2))))</f>
        <v>0</v>
      </c>
      <c r="I5" s="187">
        <f t="shared" ref="I5:I68" si="8">IF(A5=0,0,MIN($I$1/2,INT(($M5-2*$B5*$B$2-2*$C5*$C$2-2*$D5*$D$2-2*$E5*$E$2-2*$F5*$F$2-2*$G5*$G$2-2*$H5*$H$2)/(2*$I$2))))</f>
        <v>0</v>
      </c>
      <c r="J5" s="186">
        <f t="shared" ref="J5:J68" si="9">IF(A5=0,0,MIN($J$1/2,INT(($M5-2*$B5*$B$2-2*$C5*$C$2-2*$D5*$D$2-2*$E5*$E$2-2*$F5*$F$2-2*$G5*$G$2-2*$H5*$H$2-2*$I5*$I$2)/(2*$J$2))))</f>
        <v>1</v>
      </c>
      <c r="K5" s="187"/>
      <c r="L5" s="189">
        <v>1</v>
      </c>
      <c r="M5" s="189">
        <f t="shared" ref="M5:M68" si="10">IF($A$2="Pounds",5*L5,2.5*L5)</f>
        <v>2.5</v>
      </c>
      <c r="O5" s="190">
        <f>IF($A$2="Pounds",P5,Q5)</f>
        <v>30</v>
      </c>
      <c r="P5" s="190">
        <v>65</v>
      </c>
      <c r="Q5" s="190">
        <v>30</v>
      </c>
    </row>
    <row r="6" spans="1:17" ht="12.75" customHeight="1" x14ac:dyDescent="0.25">
      <c r="A6" s="191">
        <f t="shared" si="0"/>
        <v>40</v>
      </c>
      <c r="B6" s="186">
        <f t="shared" si="1"/>
        <v>0</v>
      </c>
      <c r="C6" s="187">
        <f t="shared" si="2"/>
        <v>0</v>
      </c>
      <c r="D6" s="186">
        <f t="shared" si="3"/>
        <v>0</v>
      </c>
      <c r="E6" s="187">
        <f t="shared" si="4"/>
        <v>0</v>
      </c>
      <c r="F6" s="186">
        <f t="shared" si="5"/>
        <v>0</v>
      </c>
      <c r="G6" s="187">
        <f t="shared" si="6"/>
        <v>0</v>
      </c>
      <c r="H6" s="186">
        <f t="shared" si="7"/>
        <v>0</v>
      </c>
      <c r="I6" s="187">
        <f t="shared" si="8"/>
        <v>1</v>
      </c>
      <c r="J6" s="186">
        <f t="shared" si="9"/>
        <v>0</v>
      </c>
      <c r="K6" s="187"/>
      <c r="L6" s="189">
        <v>2</v>
      </c>
      <c r="M6" s="189">
        <f t="shared" si="10"/>
        <v>5</v>
      </c>
      <c r="O6" s="190">
        <f>IF($A$2="Pounds",P6,Q6)</f>
        <v>32.5</v>
      </c>
      <c r="P6" s="190">
        <v>70</v>
      </c>
      <c r="Q6" s="190">
        <v>32.5</v>
      </c>
    </row>
    <row r="7" spans="1:17" ht="12.75" customHeight="1" x14ac:dyDescent="0.25">
      <c r="A7" s="191">
        <f t="shared" si="0"/>
        <v>42.5</v>
      </c>
      <c r="B7" s="186">
        <f t="shared" si="1"/>
        <v>0</v>
      </c>
      <c r="C7" s="187">
        <f t="shared" si="2"/>
        <v>0</v>
      </c>
      <c r="D7" s="186">
        <f t="shared" si="3"/>
        <v>0</v>
      </c>
      <c r="E7" s="187">
        <f t="shared" si="4"/>
        <v>0</v>
      </c>
      <c r="F7" s="186">
        <f t="shared" si="5"/>
        <v>0</v>
      </c>
      <c r="G7" s="187">
        <f t="shared" si="6"/>
        <v>0</v>
      </c>
      <c r="H7" s="186">
        <f t="shared" si="7"/>
        <v>0</v>
      </c>
      <c r="I7" s="187">
        <f t="shared" si="8"/>
        <v>1</v>
      </c>
      <c r="J7" s="186">
        <f t="shared" si="9"/>
        <v>1</v>
      </c>
      <c r="K7" s="187"/>
      <c r="L7" s="189">
        <v>3</v>
      </c>
      <c r="M7" s="189">
        <f t="shared" si="10"/>
        <v>7.5</v>
      </c>
      <c r="O7" s="190">
        <v>35</v>
      </c>
      <c r="P7" s="190">
        <v>75</v>
      </c>
      <c r="Q7" s="190">
        <v>35</v>
      </c>
    </row>
    <row r="8" spans="1:17" ht="12.75" customHeight="1" x14ac:dyDescent="0.25">
      <c r="A8" s="191">
        <f t="shared" si="0"/>
        <v>45</v>
      </c>
      <c r="B8" s="186">
        <f t="shared" si="1"/>
        <v>0</v>
      </c>
      <c r="C8" s="187">
        <f t="shared" si="2"/>
        <v>0</v>
      </c>
      <c r="D8" s="186">
        <f t="shared" si="3"/>
        <v>0</v>
      </c>
      <c r="E8" s="187">
        <f t="shared" si="4"/>
        <v>0</v>
      </c>
      <c r="F8" s="186">
        <f t="shared" si="5"/>
        <v>0</v>
      </c>
      <c r="G8" s="187">
        <f t="shared" si="6"/>
        <v>0</v>
      </c>
      <c r="H8" s="186">
        <f t="shared" si="7"/>
        <v>1</v>
      </c>
      <c r="I8" s="187">
        <f t="shared" si="8"/>
        <v>0</v>
      </c>
      <c r="J8" s="186">
        <f t="shared" si="9"/>
        <v>0</v>
      </c>
      <c r="K8" s="187"/>
      <c r="L8" s="189">
        <v>4</v>
      </c>
      <c r="M8" s="189">
        <f t="shared" si="10"/>
        <v>10</v>
      </c>
    </row>
    <row r="9" spans="1:17" ht="12.75" customHeight="1" x14ac:dyDescent="0.25">
      <c r="A9" s="191">
        <f t="shared" si="0"/>
        <v>47.5</v>
      </c>
      <c r="B9" s="186">
        <f t="shared" si="1"/>
        <v>0</v>
      </c>
      <c r="C9" s="187">
        <f t="shared" si="2"/>
        <v>0</v>
      </c>
      <c r="D9" s="186">
        <f t="shared" si="3"/>
        <v>0</v>
      </c>
      <c r="E9" s="187">
        <f t="shared" si="4"/>
        <v>0</v>
      </c>
      <c r="F9" s="186">
        <f t="shared" si="5"/>
        <v>0</v>
      </c>
      <c r="G9" s="187">
        <f t="shared" si="6"/>
        <v>0</v>
      </c>
      <c r="H9" s="186">
        <f t="shared" si="7"/>
        <v>1</v>
      </c>
      <c r="I9" s="187">
        <f t="shared" si="8"/>
        <v>0</v>
      </c>
      <c r="J9" s="186">
        <f t="shared" si="9"/>
        <v>1</v>
      </c>
      <c r="K9" s="187"/>
      <c r="L9" s="189">
        <v>5</v>
      </c>
      <c r="M9" s="189">
        <f t="shared" si="10"/>
        <v>12.5</v>
      </c>
    </row>
    <row r="10" spans="1:17" ht="12.75" customHeight="1" x14ac:dyDescent="0.25">
      <c r="A10" s="191">
        <f t="shared" si="0"/>
        <v>50</v>
      </c>
      <c r="B10" s="186">
        <f t="shared" si="1"/>
        <v>0</v>
      </c>
      <c r="C10" s="187">
        <f t="shared" si="2"/>
        <v>0</v>
      </c>
      <c r="D10" s="186">
        <f t="shared" si="3"/>
        <v>0</v>
      </c>
      <c r="E10" s="187">
        <f t="shared" si="4"/>
        <v>0</v>
      </c>
      <c r="F10" s="186">
        <f t="shared" si="5"/>
        <v>0</v>
      </c>
      <c r="G10" s="187">
        <f t="shared" si="6"/>
        <v>0</v>
      </c>
      <c r="H10" s="186">
        <f t="shared" si="7"/>
        <v>1</v>
      </c>
      <c r="I10" s="187">
        <f t="shared" si="8"/>
        <v>1</v>
      </c>
      <c r="J10" s="186">
        <f t="shared" si="9"/>
        <v>0</v>
      </c>
      <c r="K10" s="187"/>
      <c r="L10" s="189">
        <v>6</v>
      </c>
      <c r="M10" s="189">
        <f t="shared" si="10"/>
        <v>15</v>
      </c>
    </row>
    <row r="11" spans="1:17" ht="12.75" customHeight="1" x14ac:dyDescent="0.25">
      <c r="A11" s="191">
        <f t="shared" si="0"/>
        <v>52.5</v>
      </c>
      <c r="B11" s="186">
        <f t="shared" si="1"/>
        <v>0</v>
      </c>
      <c r="C11" s="187">
        <f t="shared" si="2"/>
        <v>0</v>
      </c>
      <c r="D11" s="186">
        <f t="shared" si="3"/>
        <v>0</v>
      </c>
      <c r="E11" s="187">
        <f t="shared" si="4"/>
        <v>0</v>
      </c>
      <c r="F11" s="186">
        <f t="shared" si="5"/>
        <v>0</v>
      </c>
      <c r="G11" s="187">
        <f t="shared" si="6"/>
        <v>0</v>
      </c>
      <c r="H11" s="186">
        <f t="shared" si="7"/>
        <v>1</v>
      </c>
      <c r="I11" s="187">
        <f t="shared" si="8"/>
        <v>1</v>
      </c>
      <c r="J11" s="186">
        <f t="shared" si="9"/>
        <v>1</v>
      </c>
      <c r="K11" s="187"/>
      <c r="L11" s="189">
        <v>7</v>
      </c>
      <c r="M11" s="189">
        <f t="shared" si="10"/>
        <v>17.5</v>
      </c>
    </row>
    <row r="12" spans="1:17" ht="12.75" customHeight="1" x14ac:dyDescent="0.25">
      <c r="A12" s="191">
        <f t="shared" si="0"/>
        <v>55</v>
      </c>
      <c r="B12" s="186">
        <f t="shared" si="1"/>
        <v>0</v>
      </c>
      <c r="C12" s="187">
        <f t="shared" si="2"/>
        <v>0</v>
      </c>
      <c r="D12" s="186">
        <f t="shared" si="3"/>
        <v>0</v>
      </c>
      <c r="E12" s="187">
        <f t="shared" si="4"/>
        <v>0</v>
      </c>
      <c r="F12" s="186">
        <f t="shared" si="5"/>
        <v>0</v>
      </c>
      <c r="G12" s="187">
        <f t="shared" si="6"/>
        <v>1</v>
      </c>
      <c r="H12" s="186">
        <f t="shared" si="7"/>
        <v>0</v>
      </c>
      <c r="I12" s="187">
        <f t="shared" si="8"/>
        <v>0</v>
      </c>
      <c r="J12" s="186">
        <f t="shared" si="9"/>
        <v>0</v>
      </c>
      <c r="K12" s="187"/>
      <c r="L12" s="189">
        <v>8</v>
      </c>
      <c r="M12" s="189">
        <f t="shared" si="10"/>
        <v>20</v>
      </c>
    </row>
    <row r="13" spans="1:17" ht="12.75" customHeight="1" x14ac:dyDescent="0.25">
      <c r="A13" s="191">
        <f t="shared" si="0"/>
        <v>57.5</v>
      </c>
      <c r="B13" s="186">
        <f t="shared" si="1"/>
        <v>0</v>
      </c>
      <c r="C13" s="187">
        <f t="shared" si="2"/>
        <v>0</v>
      </c>
      <c r="D13" s="186">
        <f t="shared" si="3"/>
        <v>0</v>
      </c>
      <c r="E13" s="187">
        <f t="shared" si="4"/>
        <v>0</v>
      </c>
      <c r="F13" s="186">
        <f t="shared" si="5"/>
        <v>0</v>
      </c>
      <c r="G13" s="187">
        <f t="shared" si="6"/>
        <v>1</v>
      </c>
      <c r="H13" s="186">
        <f t="shared" si="7"/>
        <v>0</v>
      </c>
      <c r="I13" s="187">
        <f t="shared" si="8"/>
        <v>0</v>
      </c>
      <c r="J13" s="186">
        <f t="shared" si="9"/>
        <v>1</v>
      </c>
      <c r="K13" s="187"/>
      <c r="L13" s="189">
        <f t="shared" ref="L13:L76" si="11">L12+1</f>
        <v>9</v>
      </c>
      <c r="M13" s="189">
        <f t="shared" si="10"/>
        <v>22.5</v>
      </c>
    </row>
    <row r="14" spans="1:17" ht="12.75" customHeight="1" x14ac:dyDescent="0.25">
      <c r="A14" s="191">
        <f t="shared" si="0"/>
        <v>60</v>
      </c>
      <c r="B14" s="186">
        <f t="shared" si="1"/>
        <v>0</v>
      </c>
      <c r="C14" s="187">
        <f t="shared" si="2"/>
        <v>0</v>
      </c>
      <c r="D14" s="186">
        <f t="shared" si="3"/>
        <v>0</v>
      </c>
      <c r="E14" s="187">
        <f t="shared" si="4"/>
        <v>0</v>
      </c>
      <c r="F14" s="186">
        <f t="shared" si="5"/>
        <v>0</v>
      </c>
      <c r="G14" s="187">
        <f t="shared" si="6"/>
        <v>1</v>
      </c>
      <c r="H14" s="186">
        <f t="shared" si="7"/>
        <v>0</v>
      </c>
      <c r="I14" s="187">
        <f t="shared" si="8"/>
        <v>1</v>
      </c>
      <c r="J14" s="186">
        <f t="shared" si="9"/>
        <v>0</v>
      </c>
      <c r="K14" s="187"/>
      <c r="L14" s="189">
        <f t="shared" si="11"/>
        <v>10</v>
      </c>
      <c r="M14" s="189">
        <f t="shared" si="10"/>
        <v>25</v>
      </c>
    </row>
    <row r="15" spans="1:17" ht="12.75" customHeight="1" x14ac:dyDescent="0.25">
      <c r="A15" s="191">
        <f t="shared" si="0"/>
        <v>62.5</v>
      </c>
      <c r="B15" s="186">
        <f t="shared" si="1"/>
        <v>0</v>
      </c>
      <c r="C15" s="187">
        <f t="shared" si="2"/>
        <v>0</v>
      </c>
      <c r="D15" s="186">
        <f t="shared" si="3"/>
        <v>0</v>
      </c>
      <c r="E15" s="187">
        <f t="shared" si="4"/>
        <v>0</v>
      </c>
      <c r="F15" s="186">
        <f t="shared" si="5"/>
        <v>0</v>
      </c>
      <c r="G15" s="187">
        <f t="shared" si="6"/>
        <v>1</v>
      </c>
      <c r="H15" s="186">
        <f t="shared" si="7"/>
        <v>0</v>
      </c>
      <c r="I15" s="187">
        <f t="shared" si="8"/>
        <v>1</v>
      </c>
      <c r="J15" s="186">
        <f t="shared" si="9"/>
        <v>1</v>
      </c>
      <c r="K15" s="187"/>
      <c r="L15" s="189">
        <f t="shared" si="11"/>
        <v>11</v>
      </c>
      <c r="M15" s="189">
        <f t="shared" si="10"/>
        <v>27.5</v>
      </c>
    </row>
    <row r="16" spans="1:17" ht="12.75" customHeight="1" x14ac:dyDescent="0.25">
      <c r="A16" s="191">
        <f t="shared" si="0"/>
        <v>65</v>
      </c>
      <c r="B16" s="186">
        <f t="shared" si="1"/>
        <v>0</v>
      </c>
      <c r="C16" s="187">
        <f t="shared" si="2"/>
        <v>0</v>
      </c>
      <c r="D16" s="186">
        <f t="shared" si="3"/>
        <v>0</v>
      </c>
      <c r="E16" s="187">
        <f t="shared" si="4"/>
        <v>0</v>
      </c>
      <c r="F16" s="186">
        <f t="shared" si="5"/>
        <v>1</v>
      </c>
      <c r="G16" s="187">
        <f t="shared" si="6"/>
        <v>0</v>
      </c>
      <c r="H16" s="186">
        <f t="shared" si="7"/>
        <v>0</v>
      </c>
      <c r="I16" s="187">
        <f t="shared" si="8"/>
        <v>0</v>
      </c>
      <c r="J16" s="186">
        <f t="shared" si="9"/>
        <v>0</v>
      </c>
      <c r="K16" s="187"/>
      <c r="L16" s="189">
        <f t="shared" si="11"/>
        <v>12</v>
      </c>
      <c r="M16" s="189">
        <f t="shared" si="10"/>
        <v>30</v>
      </c>
    </row>
    <row r="17" spans="1:13" ht="12.75" customHeight="1" x14ac:dyDescent="0.25">
      <c r="A17" s="191">
        <f t="shared" si="0"/>
        <v>67.5</v>
      </c>
      <c r="B17" s="186">
        <f t="shared" si="1"/>
        <v>0</v>
      </c>
      <c r="C17" s="187">
        <f t="shared" si="2"/>
        <v>0</v>
      </c>
      <c r="D17" s="186">
        <f t="shared" si="3"/>
        <v>0</v>
      </c>
      <c r="E17" s="187">
        <f t="shared" si="4"/>
        <v>0</v>
      </c>
      <c r="F17" s="186">
        <f t="shared" si="5"/>
        <v>1</v>
      </c>
      <c r="G17" s="187">
        <f t="shared" si="6"/>
        <v>0</v>
      </c>
      <c r="H17" s="186">
        <f t="shared" si="7"/>
        <v>0</v>
      </c>
      <c r="I17" s="187">
        <f t="shared" si="8"/>
        <v>0</v>
      </c>
      <c r="J17" s="186">
        <f t="shared" si="9"/>
        <v>1</v>
      </c>
      <c r="K17" s="187"/>
      <c r="L17" s="189">
        <f t="shared" si="11"/>
        <v>13</v>
      </c>
      <c r="M17" s="189">
        <f t="shared" si="10"/>
        <v>32.5</v>
      </c>
    </row>
    <row r="18" spans="1:13" ht="12.75" customHeight="1" x14ac:dyDescent="0.25">
      <c r="A18" s="191">
        <f t="shared" si="0"/>
        <v>70</v>
      </c>
      <c r="B18" s="186">
        <f t="shared" si="1"/>
        <v>0</v>
      </c>
      <c r="C18" s="187">
        <f t="shared" si="2"/>
        <v>0</v>
      </c>
      <c r="D18" s="186">
        <f t="shared" si="3"/>
        <v>0</v>
      </c>
      <c r="E18" s="187">
        <f t="shared" si="4"/>
        <v>0</v>
      </c>
      <c r="F18" s="186">
        <f t="shared" si="5"/>
        <v>1</v>
      </c>
      <c r="G18" s="187">
        <f t="shared" si="6"/>
        <v>0</v>
      </c>
      <c r="H18" s="186">
        <f t="shared" si="7"/>
        <v>0</v>
      </c>
      <c r="I18" s="187">
        <f t="shared" si="8"/>
        <v>1</v>
      </c>
      <c r="J18" s="186">
        <f t="shared" si="9"/>
        <v>0</v>
      </c>
      <c r="K18" s="187"/>
      <c r="L18" s="189">
        <f t="shared" si="11"/>
        <v>14</v>
      </c>
      <c r="M18" s="189">
        <f t="shared" si="10"/>
        <v>35</v>
      </c>
    </row>
    <row r="19" spans="1:13" ht="12.75" customHeight="1" x14ac:dyDescent="0.25">
      <c r="A19" s="191">
        <f t="shared" si="0"/>
        <v>72.5</v>
      </c>
      <c r="B19" s="186">
        <f t="shared" si="1"/>
        <v>0</v>
      </c>
      <c r="C19" s="187">
        <f t="shared" si="2"/>
        <v>0</v>
      </c>
      <c r="D19" s="186">
        <f t="shared" si="3"/>
        <v>0</v>
      </c>
      <c r="E19" s="187">
        <f t="shared" si="4"/>
        <v>0</v>
      </c>
      <c r="F19" s="186">
        <f t="shared" si="5"/>
        <v>1</v>
      </c>
      <c r="G19" s="187">
        <f t="shared" si="6"/>
        <v>0</v>
      </c>
      <c r="H19" s="186">
        <f t="shared" si="7"/>
        <v>0</v>
      </c>
      <c r="I19" s="187">
        <f t="shared" si="8"/>
        <v>1</v>
      </c>
      <c r="J19" s="186">
        <f t="shared" si="9"/>
        <v>1</v>
      </c>
      <c r="K19" s="187"/>
      <c r="L19" s="189">
        <f t="shared" si="11"/>
        <v>15</v>
      </c>
      <c r="M19" s="189">
        <f t="shared" si="10"/>
        <v>37.5</v>
      </c>
    </row>
    <row r="20" spans="1:13" ht="12.75" customHeight="1" x14ac:dyDescent="0.25">
      <c r="A20" s="191">
        <f t="shared" si="0"/>
        <v>75</v>
      </c>
      <c r="B20" s="186">
        <f t="shared" si="1"/>
        <v>0</v>
      </c>
      <c r="C20" s="187">
        <f t="shared" si="2"/>
        <v>0</v>
      </c>
      <c r="D20" s="186">
        <f t="shared" si="3"/>
        <v>0</v>
      </c>
      <c r="E20" s="187">
        <f t="shared" si="4"/>
        <v>1</v>
      </c>
      <c r="F20" s="186">
        <f t="shared" si="5"/>
        <v>0</v>
      </c>
      <c r="G20" s="187">
        <f t="shared" si="6"/>
        <v>0</v>
      </c>
      <c r="H20" s="186">
        <f t="shared" si="7"/>
        <v>0</v>
      </c>
      <c r="I20" s="187">
        <f t="shared" si="8"/>
        <v>0</v>
      </c>
      <c r="J20" s="186">
        <f t="shared" si="9"/>
        <v>0</v>
      </c>
      <c r="K20" s="187"/>
      <c r="L20" s="189">
        <f t="shared" si="11"/>
        <v>16</v>
      </c>
      <c r="M20" s="189">
        <f t="shared" si="10"/>
        <v>40</v>
      </c>
    </row>
    <row r="21" spans="1:13" ht="12.75" customHeight="1" x14ac:dyDescent="0.25">
      <c r="A21" s="191">
        <f t="shared" si="0"/>
        <v>77.5</v>
      </c>
      <c r="B21" s="186">
        <f t="shared" si="1"/>
        <v>0</v>
      </c>
      <c r="C21" s="187">
        <f t="shared" si="2"/>
        <v>0</v>
      </c>
      <c r="D21" s="186">
        <f t="shared" si="3"/>
        <v>0</v>
      </c>
      <c r="E21" s="187">
        <f t="shared" si="4"/>
        <v>1</v>
      </c>
      <c r="F21" s="186">
        <f t="shared" si="5"/>
        <v>0</v>
      </c>
      <c r="G21" s="187">
        <f t="shared" si="6"/>
        <v>0</v>
      </c>
      <c r="H21" s="186">
        <f t="shared" si="7"/>
        <v>0</v>
      </c>
      <c r="I21" s="187">
        <f t="shared" si="8"/>
        <v>0</v>
      </c>
      <c r="J21" s="186">
        <f t="shared" si="9"/>
        <v>1</v>
      </c>
      <c r="K21" s="187"/>
      <c r="L21" s="189">
        <f t="shared" si="11"/>
        <v>17</v>
      </c>
      <c r="M21" s="189">
        <f t="shared" si="10"/>
        <v>42.5</v>
      </c>
    </row>
    <row r="22" spans="1:13" ht="12.75" customHeight="1" x14ac:dyDescent="0.25">
      <c r="A22" s="191">
        <f t="shared" si="0"/>
        <v>80</v>
      </c>
      <c r="B22" s="186">
        <f t="shared" si="1"/>
        <v>0</v>
      </c>
      <c r="C22" s="187">
        <f t="shared" si="2"/>
        <v>0</v>
      </c>
      <c r="D22" s="186">
        <f t="shared" si="3"/>
        <v>0</v>
      </c>
      <c r="E22" s="187">
        <f t="shared" si="4"/>
        <v>1</v>
      </c>
      <c r="F22" s="186">
        <f t="shared" si="5"/>
        <v>0</v>
      </c>
      <c r="G22" s="187">
        <f t="shared" si="6"/>
        <v>0</v>
      </c>
      <c r="H22" s="186">
        <f t="shared" si="7"/>
        <v>0</v>
      </c>
      <c r="I22" s="187">
        <f t="shared" si="8"/>
        <v>1</v>
      </c>
      <c r="J22" s="186">
        <f t="shared" si="9"/>
        <v>0</v>
      </c>
      <c r="K22" s="187"/>
      <c r="L22" s="189">
        <f t="shared" si="11"/>
        <v>18</v>
      </c>
      <c r="M22" s="189">
        <f t="shared" si="10"/>
        <v>45</v>
      </c>
    </row>
    <row r="23" spans="1:13" ht="12.75" customHeight="1" x14ac:dyDescent="0.25">
      <c r="A23" s="191">
        <f t="shared" si="0"/>
        <v>82.5</v>
      </c>
      <c r="B23" s="186">
        <f t="shared" si="1"/>
        <v>0</v>
      </c>
      <c r="C23" s="187">
        <f t="shared" si="2"/>
        <v>0</v>
      </c>
      <c r="D23" s="186">
        <f t="shared" si="3"/>
        <v>0</v>
      </c>
      <c r="E23" s="187">
        <f t="shared" si="4"/>
        <v>1</v>
      </c>
      <c r="F23" s="186">
        <f t="shared" si="5"/>
        <v>0</v>
      </c>
      <c r="G23" s="187">
        <f t="shared" si="6"/>
        <v>0</v>
      </c>
      <c r="H23" s="186">
        <f t="shared" si="7"/>
        <v>0</v>
      </c>
      <c r="I23" s="187">
        <f t="shared" si="8"/>
        <v>1</v>
      </c>
      <c r="J23" s="186">
        <f t="shared" si="9"/>
        <v>1</v>
      </c>
      <c r="K23" s="187"/>
      <c r="L23" s="189">
        <f t="shared" si="11"/>
        <v>19</v>
      </c>
      <c r="M23" s="189">
        <f t="shared" si="10"/>
        <v>47.5</v>
      </c>
    </row>
    <row r="24" spans="1:13" ht="12.75" customHeight="1" x14ac:dyDescent="0.25">
      <c r="A24" s="191">
        <f t="shared" si="0"/>
        <v>85</v>
      </c>
      <c r="B24" s="186">
        <f t="shared" si="1"/>
        <v>0</v>
      </c>
      <c r="C24" s="187">
        <f t="shared" si="2"/>
        <v>0</v>
      </c>
      <c r="D24" s="186">
        <f t="shared" si="3"/>
        <v>0</v>
      </c>
      <c r="E24" s="187">
        <f t="shared" si="4"/>
        <v>1</v>
      </c>
      <c r="F24" s="186">
        <f t="shared" si="5"/>
        <v>0</v>
      </c>
      <c r="G24" s="187">
        <f t="shared" si="6"/>
        <v>0</v>
      </c>
      <c r="H24" s="186">
        <f t="shared" si="7"/>
        <v>1</v>
      </c>
      <c r="I24" s="187">
        <f t="shared" si="8"/>
        <v>0</v>
      </c>
      <c r="J24" s="186">
        <f t="shared" si="9"/>
        <v>0</v>
      </c>
      <c r="K24" s="187"/>
      <c r="L24" s="189">
        <f t="shared" si="11"/>
        <v>20</v>
      </c>
      <c r="M24" s="189">
        <f t="shared" si="10"/>
        <v>50</v>
      </c>
    </row>
    <row r="25" spans="1:13" ht="12.75" customHeight="1" x14ac:dyDescent="0.25">
      <c r="A25" s="191">
        <f t="shared" si="0"/>
        <v>87.5</v>
      </c>
      <c r="B25" s="186">
        <f t="shared" si="1"/>
        <v>0</v>
      </c>
      <c r="C25" s="187">
        <f t="shared" si="2"/>
        <v>0</v>
      </c>
      <c r="D25" s="186">
        <f t="shared" si="3"/>
        <v>0</v>
      </c>
      <c r="E25" s="187">
        <f t="shared" si="4"/>
        <v>1</v>
      </c>
      <c r="F25" s="186">
        <f t="shared" si="5"/>
        <v>0</v>
      </c>
      <c r="G25" s="187">
        <f t="shared" si="6"/>
        <v>0</v>
      </c>
      <c r="H25" s="186">
        <f t="shared" si="7"/>
        <v>1</v>
      </c>
      <c r="I25" s="187">
        <f t="shared" si="8"/>
        <v>0</v>
      </c>
      <c r="J25" s="186">
        <f t="shared" si="9"/>
        <v>1</v>
      </c>
      <c r="K25" s="187"/>
      <c r="L25" s="189">
        <f t="shared" si="11"/>
        <v>21</v>
      </c>
      <c r="M25" s="189">
        <f t="shared" si="10"/>
        <v>52.5</v>
      </c>
    </row>
    <row r="26" spans="1:13" ht="12.75" customHeight="1" x14ac:dyDescent="0.25">
      <c r="A26" s="191">
        <f t="shared" si="0"/>
        <v>90</v>
      </c>
      <c r="B26" s="186">
        <f t="shared" si="1"/>
        <v>0</v>
      </c>
      <c r="C26" s="187">
        <f t="shared" si="2"/>
        <v>0</v>
      </c>
      <c r="D26" s="186">
        <f t="shared" si="3"/>
        <v>0</v>
      </c>
      <c r="E26" s="187">
        <f t="shared" si="4"/>
        <v>1</v>
      </c>
      <c r="F26" s="186">
        <f t="shared" si="5"/>
        <v>0</v>
      </c>
      <c r="G26" s="187">
        <f t="shared" si="6"/>
        <v>0</v>
      </c>
      <c r="H26" s="186">
        <f t="shared" si="7"/>
        <v>1</v>
      </c>
      <c r="I26" s="187">
        <f t="shared" si="8"/>
        <v>1</v>
      </c>
      <c r="J26" s="186">
        <f t="shared" si="9"/>
        <v>0</v>
      </c>
      <c r="K26" s="187"/>
      <c r="L26" s="189">
        <f t="shared" si="11"/>
        <v>22</v>
      </c>
      <c r="M26" s="189">
        <f t="shared" si="10"/>
        <v>55</v>
      </c>
    </row>
    <row r="27" spans="1:13" ht="12.75" customHeight="1" x14ac:dyDescent="0.25">
      <c r="A27" s="191">
        <f t="shared" si="0"/>
        <v>92.5</v>
      </c>
      <c r="B27" s="186">
        <f t="shared" si="1"/>
        <v>0</v>
      </c>
      <c r="C27" s="187">
        <f t="shared" si="2"/>
        <v>0</v>
      </c>
      <c r="D27" s="186">
        <f t="shared" si="3"/>
        <v>0</v>
      </c>
      <c r="E27" s="187">
        <f t="shared" si="4"/>
        <v>1</v>
      </c>
      <c r="F27" s="186">
        <f t="shared" si="5"/>
        <v>0</v>
      </c>
      <c r="G27" s="187">
        <f t="shared" si="6"/>
        <v>0</v>
      </c>
      <c r="H27" s="186">
        <f t="shared" si="7"/>
        <v>1</v>
      </c>
      <c r="I27" s="187">
        <f t="shared" si="8"/>
        <v>1</v>
      </c>
      <c r="J27" s="186">
        <f t="shared" si="9"/>
        <v>1</v>
      </c>
      <c r="K27" s="187"/>
      <c r="L27" s="189">
        <f t="shared" si="11"/>
        <v>23</v>
      </c>
      <c r="M27" s="189">
        <f t="shared" si="10"/>
        <v>57.5</v>
      </c>
    </row>
    <row r="28" spans="1:13" ht="12.75" customHeight="1" x14ac:dyDescent="0.25">
      <c r="A28" s="191">
        <f t="shared" si="0"/>
        <v>95</v>
      </c>
      <c r="B28" s="186">
        <f t="shared" si="1"/>
        <v>0</v>
      </c>
      <c r="C28" s="187">
        <f t="shared" si="2"/>
        <v>0</v>
      </c>
      <c r="D28" s="186">
        <f t="shared" si="3"/>
        <v>0</v>
      </c>
      <c r="E28" s="187">
        <f t="shared" si="4"/>
        <v>1</v>
      </c>
      <c r="F28" s="186">
        <f t="shared" si="5"/>
        <v>0</v>
      </c>
      <c r="G28" s="187">
        <f t="shared" si="6"/>
        <v>1</v>
      </c>
      <c r="H28" s="186">
        <f t="shared" si="7"/>
        <v>0</v>
      </c>
      <c r="I28" s="187">
        <f t="shared" si="8"/>
        <v>0</v>
      </c>
      <c r="J28" s="186">
        <f t="shared" si="9"/>
        <v>0</v>
      </c>
      <c r="K28" s="187"/>
      <c r="L28" s="189">
        <f t="shared" si="11"/>
        <v>24</v>
      </c>
      <c r="M28" s="189">
        <f t="shared" si="10"/>
        <v>60</v>
      </c>
    </row>
    <row r="29" spans="1:13" ht="12.75" customHeight="1" x14ac:dyDescent="0.25">
      <c r="A29" s="191">
        <f t="shared" si="0"/>
        <v>97.5</v>
      </c>
      <c r="B29" s="186">
        <f t="shared" si="1"/>
        <v>0</v>
      </c>
      <c r="C29" s="187">
        <f t="shared" si="2"/>
        <v>0</v>
      </c>
      <c r="D29" s="186">
        <f t="shared" si="3"/>
        <v>0</v>
      </c>
      <c r="E29" s="187">
        <f t="shared" si="4"/>
        <v>1</v>
      </c>
      <c r="F29" s="186">
        <f t="shared" si="5"/>
        <v>0</v>
      </c>
      <c r="G29" s="187">
        <f t="shared" si="6"/>
        <v>1</v>
      </c>
      <c r="H29" s="186">
        <f t="shared" si="7"/>
        <v>0</v>
      </c>
      <c r="I29" s="187">
        <f t="shared" si="8"/>
        <v>0</v>
      </c>
      <c r="J29" s="186">
        <f t="shared" si="9"/>
        <v>1</v>
      </c>
      <c r="K29" s="187"/>
      <c r="L29" s="189">
        <f t="shared" si="11"/>
        <v>25</v>
      </c>
      <c r="M29" s="189">
        <f t="shared" si="10"/>
        <v>62.5</v>
      </c>
    </row>
    <row r="30" spans="1:13" ht="12.75" customHeight="1" x14ac:dyDescent="0.25">
      <c r="A30" s="191">
        <f t="shared" si="0"/>
        <v>100</v>
      </c>
      <c r="B30" s="186">
        <f t="shared" si="1"/>
        <v>0</v>
      </c>
      <c r="C30" s="187">
        <f t="shared" si="2"/>
        <v>0</v>
      </c>
      <c r="D30" s="186">
        <f t="shared" si="3"/>
        <v>0</v>
      </c>
      <c r="E30" s="187">
        <f t="shared" si="4"/>
        <v>1</v>
      </c>
      <c r="F30" s="186">
        <f t="shared" si="5"/>
        <v>0</v>
      </c>
      <c r="G30" s="187">
        <f t="shared" si="6"/>
        <v>1</v>
      </c>
      <c r="H30" s="186">
        <f t="shared" si="7"/>
        <v>0</v>
      </c>
      <c r="I30" s="187">
        <f t="shared" si="8"/>
        <v>1</v>
      </c>
      <c r="J30" s="186">
        <f t="shared" si="9"/>
        <v>0</v>
      </c>
      <c r="K30" s="187"/>
      <c r="L30" s="189">
        <f t="shared" si="11"/>
        <v>26</v>
      </c>
      <c r="M30" s="189">
        <f t="shared" si="10"/>
        <v>65</v>
      </c>
    </row>
    <row r="31" spans="1:13" ht="12.75" customHeight="1" x14ac:dyDescent="0.25">
      <c r="A31" s="191">
        <f t="shared" si="0"/>
        <v>102.5</v>
      </c>
      <c r="B31" s="186">
        <f t="shared" si="1"/>
        <v>0</v>
      </c>
      <c r="C31" s="187">
        <f t="shared" si="2"/>
        <v>0</v>
      </c>
      <c r="D31" s="186">
        <f t="shared" si="3"/>
        <v>0</v>
      </c>
      <c r="E31" s="187">
        <f t="shared" si="4"/>
        <v>1</v>
      </c>
      <c r="F31" s="186">
        <f t="shared" si="5"/>
        <v>0</v>
      </c>
      <c r="G31" s="187">
        <f t="shared" si="6"/>
        <v>1</v>
      </c>
      <c r="H31" s="186">
        <f t="shared" si="7"/>
        <v>0</v>
      </c>
      <c r="I31" s="187">
        <f t="shared" si="8"/>
        <v>1</v>
      </c>
      <c r="J31" s="186">
        <f t="shared" si="9"/>
        <v>1</v>
      </c>
      <c r="K31" s="187"/>
      <c r="L31" s="189">
        <f t="shared" si="11"/>
        <v>27</v>
      </c>
      <c r="M31" s="189">
        <f t="shared" si="10"/>
        <v>67.5</v>
      </c>
    </row>
    <row r="32" spans="1:13" ht="12.75" customHeight="1" x14ac:dyDescent="0.25">
      <c r="A32" s="191">
        <f t="shared" si="0"/>
        <v>105</v>
      </c>
      <c r="B32" s="186">
        <f t="shared" si="1"/>
        <v>0</v>
      </c>
      <c r="C32" s="187">
        <f t="shared" si="2"/>
        <v>0</v>
      </c>
      <c r="D32" s="186">
        <f t="shared" si="3"/>
        <v>0</v>
      </c>
      <c r="E32" s="187">
        <f t="shared" si="4"/>
        <v>1</v>
      </c>
      <c r="F32" s="186">
        <f t="shared" si="5"/>
        <v>1</v>
      </c>
      <c r="G32" s="187">
        <f t="shared" si="6"/>
        <v>0</v>
      </c>
      <c r="H32" s="186">
        <f t="shared" si="7"/>
        <v>0</v>
      </c>
      <c r="I32" s="187">
        <f t="shared" si="8"/>
        <v>0</v>
      </c>
      <c r="J32" s="186">
        <f t="shared" si="9"/>
        <v>0</v>
      </c>
      <c r="K32" s="187"/>
      <c r="L32" s="189">
        <f t="shared" si="11"/>
        <v>28</v>
      </c>
      <c r="M32" s="189">
        <f t="shared" si="10"/>
        <v>70</v>
      </c>
    </row>
    <row r="33" spans="1:13" ht="12.75" customHeight="1" x14ac:dyDescent="0.25">
      <c r="A33" s="191">
        <f t="shared" si="0"/>
        <v>107.5</v>
      </c>
      <c r="B33" s="186">
        <f t="shared" si="1"/>
        <v>0</v>
      </c>
      <c r="C33" s="187">
        <f t="shared" si="2"/>
        <v>0</v>
      </c>
      <c r="D33" s="186">
        <f t="shared" si="3"/>
        <v>0</v>
      </c>
      <c r="E33" s="187">
        <f t="shared" si="4"/>
        <v>1</v>
      </c>
      <c r="F33" s="186">
        <f t="shared" si="5"/>
        <v>1</v>
      </c>
      <c r="G33" s="187">
        <f t="shared" si="6"/>
        <v>0</v>
      </c>
      <c r="H33" s="186">
        <f t="shared" si="7"/>
        <v>0</v>
      </c>
      <c r="I33" s="187">
        <f t="shared" si="8"/>
        <v>0</v>
      </c>
      <c r="J33" s="186">
        <f t="shared" si="9"/>
        <v>1</v>
      </c>
      <c r="K33" s="187"/>
      <c r="L33" s="189">
        <f t="shared" si="11"/>
        <v>29</v>
      </c>
      <c r="M33" s="189">
        <f t="shared" si="10"/>
        <v>72.5</v>
      </c>
    </row>
    <row r="34" spans="1:13" ht="12.75" customHeight="1" x14ac:dyDescent="0.25">
      <c r="A34" s="191">
        <f t="shared" si="0"/>
        <v>110</v>
      </c>
      <c r="B34" s="186">
        <f t="shared" si="1"/>
        <v>0</v>
      </c>
      <c r="C34" s="187">
        <f t="shared" si="2"/>
        <v>0</v>
      </c>
      <c r="D34" s="186">
        <f t="shared" si="3"/>
        <v>0</v>
      </c>
      <c r="E34" s="187">
        <f t="shared" si="4"/>
        <v>1</v>
      </c>
      <c r="F34" s="186">
        <f t="shared" si="5"/>
        <v>1</v>
      </c>
      <c r="G34" s="187">
        <f t="shared" si="6"/>
        <v>0</v>
      </c>
      <c r="H34" s="186">
        <f t="shared" si="7"/>
        <v>0</v>
      </c>
      <c r="I34" s="187">
        <f t="shared" si="8"/>
        <v>1</v>
      </c>
      <c r="J34" s="186">
        <f t="shared" si="9"/>
        <v>0</v>
      </c>
      <c r="K34" s="187"/>
      <c r="L34" s="189">
        <f t="shared" si="11"/>
        <v>30</v>
      </c>
      <c r="M34" s="189">
        <f t="shared" si="10"/>
        <v>75</v>
      </c>
    </row>
    <row r="35" spans="1:13" ht="12.75" customHeight="1" x14ac:dyDescent="0.25">
      <c r="A35" s="191">
        <f t="shared" si="0"/>
        <v>112.5</v>
      </c>
      <c r="B35" s="186">
        <f t="shared" si="1"/>
        <v>0</v>
      </c>
      <c r="C35" s="187">
        <f t="shared" si="2"/>
        <v>0</v>
      </c>
      <c r="D35" s="186">
        <f t="shared" si="3"/>
        <v>0</v>
      </c>
      <c r="E35" s="187">
        <f t="shared" si="4"/>
        <v>1</v>
      </c>
      <c r="F35" s="186">
        <f t="shared" si="5"/>
        <v>1</v>
      </c>
      <c r="G35" s="187">
        <f t="shared" si="6"/>
        <v>0</v>
      </c>
      <c r="H35" s="186">
        <f t="shared" si="7"/>
        <v>0</v>
      </c>
      <c r="I35" s="187">
        <f t="shared" si="8"/>
        <v>1</v>
      </c>
      <c r="J35" s="186">
        <f t="shared" si="9"/>
        <v>1</v>
      </c>
      <c r="K35" s="187"/>
      <c r="L35" s="189">
        <f t="shared" si="11"/>
        <v>31</v>
      </c>
      <c r="M35" s="189">
        <f t="shared" si="10"/>
        <v>77.5</v>
      </c>
    </row>
    <row r="36" spans="1:13" ht="12.75" customHeight="1" x14ac:dyDescent="0.25">
      <c r="A36" s="191">
        <f t="shared" si="0"/>
        <v>115</v>
      </c>
      <c r="B36" s="186">
        <f t="shared" si="1"/>
        <v>0</v>
      </c>
      <c r="C36" s="187">
        <f t="shared" si="2"/>
        <v>0</v>
      </c>
      <c r="D36" s="186">
        <f t="shared" si="3"/>
        <v>0</v>
      </c>
      <c r="E36" s="187">
        <f t="shared" si="4"/>
        <v>2</v>
      </c>
      <c r="F36" s="186">
        <f t="shared" si="5"/>
        <v>0</v>
      </c>
      <c r="G36" s="187">
        <f t="shared" si="6"/>
        <v>0</v>
      </c>
      <c r="H36" s="186">
        <f t="shared" si="7"/>
        <v>0</v>
      </c>
      <c r="I36" s="187">
        <f t="shared" si="8"/>
        <v>0</v>
      </c>
      <c r="J36" s="186">
        <f t="shared" si="9"/>
        <v>0</v>
      </c>
      <c r="K36" s="187"/>
      <c r="L36" s="189">
        <f t="shared" si="11"/>
        <v>32</v>
      </c>
      <c r="M36" s="189">
        <f t="shared" si="10"/>
        <v>80</v>
      </c>
    </row>
    <row r="37" spans="1:13" ht="12.75" customHeight="1" x14ac:dyDescent="0.25">
      <c r="A37" s="191">
        <f t="shared" si="0"/>
        <v>117.5</v>
      </c>
      <c r="B37" s="186">
        <f t="shared" si="1"/>
        <v>0</v>
      </c>
      <c r="C37" s="187">
        <f t="shared" si="2"/>
        <v>0</v>
      </c>
      <c r="D37" s="186">
        <f t="shared" si="3"/>
        <v>0</v>
      </c>
      <c r="E37" s="187">
        <f t="shared" si="4"/>
        <v>2</v>
      </c>
      <c r="F37" s="186">
        <f t="shared" si="5"/>
        <v>0</v>
      </c>
      <c r="G37" s="187">
        <f t="shared" si="6"/>
        <v>0</v>
      </c>
      <c r="H37" s="186">
        <f t="shared" si="7"/>
        <v>0</v>
      </c>
      <c r="I37" s="187">
        <f t="shared" si="8"/>
        <v>0</v>
      </c>
      <c r="J37" s="186">
        <f t="shared" si="9"/>
        <v>1</v>
      </c>
      <c r="K37" s="187"/>
      <c r="L37" s="189">
        <f t="shared" si="11"/>
        <v>33</v>
      </c>
      <c r="M37" s="189">
        <f t="shared" si="10"/>
        <v>82.5</v>
      </c>
    </row>
    <row r="38" spans="1:13" ht="12.75" customHeight="1" x14ac:dyDescent="0.25">
      <c r="A38" s="191">
        <f t="shared" si="0"/>
        <v>120</v>
      </c>
      <c r="B38" s="186">
        <f t="shared" si="1"/>
        <v>0</v>
      </c>
      <c r="C38" s="187">
        <f t="shared" si="2"/>
        <v>0</v>
      </c>
      <c r="D38" s="186">
        <f t="shared" si="3"/>
        <v>0</v>
      </c>
      <c r="E38" s="187">
        <f t="shared" si="4"/>
        <v>2</v>
      </c>
      <c r="F38" s="186">
        <f t="shared" si="5"/>
        <v>0</v>
      </c>
      <c r="G38" s="187">
        <f t="shared" si="6"/>
        <v>0</v>
      </c>
      <c r="H38" s="186">
        <f t="shared" si="7"/>
        <v>0</v>
      </c>
      <c r="I38" s="187">
        <f t="shared" si="8"/>
        <v>1</v>
      </c>
      <c r="J38" s="186">
        <f t="shared" si="9"/>
        <v>0</v>
      </c>
      <c r="K38" s="187"/>
      <c r="L38" s="189">
        <f t="shared" si="11"/>
        <v>34</v>
      </c>
      <c r="M38" s="189">
        <f t="shared" si="10"/>
        <v>85</v>
      </c>
    </row>
    <row r="39" spans="1:13" ht="12.75" customHeight="1" x14ac:dyDescent="0.25">
      <c r="A39" s="191">
        <f t="shared" si="0"/>
        <v>122.5</v>
      </c>
      <c r="B39" s="186">
        <f t="shared" si="1"/>
        <v>0</v>
      </c>
      <c r="C39" s="187">
        <f t="shared" si="2"/>
        <v>0</v>
      </c>
      <c r="D39" s="186">
        <f t="shared" si="3"/>
        <v>0</v>
      </c>
      <c r="E39" s="187">
        <f t="shared" si="4"/>
        <v>2</v>
      </c>
      <c r="F39" s="186">
        <f t="shared" si="5"/>
        <v>0</v>
      </c>
      <c r="G39" s="187">
        <f t="shared" si="6"/>
        <v>0</v>
      </c>
      <c r="H39" s="186">
        <f t="shared" si="7"/>
        <v>0</v>
      </c>
      <c r="I39" s="187">
        <f t="shared" si="8"/>
        <v>1</v>
      </c>
      <c r="J39" s="186">
        <f t="shared" si="9"/>
        <v>1</v>
      </c>
      <c r="K39" s="187"/>
      <c r="L39" s="189">
        <f t="shared" si="11"/>
        <v>35</v>
      </c>
      <c r="M39" s="189">
        <f t="shared" si="10"/>
        <v>87.5</v>
      </c>
    </row>
    <row r="40" spans="1:13" ht="12.75" customHeight="1" x14ac:dyDescent="0.25">
      <c r="A40" s="191">
        <f t="shared" si="0"/>
        <v>125</v>
      </c>
      <c r="B40" s="186">
        <f t="shared" si="1"/>
        <v>0</v>
      </c>
      <c r="C40" s="187">
        <f t="shared" si="2"/>
        <v>0</v>
      </c>
      <c r="D40" s="186">
        <f t="shared" si="3"/>
        <v>0</v>
      </c>
      <c r="E40" s="187">
        <f t="shared" si="4"/>
        <v>2</v>
      </c>
      <c r="F40" s="186">
        <f t="shared" si="5"/>
        <v>0</v>
      </c>
      <c r="G40" s="187">
        <f t="shared" si="6"/>
        <v>0</v>
      </c>
      <c r="H40" s="186">
        <f t="shared" si="7"/>
        <v>1</v>
      </c>
      <c r="I40" s="187">
        <f t="shared" si="8"/>
        <v>0</v>
      </c>
      <c r="J40" s="186">
        <f t="shared" si="9"/>
        <v>0</v>
      </c>
      <c r="K40" s="187"/>
      <c r="L40" s="189">
        <f t="shared" si="11"/>
        <v>36</v>
      </c>
      <c r="M40" s="189">
        <f t="shared" si="10"/>
        <v>90</v>
      </c>
    </row>
    <row r="41" spans="1:13" ht="12.75" customHeight="1" x14ac:dyDescent="0.25">
      <c r="A41" s="191">
        <f t="shared" si="0"/>
        <v>127.5</v>
      </c>
      <c r="B41" s="186">
        <f t="shared" si="1"/>
        <v>0</v>
      </c>
      <c r="C41" s="187">
        <f t="shared" si="2"/>
        <v>0</v>
      </c>
      <c r="D41" s="186">
        <f t="shared" si="3"/>
        <v>0</v>
      </c>
      <c r="E41" s="187">
        <f t="shared" si="4"/>
        <v>2</v>
      </c>
      <c r="F41" s="186">
        <f t="shared" si="5"/>
        <v>0</v>
      </c>
      <c r="G41" s="187">
        <f t="shared" si="6"/>
        <v>0</v>
      </c>
      <c r="H41" s="186">
        <f t="shared" si="7"/>
        <v>1</v>
      </c>
      <c r="I41" s="187">
        <f t="shared" si="8"/>
        <v>0</v>
      </c>
      <c r="J41" s="186">
        <f t="shared" si="9"/>
        <v>1</v>
      </c>
      <c r="K41" s="187"/>
      <c r="L41" s="189">
        <f t="shared" si="11"/>
        <v>37</v>
      </c>
      <c r="M41" s="189">
        <f t="shared" si="10"/>
        <v>92.5</v>
      </c>
    </row>
    <row r="42" spans="1:13" ht="12.75" customHeight="1" x14ac:dyDescent="0.25">
      <c r="A42" s="191">
        <f t="shared" si="0"/>
        <v>130</v>
      </c>
      <c r="B42" s="186">
        <f t="shared" si="1"/>
        <v>0</v>
      </c>
      <c r="C42" s="187">
        <f t="shared" si="2"/>
        <v>0</v>
      </c>
      <c r="D42" s="186">
        <f t="shared" si="3"/>
        <v>0</v>
      </c>
      <c r="E42" s="187">
        <f t="shared" si="4"/>
        <v>2</v>
      </c>
      <c r="F42" s="186">
        <f t="shared" si="5"/>
        <v>0</v>
      </c>
      <c r="G42" s="187">
        <f t="shared" si="6"/>
        <v>0</v>
      </c>
      <c r="H42" s="186">
        <f t="shared" si="7"/>
        <v>1</v>
      </c>
      <c r="I42" s="187">
        <f t="shared" si="8"/>
        <v>1</v>
      </c>
      <c r="J42" s="186">
        <f t="shared" si="9"/>
        <v>0</v>
      </c>
      <c r="K42" s="187"/>
      <c r="L42" s="189">
        <f t="shared" si="11"/>
        <v>38</v>
      </c>
      <c r="M42" s="189">
        <f t="shared" si="10"/>
        <v>95</v>
      </c>
    </row>
    <row r="43" spans="1:13" ht="12.75" customHeight="1" x14ac:dyDescent="0.25">
      <c r="A43" s="191">
        <f t="shared" si="0"/>
        <v>132.5</v>
      </c>
      <c r="B43" s="186">
        <f t="shared" si="1"/>
        <v>0</v>
      </c>
      <c r="C43" s="187">
        <f t="shared" si="2"/>
        <v>0</v>
      </c>
      <c r="D43" s="186">
        <f t="shared" si="3"/>
        <v>0</v>
      </c>
      <c r="E43" s="187">
        <f t="shared" si="4"/>
        <v>2</v>
      </c>
      <c r="F43" s="186">
        <f t="shared" si="5"/>
        <v>0</v>
      </c>
      <c r="G43" s="187">
        <f t="shared" si="6"/>
        <v>0</v>
      </c>
      <c r="H43" s="186">
        <f t="shared" si="7"/>
        <v>1</v>
      </c>
      <c r="I43" s="187">
        <f t="shared" si="8"/>
        <v>1</v>
      </c>
      <c r="J43" s="186">
        <f t="shared" si="9"/>
        <v>1</v>
      </c>
      <c r="K43" s="187"/>
      <c r="L43" s="189">
        <f t="shared" si="11"/>
        <v>39</v>
      </c>
      <c r="M43" s="189">
        <f t="shared" si="10"/>
        <v>97.5</v>
      </c>
    </row>
    <row r="44" spans="1:13" ht="12.75" customHeight="1" x14ac:dyDescent="0.25">
      <c r="A44" s="191">
        <f t="shared" si="0"/>
        <v>135</v>
      </c>
      <c r="B44" s="186">
        <f t="shared" si="1"/>
        <v>1</v>
      </c>
      <c r="C44" s="187">
        <f t="shared" si="2"/>
        <v>0</v>
      </c>
      <c r="D44" s="186">
        <f t="shared" si="3"/>
        <v>0</v>
      </c>
      <c r="E44" s="187">
        <f t="shared" si="4"/>
        <v>0</v>
      </c>
      <c r="F44" s="186">
        <f t="shared" si="5"/>
        <v>0</v>
      </c>
      <c r="G44" s="187">
        <f t="shared" si="6"/>
        <v>0</v>
      </c>
      <c r="H44" s="186">
        <f t="shared" si="7"/>
        <v>0</v>
      </c>
      <c r="I44" s="187">
        <f t="shared" si="8"/>
        <v>0</v>
      </c>
      <c r="J44" s="186">
        <f t="shared" si="9"/>
        <v>0</v>
      </c>
      <c r="K44" s="187"/>
      <c r="L44" s="189">
        <f t="shared" si="11"/>
        <v>40</v>
      </c>
      <c r="M44" s="189">
        <f t="shared" si="10"/>
        <v>100</v>
      </c>
    </row>
    <row r="45" spans="1:13" ht="12.75" customHeight="1" x14ac:dyDescent="0.25">
      <c r="A45" s="191">
        <f t="shared" si="0"/>
        <v>137.5</v>
      </c>
      <c r="B45" s="186">
        <f t="shared" si="1"/>
        <v>1</v>
      </c>
      <c r="C45" s="187">
        <f t="shared" si="2"/>
        <v>0</v>
      </c>
      <c r="D45" s="186">
        <f t="shared" si="3"/>
        <v>0</v>
      </c>
      <c r="E45" s="187">
        <f t="shared" si="4"/>
        <v>0</v>
      </c>
      <c r="F45" s="186">
        <f t="shared" si="5"/>
        <v>0</v>
      </c>
      <c r="G45" s="187">
        <f t="shared" si="6"/>
        <v>0</v>
      </c>
      <c r="H45" s="186">
        <f t="shared" si="7"/>
        <v>0</v>
      </c>
      <c r="I45" s="187">
        <f t="shared" si="8"/>
        <v>0</v>
      </c>
      <c r="J45" s="186">
        <f t="shared" si="9"/>
        <v>1</v>
      </c>
      <c r="K45" s="187"/>
      <c r="L45" s="189">
        <f t="shared" si="11"/>
        <v>41</v>
      </c>
      <c r="M45" s="189">
        <f t="shared" si="10"/>
        <v>102.5</v>
      </c>
    </row>
    <row r="46" spans="1:13" ht="12.75" customHeight="1" x14ac:dyDescent="0.25">
      <c r="A46" s="191">
        <f t="shared" si="0"/>
        <v>140</v>
      </c>
      <c r="B46" s="186">
        <f t="shared" si="1"/>
        <v>1</v>
      </c>
      <c r="C46" s="187">
        <f t="shared" si="2"/>
        <v>0</v>
      </c>
      <c r="D46" s="186">
        <f t="shared" si="3"/>
        <v>0</v>
      </c>
      <c r="E46" s="187">
        <f t="shared" si="4"/>
        <v>0</v>
      </c>
      <c r="F46" s="186">
        <f t="shared" si="5"/>
        <v>0</v>
      </c>
      <c r="G46" s="187">
        <f t="shared" si="6"/>
        <v>0</v>
      </c>
      <c r="H46" s="186">
        <f t="shared" si="7"/>
        <v>0</v>
      </c>
      <c r="I46" s="187">
        <f t="shared" si="8"/>
        <v>1</v>
      </c>
      <c r="J46" s="186">
        <f t="shared" si="9"/>
        <v>0</v>
      </c>
      <c r="K46" s="187"/>
      <c r="L46" s="189">
        <f t="shared" si="11"/>
        <v>42</v>
      </c>
      <c r="M46" s="189">
        <f t="shared" si="10"/>
        <v>105</v>
      </c>
    </row>
    <row r="47" spans="1:13" ht="12.75" customHeight="1" x14ac:dyDescent="0.25">
      <c r="A47" s="191">
        <f t="shared" si="0"/>
        <v>142.5</v>
      </c>
      <c r="B47" s="186">
        <f t="shared" si="1"/>
        <v>1</v>
      </c>
      <c r="C47" s="187">
        <f t="shared" si="2"/>
        <v>0</v>
      </c>
      <c r="D47" s="186">
        <f t="shared" si="3"/>
        <v>0</v>
      </c>
      <c r="E47" s="187">
        <f t="shared" si="4"/>
        <v>0</v>
      </c>
      <c r="F47" s="186">
        <f t="shared" si="5"/>
        <v>0</v>
      </c>
      <c r="G47" s="187">
        <f t="shared" si="6"/>
        <v>0</v>
      </c>
      <c r="H47" s="186">
        <f t="shared" si="7"/>
        <v>0</v>
      </c>
      <c r="I47" s="187">
        <f t="shared" si="8"/>
        <v>1</v>
      </c>
      <c r="J47" s="186">
        <f t="shared" si="9"/>
        <v>1</v>
      </c>
      <c r="K47" s="187"/>
      <c r="L47" s="189">
        <f t="shared" si="11"/>
        <v>43</v>
      </c>
      <c r="M47" s="189">
        <f t="shared" si="10"/>
        <v>107.5</v>
      </c>
    </row>
    <row r="48" spans="1:13" ht="12.75" customHeight="1" x14ac:dyDescent="0.25">
      <c r="A48" s="191">
        <f t="shared" si="0"/>
        <v>145</v>
      </c>
      <c r="B48" s="186">
        <f t="shared" si="1"/>
        <v>1</v>
      </c>
      <c r="C48" s="187">
        <f t="shared" si="2"/>
        <v>0</v>
      </c>
      <c r="D48" s="186">
        <f t="shared" si="3"/>
        <v>0</v>
      </c>
      <c r="E48" s="187">
        <f t="shared" si="4"/>
        <v>0</v>
      </c>
      <c r="F48" s="186">
        <f t="shared" si="5"/>
        <v>0</v>
      </c>
      <c r="G48" s="187">
        <f t="shared" si="6"/>
        <v>0</v>
      </c>
      <c r="H48" s="186">
        <f t="shared" si="7"/>
        <v>1</v>
      </c>
      <c r="I48" s="187">
        <f t="shared" si="8"/>
        <v>0</v>
      </c>
      <c r="J48" s="186">
        <f t="shared" si="9"/>
        <v>0</v>
      </c>
      <c r="K48" s="187"/>
      <c r="L48" s="189">
        <f t="shared" si="11"/>
        <v>44</v>
      </c>
      <c r="M48" s="189">
        <f t="shared" si="10"/>
        <v>110</v>
      </c>
    </row>
    <row r="49" spans="1:13" ht="12.75" customHeight="1" x14ac:dyDescent="0.25">
      <c r="A49" s="191">
        <f t="shared" si="0"/>
        <v>147.5</v>
      </c>
      <c r="B49" s="186">
        <f t="shared" si="1"/>
        <v>1</v>
      </c>
      <c r="C49" s="187">
        <f t="shared" si="2"/>
        <v>0</v>
      </c>
      <c r="D49" s="186">
        <f t="shared" si="3"/>
        <v>0</v>
      </c>
      <c r="E49" s="187">
        <f t="shared" si="4"/>
        <v>0</v>
      </c>
      <c r="F49" s="186">
        <f t="shared" si="5"/>
        <v>0</v>
      </c>
      <c r="G49" s="187">
        <f t="shared" si="6"/>
        <v>0</v>
      </c>
      <c r="H49" s="186">
        <f t="shared" si="7"/>
        <v>1</v>
      </c>
      <c r="I49" s="187">
        <f t="shared" si="8"/>
        <v>0</v>
      </c>
      <c r="J49" s="186">
        <f t="shared" si="9"/>
        <v>1</v>
      </c>
      <c r="K49" s="187"/>
      <c r="L49" s="189">
        <f t="shared" si="11"/>
        <v>45</v>
      </c>
      <c r="M49" s="189">
        <f t="shared" si="10"/>
        <v>112.5</v>
      </c>
    </row>
    <row r="50" spans="1:13" ht="12.75" customHeight="1" x14ac:dyDescent="0.25">
      <c r="A50" s="191">
        <f t="shared" si="0"/>
        <v>150</v>
      </c>
      <c r="B50" s="186">
        <f t="shared" si="1"/>
        <v>1</v>
      </c>
      <c r="C50" s="187">
        <f t="shared" si="2"/>
        <v>0</v>
      </c>
      <c r="D50" s="186">
        <f t="shared" si="3"/>
        <v>0</v>
      </c>
      <c r="E50" s="187">
        <f t="shared" si="4"/>
        <v>0</v>
      </c>
      <c r="F50" s="186">
        <f t="shared" si="5"/>
        <v>0</v>
      </c>
      <c r="G50" s="187">
        <f t="shared" si="6"/>
        <v>0</v>
      </c>
      <c r="H50" s="186">
        <f t="shared" si="7"/>
        <v>1</v>
      </c>
      <c r="I50" s="187">
        <f t="shared" si="8"/>
        <v>1</v>
      </c>
      <c r="J50" s="186">
        <f t="shared" si="9"/>
        <v>0</v>
      </c>
      <c r="K50" s="187"/>
      <c r="L50" s="189">
        <f t="shared" si="11"/>
        <v>46</v>
      </c>
      <c r="M50" s="189">
        <f t="shared" si="10"/>
        <v>115</v>
      </c>
    </row>
    <row r="51" spans="1:13" ht="12.75" customHeight="1" x14ac:dyDescent="0.25">
      <c r="A51" s="191">
        <f t="shared" si="0"/>
        <v>152.5</v>
      </c>
      <c r="B51" s="186">
        <f t="shared" si="1"/>
        <v>1</v>
      </c>
      <c r="C51" s="187">
        <f t="shared" si="2"/>
        <v>0</v>
      </c>
      <c r="D51" s="186">
        <f t="shared" si="3"/>
        <v>0</v>
      </c>
      <c r="E51" s="187">
        <f t="shared" si="4"/>
        <v>0</v>
      </c>
      <c r="F51" s="186">
        <f t="shared" si="5"/>
        <v>0</v>
      </c>
      <c r="G51" s="187">
        <f t="shared" si="6"/>
        <v>0</v>
      </c>
      <c r="H51" s="186">
        <f t="shared" si="7"/>
        <v>1</v>
      </c>
      <c r="I51" s="187">
        <f t="shared" si="8"/>
        <v>1</v>
      </c>
      <c r="J51" s="186">
        <f t="shared" si="9"/>
        <v>1</v>
      </c>
      <c r="K51" s="187"/>
      <c r="L51" s="189">
        <f t="shared" si="11"/>
        <v>47</v>
      </c>
      <c r="M51" s="189">
        <f t="shared" si="10"/>
        <v>117.5</v>
      </c>
    </row>
    <row r="52" spans="1:13" ht="12.75" customHeight="1" x14ac:dyDescent="0.25">
      <c r="A52" s="191">
        <f t="shared" si="0"/>
        <v>155</v>
      </c>
      <c r="B52" s="186">
        <f t="shared" si="1"/>
        <v>1</v>
      </c>
      <c r="C52" s="187">
        <f t="shared" si="2"/>
        <v>0</v>
      </c>
      <c r="D52" s="186">
        <f t="shared" si="3"/>
        <v>0</v>
      </c>
      <c r="E52" s="187">
        <f t="shared" si="4"/>
        <v>0</v>
      </c>
      <c r="F52" s="186">
        <f t="shared" si="5"/>
        <v>0</v>
      </c>
      <c r="G52" s="187">
        <f t="shared" si="6"/>
        <v>1</v>
      </c>
      <c r="H52" s="186">
        <f t="shared" si="7"/>
        <v>0</v>
      </c>
      <c r="I52" s="187">
        <f t="shared" si="8"/>
        <v>0</v>
      </c>
      <c r="J52" s="186">
        <f t="shared" si="9"/>
        <v>0</v>
      </c>
      <c r="K52" s="187"/>
      <c r="L52" s="189">
        <f t="shared" si="11"/>
        <v>48</v>
      </c>
      <c r="M52" s="189">
        <f t="shared" si="10"/>
        <v>120</v>
      </c>
    </row>
    <row r="53" spans="1:13" ht="12.75" customHeight="1" x14ac:dyDescent="0.25">
      <c r="A53" s="191">
        <f t="shared" si="0"/>
        <v>157.5</v>
      </c>
      <c r="B53" s="186">
        <f t="shared" si="1"/>
        <v>1</v>
      </c>
      <c r="C53" s="187">
        <f t="shared" si="2"/>
        <v>0</v>
      </c>
      <c r="D53" s="186">
        <f t="shared" si="3"/>
        <v>0</v>
      </c>
      <c r="E53" s="187">
        <f t="shared" si="4"/>
        <v>0</v>
      </c>
      <c r="F53" s="186">
        <f t="shared" si="5"/>
        <v>0</v>
      </c>
      <c r="G53" s="187">
        <f t="shared" si="6"/>
        <v>1</v>
      </c>
      <c r="H53" s="186">
        <f t="shared" si="7"/>
        <v>0</v>
      </c>
      <c r="I53" s="187">
        <f t="shared" si="8"/>
        <v>0</v>
      </c>
      <c r="J53" s="186">
        <f t="shared" si="9"/>
        <v>1</v>
      </c>
      <c r="K53" s="187"/>
      <c r="L53" s="189">
        <f t="shared" si="11"/>
        <v>49</v>
      </c>
      <c r="M53" s="189">
        <f t="shared" si="10"/>
        <v>122.5</v>
      </c>
    </row>
    <row r="54" spans="1:13" ht="12.75" customHeight="1" x14ac:dyDescent="0.25">
      <c r="A54" s="191">
        <f t="shared" si="0"/>
        <v>160</v>
      </c>
      <c r="B54" s="186">
        <f t="shared" si="1"/>
        <v>1</v>
      </c>
      <c r="C54" s="187">
        <f t="shared" si="2"/>
        <v>0</v>
      </c>
      <c r="D54" s="186">
        <f t="shared" si="3"/>
        <v>0</v>
      </c>
      <c r="E54" s="187">
        <f t="shared" si="4"/>
        <v>0</v>
      </c>
      <c r="F54" s="186">
        <f t="shared" si="5"/>
        <v>0</v>
      </c>
      <c r="G54" s="187">
        <f t="shared" si="6"/>
        <v>1</v>
      </c>
      <c r="H54" s="186">
        <f t="shared" si="7"/>
        <v>0</v>
      </c>
      <c r="I54" s="187">
        <f t="shared" si="8"/>
        <v>1</v>
      </c>
      <c r="J54" s="186">
        <f t="shared" si="9"/>
        <v>0</v>
      </c>
      <c r="K54" s="187"/>
      <c r="L54" s="189">
        <f t="shared" si="11"/>
        <v>50</v>
      </c>
      <c r="M54" s="189">
        <f t="shared" si="10"/>
        <v>125</v>
      </c>
    </row>
    <row r="55" spans="1:13" ht="12.75" customHeight="1" x14ac:dyDescent="0.25">
      <c r="A55" s="191">
        <f t="shared" si="0"/>
        <v>162.5</v>
      </c>
      <c r="B55" s="186">
        <f t="shared" si="1"/>
        <v>1</v>
      </c>
      <c r="C55" s="187">
        <f t="shared" si="2"/>
        <v>0</v>
      </c>
      <c r="D55" s="186">
        <f t="shared" si="3"/>
        <v>0</v>
      </c>
      <c r="E55" s="187">
        <f t="shared" si="4"/>
        <v>0</v>
      </c>
      <c r="F55" s="186">
        <f t="shared" si="5"/>
        <v>0</v>
      </c>
      <c r="G55" s="187">
        <f t="shared" si="6"/>
        <v>1</v>
      </c>
      <c r="H55" s="186">
        <f t="shared" si="7"/>
        <v>0</v>
      </c>
      <c r="I55" s="187">
        <f t="shared" si="8"/>
        <v>1</v>
      </c>
      <c r="J55" s="186">
        <f t="shared" si="9"/>
        <v>1</v>
      </c>
      <c r="K55" s="187"/>
      <c r="L55" s="189">
        <f t="shared" si="11"/>
        <v>51</v>
      </c>
      <c r="M55" s="189">
        <f t="shared" si="10"/>
        <v>127.5</v>
      </c>
    </row>
    <row r="56" spans="1:13" ht="12.75" customHeight="1" x14ac:dyDescent="0.25">
      <c r="A56" s="191">
        <f t="shared" si="0"/>
        <v>165</v>
      </c>
      <c r="B56" s="186">
        <f t="shared" si="1"/>
        <v>1</v>
      </c>
      <c r="C56" s="187">
        <f t="shared" si="2"/>
        <v>0</v>
      </c>
      <c r="D56" s="186">
        <f t="shared" si="3"/>
        <v>0</v>
      </c>
      <c r="E56" s="187">
        <f t="shared" si="4"/>
        <v>0</v>
      </c>
      <c r="F56" s="186">
        <f t="shared" si="5"/>
        <v>1</v>
      </c>
      <c r="G56" s="187">
        <f t="shared" si="6"/>
        <v>0</v>
      </c>
      <c r="H56" s="186">
        <f t="shared" si="7"/>
        <v>0</v>
      </c>
      <c r="I56" s="187">
        <f t="shared" si="8"/>
        <v>0</v>
      </c>
      <c r="J56" s="186">
        <f t="shared" si="9"/>
        <v>0</v>
      </c>
      <c r="K56" s="187"/>
      <c r="L56" s="189">
        <f t="shared" si="11"/>
        <v>52</v>
      </c>
      <c r="M56" s="189">
        <f t="shared" si="10"/>
        <v>130</v>
      </c>
    </row>
    <row r="57" spans="1:13" ht="12.75" customHeight="1" x14ac:dyDescent="0.25">
      <c r="A57" s="191">
        <f t="shared" si="0"/>
        <v>167.5</v>
      </c>
      <c r="B57" s="186">
        <f t="shared" si="1"/>
        <v>1</v>
      </c>
      <c r="C57" s="187">
        <f t="shared" si="2"/>
        <v>0</v>
      </c>
      <c r="D57" s="186">
        <f t="shared" si="3"/>
        <v>0</v>
      </c>
      <c r="E57" s="187">
        <f t="shared" si="4"/>
        <v>0</v>
      </c>
      <c r="F57" s="186">
        <f t="shared" si="5"/>
        <v>1</v>
      </c>
      <c r="G57" s="187">
        <f t="shared" si="6"/>
        <v>0</v>
      </c>
      <c r="H57" s="186">
        <f t="shared" si="7"/>
        <v>0</v>
      </c>
      <c r="I57" s="187">
        <f t="shared" si="8"/>
        <v>0</v>
      </c>
      <c r="J57" s="186">
        <f t="shared" si="9"/>
        <v>1</v>
      </c>
      <c r="K57" s="187"/>
      <c r="L57" s="189">
        <f t="shared" si="11"/>
        <v>53</v>
      </c>
      <c r="M57" s="189">
        <f t="shared" si="10"/>
        <v>132.5</v>
      </c>
    </row>
    <row r="58" spans="1:13" ht="12.75" customHeight="1" x14ac:dyDescent="0.25">
      <c r="A58" s="191">
        <f t="shared" si="0"/>
        <v>170</v>
      </c>
      <c r="B58" s="186">
        <f t="shared" si="1"/>
        <v>1</v>
      </c>
      <c r="C58" s="187">
        <f t="shared" si="2"/>
        <v>0</v>
      </c>
      <c r="D58" s="186">
        <f t="shared" si="3"/>
        <v>0</v>
      </c>
      <c r="E58" s="187">
        <f t="shared" si="4"/>
        <v>0</v>
      </c>
      <c r="F58" s="186">
        <f t="shared" si="5"/>
        <v>1</v>
      </c>
      <c r="G58" s="187">
        <f t="shared" si="6"/>
        <v>0</v>
      </c>
      <c r="H58" s="186">
        <f t="shared" si="7"/>
        <v>0</v>
      </c>
      <c r="I58" s="187">
        <f t="shared" si="8"/>
        <v>1</v>
      </c>
      <c r="J58" s="186">
        <f t="shared" si="9"/>
        <v>0</v>
      </c>
      <c r="K58" s="187"/>
      <c r="L58" s="189">
        <f t="shared" si="11"/>
        <v>54</v>
      </c>
      <c r="M58" s="189">
        <f t="shared" si="10"/>
        <v>135</v>
      </c>
    </row>
    <row r="59" spans="1:13" ht="12.75" customHeight="1" x14ac:dyDescent="0.25">
      <c r="A59" s="191">
        <f t="shared" si="0"/>
        <v>172.5</v>
      </c>
      <c r="B59" s="186">
        <f t="shared" si="1"/>
        <v>1</v>
      </c>
      <c r="C59" s="187">
        <f t="shared" si="2"/>
        <v>0</v>
      </c>
      <c r="D59" s="186">
        <f t="shared" si="3"/>
        <v>0</v>
      </c>
      <c r="E59" s="187">
        <f t="shared" si="4"/>
        <v>0</v>
      </c>
      <c r="F59" s="186">
        <f t="shared" si="5"/>
        <v>1</v>
      </c>
      <c r="G59" s="187">
        <f t="shared" si="6"/>
        <v>0</v>
      </c>
      <c r="H59" s="186">
        <f t="shared" si="7"/>
        <v>0</v>
      </c>
      <c r="I59" s="187">
        <f t="shared" si="8"/>
        <v>1</v>
      </c>
      <c r="J59" s="186">
        <f t="shared" si="9"/>
        <v>1</v>
      </c>
      <c r="K59" s="187"/>
      <c r="L59" s="189">
        <f t="shared" si="11"/>
        <v>55</v>
      </c>
      <c r="M59" s="189">
        <f t="shared" si="10"/>
        <v>137.5</v>
      </c>
    </row>
    <row r="60" spans="1:13" ht="12.75" customHeight="1" x14ac:dyDescent="0.25">
      <c r="A60" s="191">
        <f t="shared" si="0"/>
        <v>175</v>
      </c>
      <c r="B60" s="186">
        <f t="shared" si="1"/>
        <v>1</v>
      </c>
      <c r="C60" s="187">
        <f t="shared" si="2"/>
        <v>0</v>
      </c>
      <c r="D60" s="186">
        <f t="shared" si="3"/>
        <v>0</v>
      </c>
      <c r="E60" s="187">
        <f t="shared" si="4"/>
        <v>1</v>
      </c>
      <c r="F60" s="186">
        <f t="shared" si="5"/>
        <v>0</v>
      </c>
      <c r="G60" s="187">
        <f t="shared" si="6"/>
        <v>0</v>
      </c>
      <c r="H60" s="186">
        <f t="shared" si="7"/>
        <v>0</v>
      </c>
      <c r="I60" s="187">
        <f t="shared" si="8"/>
        <v>0</v>
      </c>
      <c r="J60" s="186">
        <f t="shared" si="9"/>
        <v>0</v>
      </c>
      <c r="K60" s="187"/>
      <c r="L60" s="189">
        <f t="shared" si="11"/>
        <v>56</v>
      </c>
      <c r="M60" s="189">
        <f t="shared" si="10"/>
        <v>140</v>
      </c>
    </row>
    <row r="61" spans="1:13" ht="12.75" customHeight="1" x14ac:dyDescent="0.25">
      <c r="A61" s="191">
        <f t="shared" si="0"/>
        <v>177.5</v>
      </c>
      <c r="B61" s="186">
        <f t="shared" si="1"/>
        <v>1</v>
      </c>
      <c r="C61" s="187">
        <f t="shared" si="2"/>
        <v>0</v>
      </c>
      <c r="D61" s="186">
        <f t="shared" si="3"/>
        <v>0</v>
      </c>
      <c r="E61" s="187">
        <f t="shared" si="4"/>
        <v>1</v>
      </c>
      <c r="F61" s="186">
        <f t="shared" si="5"/>
        <v>0</v>
      </c>
      <c r="G61" s="187">
        <f t="shared" si="6"/>
        <v>0</v>
      </c>
      <c r="H61" s="186">
        <f t="shared" si="7"/>
        <v>0</v>
      </c>
      <c r="I61" s="187">
        <f t="shared" si="8"/>
        <v>0</v>
      </c>
      <c r="J61" s="186">
        <f t="shared" si="9"/>
        <v>1</v>
      </c>
      <c r="K61" s="187"/>
      <c r="L61" s="189">
        <f t="shared" si="11"/>
        <v>57</v>
      </c>
      <c r="M61" s="189">
        <f t="shared" si="10"/>
        <v>142.5</v>
      </c>
    </row>
    <row r="62" spans="1:13" ht="12.75" customHeight="1" x14ac:dyDescent="0.25">
      <c r="A62" s="191">
        <f t="shared" si="0"/>
        <v>180</v>
      </c>
      <c r="B62" s="186">
        <f t="shared" si="1"/>
        <v>1</v>
      </c>
      <c r="C62" s="187">
        <f t="shared" si="2"/>
        <v>0</v>
      </c>
      <c r="D62" s="186">
        <f t="shared" si="3"/>
        <v>0</v>
      </c>
      <c r="E62" s="187">
        <f t="shared" si="4"/>
        <v>1</v>
      </c>
      <c r="F62" s="186">
        <f t="shared" si="5"/>
        <v>0</v>
      </c>
      <c r="G62" s="187">
        <f t="shared" si="6"/>
        <v>0</v>
      </c>
      <c r="H62" s="186">
        <f t="shared" si="7"/>
        <v>0</v>
      </c>
      <c r="I62" s="187">
        <f t="shared" si="8"/>
        <v>1</v>
      </c>
      <c r="J62" s="186">
        <f t="shared" si="9"/>
        <v>0</v>
      </c>
      <c r="K62" s="187"/>
      <c r="L62" s="189">
        <f t="shared" si="11"/>
        <v>58</v>
      </c>
      <c r="M62" s="189">
        <f t="shared" si="10"/>
        <v>145</v>
      </c>
    </row>
    <row r="63" spans="1:13" ht="12.75" customHeight="1" x14ac:dyDescent="0.25">
      <c r="A63" s="191">
        <f t="shared" si="0"/>
        <v>182.5</v>
      </c>
      <c r="B63" s="186">
        <f t="shared" si="1"/>
        <v>1</v>
      </c>
      <c r="C63" s="187">
        <f t="shared" si="2"/>
        <v>0</v>
      </c>
      <c r="D63" s="186">
        <f t="shared" si="3"/>
        <v>0</v>
      </c>
      <c r="E63" s="187">
        <f t="shared" si="4"/>
        <v>1</v>
      </c>
      <c r="F63" s="186">
        <f t="shared" si="5"/>
        <v>0</v>
      </c>
      <c r="G63" s="187">
        <f t="shared" si="6"/>
        <v>0</v>
      </c>
      <c r="H63" s="186">
        <f t="shared" si="7"/>
        <v>0</v>
      </c>
      <c r="I63" s="187">
        <f t="shared" si="8"/>
        <v>1</v>
      </c>
      <c r="J63" s="186">
        <f t="shared" si="9"/>
        <v>1</v>
      </c>
      <c r="K63" s="187"/>
      <c r="L63" s="189">
        <f t="shared" si="11"/>
        <v>59</v>
      </c>
      <c r="M63" s="189">
        <f t="shared" si="10"/>
        <v>147.5</v>
      </c>
    </row>
    <row r="64" spans="1:13" ht="12.75" customHeight="1" x14ac:dyDescent="0.25">
      <c r="A64" s="191">
        <f t="shared" si="0"/>
        <v>185</v>
      </c>
      <c r="B64" s="186">
        <f t="shared" si="1"/>
        <v>1</v>
      </c>
      <c r="C64" s="187">
        <f t="shared" si="2"/>
        <v>0</v>
      </c>
      <c r="D64" s="186">
        <f t="shared" si="3"/>
        <v>0</v>
      </c>
      <c r="E64" s="187">
        <f t="shared" si="4"/>
        <v>1</v>
      </c>
      <c r="F64" s="186">
        <f t="shared" si="5"/>
        <v>0</v>
      </c>
      <c r="G64" s="187">
        <f t="shared" si="6"/>
        <v>0</v>
      </c>
      <c r="H64" s="186">
        <f t="shared" si="7"/>
        <v>1</v>
      </c>
      <c r="I64" s="187">
        <f t="shared" si="8"/>
        <v>0</v>
      </c>
      <c r="J64" s="186">
        <f t="shared" si="9"/>
        <v>0</v>
      </c>
      <c r="K64" s="187"/>
      <c r="L64" s="189">
        <f t="shared" si="11"/>
        <v>60</v>
      </c>
      <c r="M64" s="189">
        <f t="shared" si="10"/>
        <v>150</v>
      </c>
    </row>
    <row r="65" spans="1:13" ht="12.75" customHeight="1" x14ac:dyDescent="0.25">
      <c r="A65" s="191">
        <f t="shared" si="0"/>
        <v>187.5</v>
      </c>
      <c r="B65" s="186">
        <f t="shared" si="1"/>
        <v>1</v>
      </c>
      <c r="C65" s="187">
        <f t="shared" si="2"/>
        <v>0</v>
      </c>
      <c r="D65" s="186">
        <f t="shared" si="3"/>
        <v>0</v>
      </c>
      <c r="E65" s="187">
        <f t="shared" si="4"/>
        <v>1</v>
      </c>
      <c r="F65" s="186">
        <f t="shared" si="5"/>
        <v>0</v>
      </c>
      <c r="G65" s="187">
        <f t="shared" si="6"/>
        <v>0</v>
      </c>
      <c r="H65" s="186">
        <f t="shared" si="7"/>
        <v>1</v>
      </c>
      <c r="I65" s="187">
        <f t="shared" si="8"/>
        <v>0</v>
      </c>
      <c r="J65" s="186">
        <f t="shared" si="9"/>
        <v>1</v>
      </c>
      <c r="K65" s="187"/>
      <c r="L65" s="189">
        <f t="shared" si="11"/>
        <v>61</v>
      </c>
      <c r="M65" s="189">
        <f t="shared" si="10"/>
        <v>152.5</v>
      </c>
    </row>
    <row r="66" spans="1:13" ht="12.75" customHeight="1" x14ac:dyDescent="0.25">
      <c r="A66" s="191">
        <f t="shared" si="0"/>
        <v>190</v>
      </c>
      <c r="B66" s="186">
        <f t="shared" si="1"/>
        <v>1</v>
      </c>
      <c r="C66" s="187">
        <f t="shared" si="2"/>
        <v>0</v>
      </c>
      <c r="D66" s="186">
        <f t="shared" si="3"/>
        <v>0</v>
      </c>
      <c r="E66" s="187">
        <f t="shared" si="4"/>
        <v>1</v>
      </c>
      <c r="F66" s="186">
        <f t="shared" si="5"/>
        <v>0</v>
      </c>
      <c r="G66" s="187">
        <f t="shared" si="6"/>
        <v>0</v>
      </c>
      <c r="H66" s="186">
        <f t="shared" si="7"/>
        <v>1</v>
      </c>
      <c r="I66" s="187">
        <f t="shared" si="8"/>
        <v>1</v>
      </c>
      <c r="J66" s="186">
        <f t="shared" si="9"/>
        <v>0</v>
      </c>
      <c r="K66" s="187"/>
      <c r="L66" s="189">
        <f t="shared" si="11"/>
        <v>62</v>
      </c>
      <c r="M66" s="189">
        <f t="shared" si="10"/>
        <v>155</v>
      </c>
    </row>
    <row r="67" spans="1:13" ht="12.75" customHeight="1" x14ac:dyDescent="0.25">
      <c r="A67" s="191">
        <f t="shared" si="0"/>
        <v>192.5</v>
      </c>
      <c r="B67" s="186">
        <f t="shared" si="1"/>
        <v>1</v>
      </c>
      <c r="C67" s="187">
        <f t="shared" si="2"/>
        <v>0</v>
      </c>
      <c r="D67" s="186">
        <f t="shared" si="3"/>
        <v>0</v>
      </c>
      <c r="E67" s="187">
        <f t="shared" si="4"/>
        <v>1</v>
      </c>
      <c r="F67" s="186">
        <f t="shared" si="5"/>
        <v>0</v>
      </c>
      <c r="G67" s="187">
        <f t="shared" si="6"/>
        <v>0</v>
      </c>
      <c r="H67" s="186">
        <f t="shared" si="7"/>
        <v>1</v>
      </c>
      <c r="I67" s="187">
        <f t="shared" si="8"/>
        <v>1</v>
      </c>
      <c r="J67" s="186">
        <f t="shared" si="9"/>
        <v>1</v>
      </c>
      <c r="K67" s="187"/>
      <c r="L67" s="189">
        <f t="shared" si="11"/>
        <v>63</v>
      </c>
      <c r="M67" s="189">
        <f t="shared" si="10"/>
        <v>157.5</v>
      </c>
    </row>
    <row r="68" spans="1:13" ht="12.75" customHeight="1" x14ac:dyDescent="0.25">
      <c r="A68" s="191">
        <f t="shared" si="0"/>
        <v>195</v>
      </c>
      <c r="B68" s="186">
        <f t="shared" si="1"/>
        <v>1</v>
      </c>
      <c r="C68" s="187">
        <f t="shared" si="2"/>
        <v>0</v>
      </c>
      <c r="D68" s="186">
        <f t="shared" si="3"/>
        <v>0</v>
      </c>
      <c r="E68" s="187">
        <f t="shared" si="4"/>
        <v>1</v>
      </c>
      <c r="F68" s="186">
        <f t="shared" si="5"/>
        <v>0</v>
      </c>
      <c r="G68" s="187">
        <f t="shared" si="6"/>
        <v>1</v>
      </c>
      <c r="H68" s="186">
        <f t="shared" si="7"/>
        <v>0</v>
      </c>
      <c r="I68" s="187">
        <f t="shared" si="8"/>
        <v>0</v>
      </c>
      <c r="J68" s="186">
        <f t="shared" si="9"/>
        <v>0</v>
      </c>
      <c r="K68" s="187"/>
      <c r="L68" s="189">
        <f t="shared" si="11"/>
        <v>64</v>
      </c>
      <c r="M68" s="189">
        <f t="shared" si="10"/>
        <v>160</v>
      </c>
    </row>
    <row r="69" spans="1:13" ht="12.75" customHeight="1" x14ac:dyDescent="0.25">
      <c r="A69" s="191">
        <f t="shared" ref="A69:A132" si="12">IF(M69+$K$2&gt;$L$1,0,M69+$K$2)</f>
        <v>197.5</v>
      </c>
      <c r="B69" s="186">
        <f t="shared" ref="B69:B132" si="13">IF(A69=0,0,MIN($B$1/2,INT(M69/(2*$B$2))))</f>
        <v>1</v>
      </c>
      <c r="C69" s="187">
        <f t="shared" ref="C69:C132" si="14">IF(A69=0,0,MIN($C$1/2,INT(($M69-2*$B69*$B$2)/(2*$C$2))))</f>
        <v>0</v>
      </c>
      <c r="D69" s="186">
        <f t="shared" ref="D69:D132" si="15">IF(A69=0,0,MIN($D$1/2,INT(($M69-2*$B69*$B$2-2*$C69*$C$2)/(2*$D$2))))</f>
        <v>0</v>
      </c>
      <c r="E69" s="187">
        <f t="shared" ref="E69:E132" si="16">IF(A69=0,0,MIN($E$1/2,INT(($M69-2*$B69*$B$2-2*$C69*$C$2-2*$D69*$D$2)/(2*$E$2))))</f>
        <v>1</v>
      </c>
      <c r="F69" s="186">
        <f t="shared" ref="F69:F132" si="17">IF(A69=0,0,MIN($F$1/2,INT(($M69-2*$B69*$B$2-2*$C69*$C$2-2*$D69*$D$2-2*$E69*$E$2)/(2*$F$2))))</f>
        <v>0</v>
      </c>
      <c r="G69" s="187">
        <f t="shared" ref="G69:G132" si="18">IF(A69=0,0,MIN($G$1/2,INT(($M69-2*$B69*$B$2-2*$C69*$C$2-2*$D69*$D$2-2*$E69*$E$2-2*$F69*$F$2)/(2*$G$2))))</f>
        <v>1</v>
      </c>
      <c r="H69" s="186">
        <f t="shared" ref="H69:H132" si="19">IF(A69=0,0,MIN($H$1/2,INT(($M69-2*$B69*$B$2-2*$C69*$C$2-2*$D69*$D$2-2*$E69*$E$2-2*$F69*$F$2-2*$G69*$G$2)/(2*$H$2))))</f>
        <v>0</v>
      </c>
      <c r="I69" s="187">
        <f t="shared" ref="I69:I132" si="20">IF(A69=0,0,MIN($I$1/2,INT(($M69-2*$B69*$B$2-2*$C69*$C$2-2*$D69*$D$2-2*$E69*$E$2-2*$F69*$F$2-2*$G69*$G$2-2*$H69*$H$2)/(2*$I$2))))</f>
        <v>0</v>
      </c>
      <c r="J69" s="186">
        <f t="shared" ref="J69:J132" si="21">IF(A69=0,0,MIN($J$1/2,INT(($M69-2*$B69*$B$2-2*$C69*$C$2-2*$D69*$D$2-2*$E69*$E$2-2*$F69*$F$2-2*$G69*$G$2-2*$H69*$H$2-2*$I69*$I$2)/(2*$J$2))))</f>
        <v>1</v>
      </c>
      <c r="K69" s="187"/>
      <c r="L69" s="189">
        <f t="shared" si="11"/>
        <v>65</v>
      </c>
      <c r="M69" s="189">
        <f t="shared" ref="M69:M132" si="22">IF($A$2="Pounds",5*L69,2.5*L69)</f>
        <v>162.5</v>
      </c>
    </row>
    <row r="70" spans="1:13" ht="12.75" customHeight="1" x14ac:dyDescent="0.25">
      <c r="A70" s="191">
        <f t="shared" si="12"/>
        <v>200</v>
      </c>
      <c r="B70" s="186">
        <f t="shared" si="13"/>
        <v>1</v>
      </c>
      <c r="C70" s="187">
        <f t="shared" si="14"/>
        <v>0</v>
      </c>
      <c r="D70" s="186">
        <f t="shared" si="15"/>
        <v>0</v>
      </c>
      <c r="E70" s="187">
        <f t="shared" si="16"/>
        <v>1</v>
      </c>
      <c r="F70" s="186">
        <f t="shared" si="17"/>
        <v>0</v>
      </c>
      <c r="G70" s="187">
        <f t="shared" si="18"/>
        <v>1</v>
      </c>
      <c r="H70" s="186">
        <f t="shared" si="19"/>
        <v>0</v>
      </c>
      <c r="I70" s="187">
        <f t="shared" si="20"/>
        <v>1</v>
      </c>
      <c r="J70" s="186">
        <f t="shared" si="21"/>
        <v>0</v>
      </c>
      <c r="K70" s="187"/>
      <c r="L70" s="189">
        <f t="shared" si="11"/>
        <v>66</v>
      </c>
      <c r="M70" s="189">
        <f t="shared" si="22"/>
        <v>165</v>
      </c>
    </row>
    <row r="71" spans="1:13" ht="12.75" customHeight="1" x14ac:dyDescent="0.25">
      <c r="A71" s="191">
        <f t="shared" si="12"/>
        <v>202.5</v>
      </c>
      <c r="B71" s="186">
        <f t="shared" si="13"/>
        <v>1</v>
      </c>
      <c r="C71" s="187">
        <f t="shared" si="14"/>
        <v>0</v>
      </c>
      <c r="D71" s="186">
        <f t="shared" si="15"/>
        <v>0</v>
      </c>
      <c r="E71" s="187">
        <f t="shared" si="16"/>
        <v>1</v>
      </c>
      <c r="F71" s="186">
        <f t="shared" si="17"/>
        <v>0</v>
      </c>
      <c r="G71" s="187">
        <f t="shared" si="18"/>
        <v>1</v>
      </c>
      <c r="H71" s="186">
        <f t="shared" si="19"/>
        <v>0</v>
      </c>
      <c r="I71" s="187">
        <f t="shared" si="20"/>
        <v>1</v>
      </c>
      <c r="J71" s="186">
        <f t="shared" si="21"/>
        <v>1</v>
      </c>
      <c r="K71" s="187"/>
      <c r="L71" s="189">
        <f t="shared" si="11"/>
        <v>67</v>
      </c>
      <c r="M71" s="189">
        <f t="shared" si="22"/>
        <v>167.5</v>
      </c>
    </row>
    <row r="72" spans="1:13" ht="12.75" customHeight="1" x14ac:dyDescent="0.25">
      <c r="A72" s="191">
        <f t="shared" si="12"/>
        <v>205</v>
      </c>
      <c r="B72" s="186">
        <f t="shared" si="13"/>
        <v>1</v>
      </c>
      <c r="C72" s="187">
        <f t="shared" si="14"/>
        <v>0</v>
      </c>
      <c r="D72" s="186">
        <f t="shared" si="15"/>
        <v>0</v>
      </c>
      <c r="E72" s="187">
        <f t="shared" si="16"/>
        <v>1</v>
      </c>
      <c r="F72" s="186">
        <f t="shared" si="17"/>
        <v>1</v>
      </c>
      <c r="G72" s="187">
        <f t="shared" si="18"/>
        <v>0</v>
      </c>
      <c r="H72" s="186">
        <f t="shared" si="19"/>
        <v>0</v>
      </c>
      <c r="I72" s="187">
        <f t="shared" si="20"/>
        <v>0</v>
      </c>
      <c r="J72" s="186">
        <f t="shared" si="21"/>
        <v>0</v>
      </c>
      <c r="K72" s="187"/>
      <c r="L72" s="189">
        <f t="shared" si="11"/>
        <v>68</v>
      </c>
      <c r="M72" s="189">
        <f t="shared" si="22"/>
        <v>170</v>
      </c>
    </row>
    <row r="73" spans="1:13" ht="12.75" customHeight="1" x14ac:dyDescent="0.25">
      <c r="A73" s="191">
        <f t="shared" si="12"/>
        <v>207.5</v>
      </c>
      <c r="B73" s="186">
        <f t="shared" si="13"/>
        <v>1</v>
      </c>
      <c r="C73" s="187">
        <f t="shared" si="14"/>
        <v>0</v>
      </c>
      <c r="D73" s="186">
        <f t="shared" si="15"/>
        <v>0</v>
      </c>
      <c r="E73" s="187">
        <f t="shared" si="16"/>
        <v>1</v>
      </c>
      <c r="F73" s="186">
        <f t="shared" si="17"/>
        <v>1</v>
      </c>
      <c r="G73" s="187">
        <f t="shared" si="18"/>
        <v>0</v>
      </c>
      <c r="H73" s="186">
        <f t="shared" si="19"/>
        <v>0</v>
      </c>
      <c r="I73" s="187">
        <f t="shared" si="20"/>
        <v>0</v>
      </c>
      <c r="J73" s="186">
        <f t="shared" si="21"/>
        <v>1</v>
      </c>
      <c r="K73" s="187"/>
      <c r="L73" s="189">
        <f t="shared" si="11"/>
        <v>69</v>
      </c>
      <c r="M73" s="189">
        <f t="shared" si="22"/>
        <v>172.5</v>
      </c>
    </row>
    <row r="74" spans="1:13" ht="12.75" customHeight="1" x14ac:dyDescent="0.25">
      <c r="A74" s="191">
        <f t="shared" si="12"/>
        <v>210</v>
      </c>
      <c r="B74" s="186">
        <f t="shared" si="13"/>
        <v>1</v>
      </c>
      <c r="C74" s="187">
        <f t="shared" si="14"/>
        <v>0</v>
      </c>
      <c r="D74" s="186">
        <f t="shared" si="15"/>
        <v>0</v>
      </c>
      <c r="E74" s="187">
        <f t="shared" si="16"/>
        <v>1</v>
      </c>
      <c r="F74" s="186">
        <f t="shared" si="17"/>
        <v>1</v>
      </c>
      <c r="G74" s="187">
        <f t="shared" si="18"/>
        <v>0</v>
      </c>
      <c r="H74" s="186">
        <f t="shared" si="19"/>
        <v>0</v>
      </c>
      <c r="I74" s="187">
        <f t="shared" si="20"/>
        <v>1</v>
      </c>
      <c r="J74" s="186">
        <f t="shared" si="21"/>
        <v>0</v>
      </c>
      <c r="K74" s="187"/>
      <c r="L74" s="189">
        <f t="shared" si="11"/>
        <v>70</v>
      </c>
      <c r="M74" s="189">
        <f t="shared" si="22"/>
        <v>175</v>
      </c>
    </row>
    <row r="75" spans="1:13" ht="12.75" customHeight="1" x14ac:dyDescent="0.25">
      <c r="A75" s="191">
        <f t="shared" si="12"/>
        <v>212.5</v>
      </c>
      <c r="B75" s="186">
        <f t="shared" si="13"/>
        <v>1</v>
      </c>
      <c r="C75" s="187">
        <f t="shared" si="14"/>
        <v>0</v>
      </c>
      <c r="D75" s="186">
        <f t="shared" si="15"/>
        <v>0</v>
      </c>
      <c r="E75" s="187">
        <f t="shared" si="16"/>
        <v>1</v>
      </c>
      <c r="F75" s="186">
        <f t="shared" si="17"/>
        <v>1</v>
      </c>
      <c r="G75" s="187">
        <f t="shared" si="18"/>
        <v>0</v>
      </c>
      <c r="H75" s="186">
        <f t="shared" si="19"/>
        <v>0</v>
      </c>
      <c r="I75" s="187">
        <f t="shared" si="20"/>
        <v>1</v>
      </c>
      <c r="J75" s="186">
        <f t="shared" si="21"/>
        <v>1</v>
      </c>
      <c r="K75" s="187"/>
      <c r="L75" s="189">
        <f t="shared" si="11"/>
        <v>71</v>
      </c>
      <c r="M75" s="189">
        <f t="shared" si="22"/>
        <v>177.5</v>
      </c>
    </row>
    <row r="76" spans="1:13" ht="12.75" customHeight="1" x14ac:dyDescent="0.25">
      <c r="A76" s="191">
        <f t="shared" si="12"/>
        <v>215</v>
      </c>
      <c r="B76" s="186">
        <f t="shared" si="13"/>
        <v>1</v>
      </c>
      <c r="C76" s="187">
        <f t="shared" si="14"/>
        <v>0</v>
      </c>
      <c r="D76" s="186">
        <f t="shared" si="15"/>
        <v>0</v>
      </c>
      <c r="E76" s="187">
        <f t="shared" si="16"/>
        <v>2</v>
      </c>
      <c r="F76" s="186">
        <f t="shared" si="17"/>
        <v>0</v>
      </c>
      <c r="G76" s="187">
        <f t="shared" si="18"/>
        <v>0</v>
      </c>
      <c r="H76" s="186">
        <f t="shared" si="19"/>
        <v>0</v>
      </c>
      <c r="I76" s="187">
        <f t="shared" si="20"/>
        <v>0</v>
      </c>
      <c r="J76" s="186">
        <f t="shared" si="21"/>
        <v>0</v>
      </c>
      <c r="K76" s="187"/>
      <c r="L76" s="189">
        <f t="shared" si="11"/>
        <v>72</v>
      </c>
      <c r="M76" s="189">
        <f t="shared" si="22"/>
        <v>180</v>
      </c>
    </row>
    <row r="77" spans="1:13" ht="12.75" customHeight="1" x14ac:dyDescent="0.25">
      <c r="A77" s="191">
        <f t="shared" si="12"/>
        <v>217.5</v>
      </c>
      <c r="B77" s="186">
        <f t="shared" si="13"/>
        <v>1</v>
      </c>
      <c r="C77" s="187">
        <f t="shared" si="14"/>
        <v>0</v>
      </c>
      <c r="D77" s="186">
        <f t="shared" si="15"/>
        <v>0</v>
      </c>
      <c r="E77" s="187">
        <f t="shared" si="16"/>
        <v>2</v>
      </c>
      <c r="F77" s="186">
        <f t="shared" si="17"/>
        <v>0</v>
      </c>
      <c r="G77" s="187">
        <f t="shared" si="18"/>
        <v>0</v>
      </c>
      <c r="H77" s="186">
        <f t="shared" si="19"/>
        <v>0</v>
      </c>
      <c r="I77" s="187">
        <f t="shared" si="20"/>
        <v>0</v>
      </c>
      <c r="J77" s="186">
        <f t="shared" si="21"/>
        <v>1</v>
      </c>
      <c r="K77" s="187"/>
      <c r="L77" s="189">
        <f t="shared" ref="L77:L140" si="23">L76+1</f>
        <v>73</v>
      </c>
      <c r="M77" s="189">
        <f t="shared" si="22"/>
        <v>182.5</v>
      </c>
    </row>
    <row r="78" spans="1:13" ht="12.75" customHeight="1" x14ac:dyDescent="0.25">
      <c r="A78" s="191">
        <f t="shared" si="12"/>
        <v>220</v>
      </c>
      <c r="B78" s="186">
        <f t="shared" si="13"/>
        <v>1</v>
      </c>
      <c r="C78" s="187">
        <f t="shared" si="14"/>
        <v>0</v>
      </c>
      <c r="D78" s="186">
        <f t="shared" si="15"/>
        <v>0</v>
      </c>
      <c r="E78" s="187">
        <f t="shared" si="16"/>
        <v>2</v>
      </c>
      <c r="F78" s="186">
        <f t="shared" si="17"/>
        <v>0</v>
      </c>
      <c r="G78" s="187">
        <f t="shared" si="18"/>
        <v>0</v>
      </c>
      <c r="H78" s="186">
        <f t="shared" si="19"/>
        <v>0</v>
      </c>
      <c r="I78" s="187">
        <f t="shared" si="20"/>
        <v>1</v>
      </c>
      <c r="J78" s="186">
        <f t="shared" si="21"/>
        <v>0</v>
      </c>
      <c r="K78" s="187"/>
      <c r="L78" s="189">
        <f t="shared" si="23"/>
        <v>74</v>
      </c>
      <c r="M78" s="189">
        <f t="shared" si="22"/>
        <v>185</v>
      </c>
    </row>
    <row r="79" spans="1:13" ht="12.75" customHeight="1" x14ac:dyDescent="0.25">
      <c r="A79" s="191">
        <f t="shared" si="12"/>
        <v>222.5</v>
      </c>
      <c r="B79" s="186">
        <f t="shared" si="13"/>
        <v>1</v>
      </c>
      <c r="C79" s="187">
        <f t="shared" si="14"/>
        <v>0</v>
      </c>
      <c r="D79" s="186">
        <f t="shared" si="15"/>
        <v>0</v>
      </c>
      <c r="E79" s="187">
        <f t="shared" si="16"/>
        <v>2</v>
      </c>
      <c r="F79" s="186">
        <f t="shared" si="17"/>
        <v>0</v>
      </c>
      <c r="G79" s="187">
        <f t="shared" si="18"/>
        <v>0</v>
      </c>
      <c r="H79" s="186">
        <f t="shared" si="19"/>
        <v>0</v>
      </c>
      <c r="I79" s="187">
        <f t="shared" si="20"/>
        <v>1</v>
      </c>
      <c r="J79" s="186">
        <f t="shared" si="21"/>
        <v>1</v>
      </c>
      <c r="K79" s="187"/>
      <c r="L79" s="189">
        <f t="shared" si="23"/>
        <v>75</v>
      </c>
      <c r="M79" s="189">
        <f t="shared" si="22"/>
        <v>187.5</v>
      </c>
    </row>
    <row r="80" spans="1:13" ht="12.75" customHeight="1" x14ac:dyDescent="0.25">
      <c r="A80" s="191">
        <f t="shared" si="12"/>
        <v>225</v>
      </c>
      <c r="B80" s="186">
        <f t="shared" si="13"/>
        <v>1</v>
      </c>
      <c r="C80" s="187">
        <f t="shared" si="14"/>
        <v>0</v>
      </c>
      <c r="D80" s="186">
        <f t="shared" si="15"/>
        <v>0</v>
      </c>
      <c r="E80" s="187">
        <f t="shared" si="16"/>
        <v>2</v>
      </c>
      <c r="F80" s="186">
        <f t="shared" si="17"/>
        <v>0</v>
      </c>
      <c r="G80" s="187">
        <f t="shared" si="18"/>
        <v>0</v>
      </c>
      <c r="H80" s="186">
        <f t="shared" si="19"/>
        <v>1</v>
      </c>
      <c r="I80" s="187">
        <f t="shared" si="20"/>
        <v>0</v>
      </c>
      <c r="J80" s="186">
        <f t="shared" si="21"/>
        <v>0</v>
      </c>
      <c r="K80" s="187"/>
      <c r="L80" s="189">
        <f t="shared" si="23"/>
        <v>76</v>
      </c>
      <c r="M80" s="189">
        <f t="shared" si="22"/>
        <v>190</v>
      </c>
    </row>
    <row r="81" spans="1:13" ht="12.75" customHeight="1" x14ac:dyDescent="0.25">
      <c r="A81" s="191">
        <f t="shared" si="12"/>
        <v>227.5</v>
      </c>
      <c r="B81" s="186">
        <f t="shared" si="13"/>
        <v>1</v>
      </c>
      <c r="C81" s="187">
        <f t="shared" si="14"/>
        <v>0</v>
      </c>
      <c r="D81" s="186">
        <f t="shared" si="15"/>
        <v>0</v>
      </c>
      <c r="E81" s="187">
        <f t="shared" si="16"/>
        <v>2</v>
      </c>
      <c r="F81" s="186">
        <f t="shared" si="17"/>
        <v>0</v>
      </c>
      <c r="G81" s="187">
        <f t="shared" si="18"/>
        <v>0</v>
      </c>
      <c r="H81" s="186">
        <f t="shared" si="19"/>
        <v>1</v>
      </c>
      <c r="I81" s="187">
        <f t="shared" si="20"/>
        <v>0</v>
      </c>
      <c r="J81" s="186">
        <f t="shared" si="21"/>
        <v>1</v>
      </c>
      <c r="K81" s="187"/>
      <c r="L81" s="189">
        <f t="shared" si="23"/>
        <v>77</v>
      </c>
      <c r="M81" s="189">
        <f t="shared" si="22"/>
        <v>192.5</v>
      </c>
    </row>
    <row r="82" spans="1:13" ht="12.75" customHeight="1" x14ac:dyDescent="0.25">
      <c r="A82" s="191">
        <f t="shared" si="12"/>
        <v>230</v>
      </c>
      <c r="B82" s="186">
        <f t="shared" si="13"/>
        <v>1</v>
      </c>
      <c r="C82" s="187">
        <f t="shared" si="14"/>
        <v>0</v>
      </c>
      <c r="D82" s="186">
        <f t="shared" si="15"/>
        <v>0</v>
      </c>
      <c r="E82" s="187">
        <f t="shared" si="16"/>
        <v>2</v>
      </c>
      <c r="F82" s="186">
        <f t="shared" si="17"/>
        <v>0</v>
      </c>
      <c r="G82" s="187">
        <f t="shared" si="18"/>
        <v>0</v>
      </c>
      <c r="H82" s="186">
        <f t="shared" si="19"/>
        <v>1</v>
      </c>
      <c r="I82" s="187">
        <f t="shared" si="20"/>
        <v>1</v>
      </c>
      <c r="J82" s="186">
        <f t="shared" si="21"/>
        <v>0</v>
      </c>
      <c r="K82" s="187"/>
      <c r="L82" s="189">
        <f t="shared" si="23"/>
        <v>78</v>
      </c>
      <c r="M82" s="189">
        <f t="shared" si="22"/>
        <v>195</v>
      </c>
    </row>
    <row r="83" spans="1:13" ht="12.75" customHeight="1" x14ac:dyDescent="0.25">
      <c r="A83" s="191">
        <f t="shared" si="12"/>
        <v>232.5</v>
      </c>
      <c r="B83" s="186">
        <f t="shared" si="13"/>
        <v>1</v>
      </c>
      <c r="C83" s="187">
        <f t="shared" si="14"/>
        <v>0</v>
      </c>
      <c r="D83" s="186">
        <f t="shared" si="15"/>
        <v>0</v>
      </c>
      <c r="E83" s="187">
        <f t="shared" si="16"/>
        <v>2</v>
      </c>
      <c r="F83" s="186">
        <f t="shared" si="17"/>
        <v>0</v>
      </c>
      <c r="G83" s="187">
        <f t="shared" si="18"/>
        <v>0</v>
      </c>
      <c r="H83" s="186">
        <f t="shared" si="19"/>
        <v>1</v>
      </c>
      <c r="I83" s="187">
        <f t="shared" si="20"/>
        <v>1</v>
      </c>
      <c r="J83" s="186">
        <f t="shared" si="21"/>
        <v>1</v>
      </c>
      <c r="K83" s="187"/>
      <c r="L83" s="189">
        <f t="shared" si="23"/>
        <v>79</v>
      </c>
      <c r="M83" s="189">
        <f t="shared" si="22"/>
        <v>197.5</v>
      </c>
    </row>
    <row r="84" spans="1:13" ht="12.75" customHeight="1" x14ac:dyDescent="0.25">
      <c r="A84" s="191">
        <f t="shared" si="12"/>
        <v>235</v>
      </c>
      <c r="B84" s="186">
        <f t="shared" si="13"/>
        <v>2</v>
      </c>
      <c r="C84" s="187">
        <f t="shared" si="14"/>
        <v>0</v>
      </c>
      <c r="D84" s="186">
        <f t="shared" si="15"/>
        <v>0</v>
      </c>
      <c r="E84" s="187">
        <f t="shared" si="16"/>
        <v>0</v>
      </c>
      <c r="F84" s="186">
        <f t="shared" si="17"/>
        <v>0</v>
      </c>
      <c r="G84" s="187">
        <f t="shared" si="18"/>
        <v>0</v>
      </c>
      <c r="H84" s="186">
        <f t="shared" si="19"/>
        <v>0</v>
      </c>
      <c r="I84" s="187">
        <f t="shared" si="20"/>
        <v>0</v>
      </c>
      <c r="J84" s="186">
        <f t="shared" si="21"/>
        <v>0</v>
      </c>
      <c r="K84" s="187"/>
      <c r="L84" s="189">
        <f t="shared" si="23"/>
        <v>80</v>
      </c>
      <c r="M84" s="189">
        <f t="shared" si="22"/>
        <v>200</v>
      </c>
    </row>
    <row r="85" spans="1:13" ht="12.75" customHeight="1" x14ac:dyDescent="0.25">
      <c r="A85" s="191">
        <f t="shared" si="12"/>
        <v>237.5</v>
      </c>
      <c r="B85" s="186">
        <f t="shared" si="13"/>
        <v>2</v>
      </c>
      <c r="C85" s="187">
        <f t="shared" si="14"/>
        <v>0</v>
      </c>
      <c r="D85" s="186">
        <f t="shared" si="15"/>
        <v>0</v>
      </c>
      <c r="E85" s="187">
        <f t="shared" si="16"/>
        <v>0</v>
      </c>
      <c r="F85" s="186">
        <f t="shared" si="17"/>
        <v>0</v>
      </c>
      <c r="G85" s="187">
        <f t="shared" si="18"/>
        <v>0</v>
      </c>
      <c r="H85" s="186">
        <f t="shared" si="19"/>
        <v>0</v>
      </c>
      <c r="I85" s="187">
        <f t="shared" si="20"/>
        <v>0</v>
      </c>
      <c r="J85" s="186">
        <f t="shared" si="21"/>
        <v>1</v>
      </c>
      <c r="K85" s="187"/>
      <c r="L85" s="189">
        <f t="shared" si="23"/>
        <v>81</v>
      </c>
      <c r="M85" s="189">
        <f t="shared" si="22"/>
        <v>202.5</v>
      </c>
    </row>
    <row r="86" spans="1:13" ht="12.75" customHeight="1" x14ac:dyDescent="0.25">
      <c r="A86" s="191">
        <f t="shared" si="12"/>
        <v>240</v>
      </c>
      <c r="B86" s="186">
        <f t="shared" si="13"/>
        <v>2</v>
      </c>
      <c r="C86" s="187">
        <f t="shared" si="14"/>
        <v>0</v>
      </c>
      <c r="D86" s="186">
        <f t="shared" si="15"/>
        <v>0</v>
      </c>
      <c r="E86" s="187">
        <f t="shared" si="16"/>
        <v>0</v>
      </c>
      <c r="F86" s="186">
        <f t="shared" si="17"/>
        <v>0</v>
      </c>
      <c r="G86" s="187">
        <f t="shared" si="18"/>
        <v>0</v>
      </c>
      <c r="H86" s="186">
        <f t="shared" si="19"/>
        <v>0</v>
      </c>
      <c r="I86" s="187">
        <f t="shared" si="20"/>
        <v>1</v>
      </c>
      <c r="J86" s="186">
        <f t="shared" si="21"/>
        <v>0</v>
      </c>
      <c r="K86" s="187"/>
      <c r="L86" s="189">
        <f t="shared" si="23"/>
        <v>82</v>
      </c>
      <c r="M86" s="189">
        <f t="shared" si="22"/>
        <v>205</v>
      </c>
    </row>
    <row r="87" spans="1:13" ht="12.75" customHeight="1" x14ac:dyDescent="0.25">
      <c r="A87" s="191">
        <f t="shared" si="12"/>
        <v>242.5</v>
      </c>
      <c r="B87" s="186">
        <f t="shared" si="13"/>
        <v>2</v>
      </c>
      <c r="C87" s="187">
        <f t="shared" si="14"/>
        <v>0</v>
      </c>
      <c r="D87" s="186">
        <f t="shared" si="15"/>
        <v>0</v>
      </c>
      <c r="E87" s="187">
        <f t="shared" si="16"/>
        <v>0</v>
      </c>
      <c r="F87" s="186">
        <f t="shared" si="17"/>
        <v>0</v>
      </c>
      <c r="G87" s="187">
        <f t="shared" si="18"/>
        <v>0</v>
      </c>
      <c r="H87" s="186">
        <f t="shared" si="19"/>
        <v>0</v>
      </c>
      <c r="I87" s="187">
        <f t="shared" si="20"/>
        <v>1</v>
      </c>
      <c r="J87" s="186">
        <f t="shared" si="21"/>
        <v>1</v>
      </c>
      <c r="K87" s="187"/>
      <c r="L87" s="189">
        <f t="shared" si="23"/>
        <v>83</v>
      </c>
      <c r="M87" s="189">
        <f t="shared" si="22"/>
        <v>207.5</v>
      </c>
    </row>
    <row r="88" spans="1:13" ht="12.75" customHeight="1" x14ac:dyDescent="0.25">
      <c r="A88" s="191">
        <f t="shared" si="12"/>
        <v>245</v>
      </c>
      <c r="B88" s="186">
        <f t="shared" si="13"/>
        <v>2</v>
      </c>
      <c r="C88" s="187">
        <f t="shared" si="14"/>
        <v>0</v>
      </c>
      <c r="D88" s="186">
        <f t="shared" si="15"/>
        <v>0</v>
      </c>
      <c r="E88" s="187">
        <f t="shared" si="16"/>
        <v>0</v>
      </c>
      <c r="F88" s="186">
        <f t="shared" si="17"/>
        <v>0</v>
      </c>
      <c r="G88" s="187">
        <f t="shared" si="18"/>
        <v>0</v>
      </c>
      <c r="H88" s="186">
        <f t="shared" si="19"/>
        <v>1</v>
      </c>
      <c r="I88" s="187">
        <f t="shared" si="20"/>
        <v>0</v>
      </c>
      <c r="J88" s="186">
        <f t="shared" si="21"/>
        <v>0</v>
      </c>
      <c r="K88" s="187"/>
      <c r="L88" s="189">
        <f t="shared" si="23"/>
        <v>84</v>
      </c>
      <c r="M88" s="189">
        <f t="shared" si="22"/>
        <v>210</v>
      </c>
    </row>
    <row r="89" spans="1:13" ht="12.75" customHeight="1" x14ac:dyDescent="0.25">
      <c r="A89" s="191">
        <f t="shared" si="12"/>
        <v>247.5</v>
      </c>
      <c r="B89" s="186">
        <f t="shared" si="13"/>
        <v>2</v>
      </c>
      <c r="C89" s="187">
        <f t="shared" si="14"/>
        <v>0</v>
      </c>
      <c r="D89" s="186">
        <f t="shared" si="15"/>
        <v>0</v>
      </c>
      <c r="E89" s="187">
        <f t="shared" si="16"/>
        <v>0</v>
      </c>
      <c r="F89" s="186">
        <f t="shared" si="17"/>
        <v>0</v>
      </c>
      <c r="G89" s="187">
        <f t="shared" si="18"/>
        <v>0</v>
      </c>
      <c r="H89" s="186">
        <f t="shared" si="19"/>
        <v>1</v>
      </c>
      <c r="I89" s="187">
        <f t="shared" si="20"/>
        <v>0</v>
      </c>
      <c r="J89" s="186">
        <f t="shared" si="21"/>
        <v>1</v>
      </c>
      <c r="K89" s="187"/>
      <c r="L89" s="189">
        <f t="shared" si="23"/>
        <v>85</v>
      </c>
      <c r="M89" s="189">
        <f t="shared" si="22"/>
        <v>212.5</v>
      </c>
    </row>
    <row r="90" spans="1:13" ht="12.75" customHeight="1" x14ac:dyDescent="0.25">
      <c r="A90" s="191">
        <f t="shared" si="12"/>
        <v>250</v>
      </c>
      <c r="B90" s="186">
        <f t="shared" si="13"/>
        <v>2</v>
      </c>
      <c r="C90" s="187">
        <f t="shared" si="14"/>
        <v>0</v>
      </c>
      <c r="D90" s="186">
        <f t="shared" si="15"/>
        <v>0</v>
      </c>
      <c r="E90" s="187">
        <f t="shared" si="16"/>
        <v>0</v>
      </c>
      <c r="F90" s="186">
        <f t="shared" si="17"/>
        <v>0</v>
      </c>
      <c r="G90" s="187">
        <f t="shared" si="18"/>
        <v>0</v>
      </c>
      <c r="H90" s="186">
        <f t="shared" si="19"/>
        <v>1</v>
      </c>
      <c r="I90" s="187">
        <f t="shared" si="20"/>
        <v>1</v>
      </c>
      <c r="J90" s="186">
        <f t="shared" si="21"/>
        <v>0</v>
      </c>
      <c r="K90" s="187"/>
      <c r="L90" s="189">
        <f t="shared" si="23"/>
        <v>86</v>
      </c>
      <c r="M90" s="189">
        <f t="shared" si="22"/>
        <v>215</v>
      </c>
    </row>
    <row r="91" spans="1:13" ht="12.75" customHeight="1" x14ac:dyDescent="0.25">
      <c r="A91" s="191">
        <f t="shared" si="12"/>
        <v>252.5</v>
      </c>
      <c r="B91" s="186">
        <f t="shared" si="13"/>
        <v>2</v>
      </c>
      <c r="C91" s="187">
        <f t="shared" si="14"/>
        <v>0</v>
      </c>
      <c r="D91" s="186">
        <f t="shared" si="15"/>
        <v>0</v>
      </c>
      <c r="E91" s="187">
        <f t="shared" si="16"/>
        <v>0</v>
      </c>
      <c r="F91" s="186">
        <f t="shared" si="17"/>
        <v>0</v>
      </c>
      <c r="G91" s="187">
        <f t="shared" si="18"/>
        <v>0</v>
      </c>
      <c r="H91" s="186">
        <f t="shared" si="19"/>
        <v>1</v>
      </c>
      <c r="I91" s="187">
        <f t="shared" si="20"/>
        <v>1</v>
      </c>
      <c r="J91" s="186">
        <f t="shared" si="21"/>
        <v>1</v>
      </c>
      <c r="K91" s="187"/>
      <c r="L91" s="189">
        <f t="shared" si="23"/>
        <v>87</v>
      </c>
      <c r="M91" s="189">
        <f t="shared" si="22"/>
        <v>217.5</v>
      </c>
    </row>
    <row r="92" spans="1:13" ht="12.75" customHeight="1" x14ac:dyDescent="0.25">
      <c r="A92" s="191">
        <f t="shared" si="12"/>
        <v>255</v>
      </c>
      <c r="B92" s="186">
        <f t="shared" si="13"/>
        <v>2</v>
      </c>
      <c r="C92" s="187">
        <f t="shared" si="14"/>
        <v>0</v>
      </c>
      <c r="D92" s="186">
        <f t="shared" si="15"/>
        <v>0</v>
      </c>
      <c r="E92" s="187">
        <f t="shared" si="16"/>
        <v>0</v>
      </c>
      <c r="F92" s="186">
        <f t="shared" si="17"/>
        <v>0</v>
      </c>
      <c r="G92" s="187">
        <f t="shared" si="18"/>
        <v>1</v>
      </c>
      <c r="H92" s="186">
        <f t="shared" si="19"/>
        <v>0</v>
      </c>
      <c r="I92" s="187">
        <f t="shared" si="20"/>
        <v>0</v>
      </c>
      <c r="J92" s="186">
        <f t="shared" si="21"/>
        <v>0</v>
      </c>
      <c r="K92" s="187"/>
      <c r="L92" s="189">
        <f t="shared" si="23"/>
        <v>88</v>
      </c>
      <c r="M92" s="189">
        <f t="shared" si="22"/>
        <v>220</v>
      </c>
    </row>
    <row r="93" spans="1:13" ht="12.75" customHeight="1" x14ac:dyDescent="0.25">
      <c r="A93" s="191">
        <f t="shared" si="12"/>
        <v>257.5</v>
      </c>
      <c r="B93" s="186">
        <f t="shared" si="13"/>
        <v>2</v>
      </c>
      <c r="C93" s="187">
        <f t="shared" si="14"/>
        <v>0</v>
      </c>
      <c r="D93" s="186">
        <f t="shared" si="15"/>
        <v>0</v>
      </c>
      <c r="E93" s="187">
        <f t="shared" si="16"/>
        <v>0</v>
      </c>
      <c r="F93" s="186">
        <f t="shared" si="17"/>
        <v>0</v>
      </c>
      <c r="G93" s="187">
        <f t="shared" si="18"/>
        <v>1</v>
      </c>
      <c r="H93" s="186">
        <f t="shared" si="19"/>
        <v>0</v>
      </c>
      <c r="I93" s="187">
        <f t="shared" si="20"/>
        <v>0</v>
      </c>
      <c r="J93" s="186">
        <f t="shared" si="21"/>
        <v>1</v>
      </c>
      <c r="K93" s="187"/>
      <c r="L93" s="189">
        <f t="shared" si="23"/>
        <v>89</v>
      </c>
      <c r="M93" s="189">
        <f t="shared" si="22"/>
        <v>222.5</v>
      </c>
    </row>
    <row r="94" spans="1:13" ht="12.75" customHeight="1" x14ac:dyDescent="0.25">
      <c r="A94" s="191">
        <f t="shared" si="12"/>
        <v>260</v>
      </c>
      <c r="B94" s="186">
        <f t="shared" si="13"/>
        <v>2</v>
      </c>
      <c r="C94" s="187">
        <f t="shared" si="14"/>
        <v>0</v>
      </c>
      <c r="D94" s="186">
        <f t="shared" si="15"/>
        <v>0</v>
      </c>
      <c r="E94" s="187">
        <f t="shared" si="16"/>
        <v>0</v>
      </c>
      <c r="F94" s="186">
        <f t="shared" si="17"/>
        <v>0</v>
      </c>
      <c r="G94" s="187">
        <f t="shared" si="18"/>
        <v>1</v>
      </c>
      <c r="H94" s="186">
        <f t="shared" si="19"/>
        <v>0</v>
      </c>
      <c r="I94" s="187">
        <f t="shared" si="20"/>
        <v>1</v>
      </c>
      <c r="J94" s="186">
        <f t="shared" si="21"/>
        <v>0</v>
      </c>
      <c r="K94" s="187"/>
      <c r="L94" s="189">
        <f t="shared" si="23"/>
        <v>90</v>
      </c>
      <c r="M94" s="189">
        <f t="shared" si="22"/>
        <v>225</v>
      </c>
    </row>
    <row r="95" spans="1:13" ht="12.75" customHeight="1" x14ac:dyDescent="0.25">
      <c r="A95" s="191">
        <f t="shared" si="12"/>
        <v>262.5</v>
      </c>
      <c r="B95" s="186">
        <f t="shared" si="13"/>
        <v>2</v>
      </c>
      <c r="C95" s="187">
        <f t="shared" si="14"/>
        <v>0</v>
      </c>
      <c r="D95" s="186">
        <f t="shared" si="15"/>
        <v>0</v>
      </c>
      <c r="E95" s="187">
        <f t="shared" si="16"/>
        <v>0</v>
      </c>
      <c r="F95" s="186">
        <f t="shared" si="17"/>
        <v>0</v>
      </c>
      <c r="G95" s="187">
        <f t="shared" si="18"/>
        <v>1</v>
      </c>
      <c r="H95" s="186">
        <f t="shared" si="19"/>
        <v>0</v>
      </c>
      <c r="I95" s="187">
        <f t="shared" si="20"/>
        <v>1</v>
      </c>
      <c r="J95" s="186">
        <f t="shared" si="21"/>
        <v>1</v>
      </c>
      <c r="K95" s="187"/>
      <c r="L95" s="189">
        <f t="shared" si="23"/>
        <v>91</v>
      </c>
      <c r="M95" s="189">
        <f t="shared" si="22"/>
        <v>227.5</v>
      </c>
    </row>
    <row r="96" spans="1:13" ht="12.75" customHeight="1" x14ac:dyDescent="0.25">
      <c r="A96" s="191">
        <f t="shared" si="12"/>
        <v>265</v>
      </c>
      <c r="B96" s="186">
        <f t="shared" si="13"/>
        <v>2</v>
      </c>
      <c r="C96" s="187">
        <f t="shared" si="14"/>
        <v>0</v>
      </c>
      <c r="D96" s="186">
        <f t="shared" si="15"/>
        <v>0</v>
      </c>
      <c r="E96" s="187">
        <f t="shared" si="16"/>
        <v>0</v>
      </c>
      <c r="F96" s="186">
        <f t="shared" si="17"/>
        <v>1</v>
      </c>
      <c r="G96" s="187">
        <f t="shared" si="18"/>
        <v>0</v>
      </c>
      <c r="H96" s="186">
        <f t="shared" si="19"/>
        <v>0</v>
      </c>
      <c r="I96" s="187">
        <f t="shared" si="20"/>
        <v>0</v>
      </c>
      <c r="J96" s="186">
        <f t="shared" si="21"/>
        <v>0</v>
      </c>
      <c r="K96" s="187"/>
      <c r="L96" s="189">
        <f t="shared" si="23"/>
        <v>92</v>
      </c>
      <c r="M96" s="189">
        <f t="shared" si="22"/>
        <v>230</v>
      </c>
    </row>
    <row r="97" spans="1:13" ht="12.75" customHeight="1" x14ac:dyDescent="0.25">
      <c r="A97" s="191">
        <f t="shared" si="12"/>
        <v>267.5</v>
      </c>
      <c r="B97" s="186">
        <f t="shared" si="13"/>
        <v>2</v>
      </c>
      <c r="C97" s="187">
        <f t="shared" si="14"/>
        <v>0</v>
      </c>
      <c r="D97" s="186">
        <f t="shared" si="15"/>
        <v>0</v>
      </c>
      <c r="E97" s="187">
        <f t="shared" si="16"/>
        <v>0</v>
      </c>
      <c r="F97" s="186">
        <f t="shared" si="17"/>
        <v>1</v>
      </c>
      <c r="G97" s="187">
        <f t="shared" si="18"/>
        <v>0</v>
      </c>
      <c r="H97" s="186">
        <f t="shared" si="19"/>
        <v>0</v>
      </c>
      <c r="I97" s="187">
        <f t="shared" si="20"/>
        <v>0</v>
      </c>
      <c r="J97" s="186">
        <f t="shared" si="21"/>
        <v>1</v>
      </c>
      <c r="K97" s="187"/>
      <c r="L97" s="189">
        <f t="shared" si="23"/>
        <v>93</v>
      </c>
      <c r="M97" s="189">
        <f t="shared" si="22"/>
        <v>232.5</v>
      </c>
    </row>
    <row r="98" spans="1:13" ht="12.75" customHeight="1" x14ac:dyDescent="0.25">
      <c r="A98" s="191">
        <f t="shared" si="12"/>
        <v>270</v>
      </c>
      <c r="B98" s="186">
        <f t="shared" si="13"/>
        <v>2</v>
      </c>
      <c r="C98" s="187">
        <f t="shared" si="14"/>
        <v>0</v>
      </c>
      <c r="D98" s="186">
        <f t="shared" si="15"/>
        <v>0</v>
      </c>
      <c r="E98" s="187">
        <f t="shared" si="16"/>
        <v>0</v>
      </c>
      <c r="F98" s="186">
        <f t="shared" si="17"/>
        <v>1</v>
      </c>
      <c r="G98" s="187">
        <f t="shared" si="18"/>
        <v>0</v>
      </c>
      <c r="H98" s="186">
        <f t="shared" si="19"/>
        <v>0</v>
      </c>
      <c r="I98" s="187">
        <f t="shared" si="20"/>
        <v>1</v>
      </c>
      <c r="J98" s="186">
        <f t="shared" si="21"/>
        <v>0</v>
      </c>
      <c r="K98" s="187"/>
      <c r="L98" s="189">
        <f t="shared" si="23"/>
        <v>94</v>
      </c>
      <c r="M98" s="189">
        <f t="shared" si="22"/>
        <v>235</v>
      </c>
    </row>
    <row r="99" spans="1:13" ht="12.75" customHeight="1" x14ac:dyDescent="0.25">
      <c r="A99" s="191">
        <f t="shared" si="12"/>
        <v>272.5</v>
      </c>
      <c r="B99" s="186">
        <f t="shared" si="13"/>
        <v>2</v>
      </c>
      <c r="C99" s="187">
        <f t="shared" si="14"/>
        <v>0</v>
      </c>
      <c r="D99" s="186">
        <f t="shared" si="15"/>
        <v>0</v>
      </c>
      <c r="E99" s="187">
        <f t="shared" si="16"/>
        <v>0</v>
      </c>
      <c r="F99" s="186">
        <f t="shared" si="17"/>
        <v>1</v>
      </c>
      <c r="G99" s="187">
        <f t="shared" si="18"/>
        <v>0</v>
      </c>
      <c r="H99" s="186">
        <f t="shared" si="19"/>
        <v>0</v>
      </c>
      <c r="I99" s="187">
        <f t="shared" si="20"/>
        <v>1</v>
      </c>
      <c r="J99" s="186">
        <f t="shared" si="21"/>
        <v>1</v>
      </c>
      <c r="K99" s="187"/>
      <c r="L99" s="189">
        <f t="shared" si="23"/>
        <v>95</v>
      </c>
      <c r="M99" s="189">
        <f t="shared" si="22"/>
        <v>237.5</v>
      </c>
    </row>
    <row r="100" spans="1:13" ht="12.75" customHeight="1" x14ac:dyDescent="0.25">
      <c r="A100" s="191">
        <f t="shared" si="12"/>
        <v>275</v>
      </c>
      <c r="B100" s="186">
        <f t="shared" si="13"/>
        <v>2</v>
      </c>
      <c r="C100" s="187">
        <f t="shared" si="14"/>
        <v>0</v>
      </c>
      <c r="D100" s="186">
        <f t="shared" si="15"/>
        <v>0</v>
      </c>
      <c r="E100" s="187">
        <f t="shared" si="16"/>
        <v>1</v>
      </c>
      <c r="F100" s="186">
        <f t="shared" si="17"/>
        <v>0</v>
      </c>
      <c r="G100" s="187">
        <f t="shared" si="18"/>
        <v>0</v>
      </c>
      <c r="H100" s="186">
        <f t="shared" si="19"/>
        <v>0</v>
      </c>
      <c r="I100" s="187">
        <f t="shared" si="20"/>
        <v>0</v>
      </c>
      <c r="J100" s="186">
        <f t="shared" si="21"/>
        <v>0</v>
      </c>
      <c r="K100" s="187"/>
      <c r="L100" s="189">
        <f t="shared" si="23"/>
        <v>96</v>
      </c>
      <c r="M100" s="189">
        <f t="shared" si="22"/>
        <v>240</v>
      </c>
    </row>
    <row r="101" spans="1:13" ht="12.75" customHeight="1" x14ac:dyDescent="0.25">
      <c r="A101" s="191">
        <f t="shared" si="12"/>
        <v>277.5</v>
      </c>
      <c r="B101" s="186">
        <f t="shared" si="13"/>
        <v>2</v>
      </c>
      <c r="C101" s="187">
        <f t="shared" si="14"/>
        <v>0</v>
      </c>
      <c r="D101" s="186">
        <f t="shared" si="15"/>
        <v>0</v>
      </c>
      <c r="E101" s="187">
        <f t="shared" si="16"/>
        <v>1</v>
      </c>
      <c r="F101" s="186">
        <f t="shared" si="17"/>
        <v>0</v>
      </c>
      <c r="G101" s="187">
        <f t="shared" si="18"/>
        <v>0</v>
      </c>
      <c r="H101" s="186">
        <f t="shared" si="19"/>
        <v>0</v>
      </c>
      <c r="I101" s="187">
        <f t="shared" si="20"/>
        <v>0</v>
      </c>
      <c r="J101" s="186">
        <f t="shared" si="21"/>
        <v>1</v>
      </c>
      <c r="K101" s="187"/>
      <c r="L101" s="189">
        <f t="shared" si="23"/>
        <v>97</v>
      </c>
      <c r="M101" s="189">
        <f t="shared" si="22"/>
        <v>242.5</v>
      </c>
    </row>
    <row r="102" spans="1:13" ht="12.75" customHeight="1" x14ac:dyDescent="0.25">
      <c r="A102" s="191">
        <f t="shared" si="12"/>
        <v>280</v>
      </c>
      <c r="B102" s="186">
        <f t="shared" si="13"/>
        <v>2</v>
      </c>
      <c r="C102" s="187">
        <f t="shared" si="14"/>
        <v>0</v>
      </c>
      <c r="D102" s="186">
        <f t="shared" si="15"/>
        <v>0</v>
      </c>
      <c r="E102" s="187">
        <f t="shared" si="16"/>
        <v>1</v>
      </c>
      <c r="F102" s="186">
        <f t="shared" si="17"/>
        <v>0</v>
      </c>
      <c r="G102" s="187">
        <f t="shared" si="18"/>
        <v>0</v>
      </c>
      <c r="H102" s="186">
        <f t="shared" si="19"/>
        <v>0</v>
      </c>
      <c r="I102" s="187">
        <f t="shared" si="20"/>
        <v>1</v>
      </c>
      <c r="J102" s="186">
        <f t="shared" si="21"/>
        <v>0</v>
      </c>
      <c r="K102" s="187"/>
      <c r="L102" s="189">
        <f t="shared" si="23"/>
        <v>98</v>
      </c>
      <c r="M102" s="189">
        <f t="shared" si="22"/>
        <v>245</v>
      </c>
    </row>
    <row r="103" spans="1:13" ht="12.75" customHeight="1" x14ac:dyDescent="0.25">
      <c r="A103" s="191">
        <f t="shared" si="12"/>
        <v>282.5</v>
      </c>
      <c r="B103" s="186">
        <f t="shared" si="13"/>
        <v>2</v>
      </c>
      <c r="C103" s="187">
        <f t="shared" si="14"/>
        <v>0</v>
      </c>
      <c r="D103" s="186">
        <f t="shared" si="15"/>
        <v>0</v>
      </c>
      <c r="E103" s="187">
        <f t="shared" si="16"/>
        <v>1</v>
      </c>
      <c r="F103" s="186">
        <f t="shared" si="17"/>
        <v>0</v>
      </c>
      <c r="G103" s="187">
        <f t="shared" si="18"/>
        <v>0</v>
      </c>
      <c r="H103" s="186">
        <f t="shared" si="19"/>
        <v>0</v>
      </c>
      <c r="I103" s="187">
        <f t="shared" si="20"/>
        <v>1</v>
      </c>
      <c r="J103" s="186">
        <f t="shared" si="21"/>
        <v>1</v>
      </c>
      <c r="K103" s="187"/>
      <c r="L103" s="189">
        <f t="shared" si="23"/>
        <v>99</v>
      </c>
      <c r="M103" s="189">
        <f t="shared" si="22"/>
        <v>247.5</v>
      </c>
    </row>
    <row r="104" spans="1:13" ht="12.75" customHeight="1" x14ac:dyDescent="0.25">
      <c r="A104" s="191">
        <f t="shared" si="12"/>
        <v>285</v>
      </c>
      <c r="B104" s="186">
        <f t="shared" si="13"/>
        <v>2</v>
      </c>
      <c r="C104" s="187">
        <f t="shared" si="14"/>
        <v>0</v>
      </c>
      <c r="D104" s="186">
        <f t="shared" si="15"/>
        <v>0</v>
      </c>
      <c r="E104" s="187">
        <f t="shared" si="16"/>
        <v>1</v>
      </c>
      <c r="F104" s="186">
        <f t="shared" si="17"/>
        <v>0</v>
      </c>
      <c r="G104" s="187">
        <f t="shared" si="18"/>
        <v>0</v>
      </c>
      <c r="H104" s="186">
        <f t="shared" si="19"/>
        <v>1</v>
      </c>
      <c r="I104" s="187">
        <f t="shared" si="20"/>
        <v>0</v>
      </c>
      <c r="J104" s="186">
        <f t="shared" si="21"/>
        <v>0</v>
      </c>
      <c r="K104" s="187"/>
      <c r="L104" s="189">
        <f t="shared" si="23"/>
        <v>100</v>
      </c>
      <c r="M104" s="189">
        <f t="shared" si="22"/>
        <v>250</v>
      </c>
    </row>
    <row r="105" spans="1:13" ht="12.75" customHeight="1" x14ac:dyDescent="0.25">
      <c r="A105" s="191">
        <f t="shared" si="12"/>
        <v>287.5</v>
      </c>
      <c r="B105" s="186">
        <f t="shared" si="13"/>
        <v>2</v>
      </c>
      <c r="C105" s="187">
        <f t="shared" si="14"/>
        <v>0</v>
      </c>
      <c r="D105" s="186">
        <f t="shared" si="15"/>
        <v>0</v>
      </c>
      <c r="E105" s="187">
        <f t="shared" si="16"/>
        <v>1</v>
      </c>
      <c r="F105" s="186">
        <f t="shared" si="17"/>
        <v>0</v>
      </c>
      <c r="G105" s="187">
        <f t="shared" si="18"/>
        <v>0</v>
      </c>
      <c r="H105" s="186">
        <f t="shared" si="19"/>
        <v>1</v>
      </c>
      <c r="I105" s="187">
        <f t="shared" si="20"/>
        <v>0</v>
      </c>
      <c r="J105" s="186">
        <f t="shared" si="21"/>
        <v>1</v>
      </c>
      <c r="K105" s="187"/>
      <c r="L105" s="189">
        <f t="shared" si="23"/>
        <v>101</v>
      </c>
      <c r="M105" s="189">
        <f t="shared" si="22"/>
        <v>252.5</v>
      </c>
    </row>
    <row r="106" spans="1:13" ht="12.75" customHeight="1" x14ac:dyDescent="0.25">
      <c r="A106" s="191">
        <f t="shared" si="12"/>
        <v>290</v>
      </c>
      <c r="B106" s="186">
        <f t="shared" si="13"/>
        <v>2</v>
      </c>
      <c r="C106" s="187">
        <f t="shared" si="14"/>
        <v>0</v>
      </c>
      <c r="D106" s="186">
        <f t="shared" si="15"/>
        <v>0</v>
      </c>
      <c r="E106" s="187">
        <f t="shared" si="16"/>
        <v>1</v>
      </c>
      <c r="F106" s="186">
        <f t="shared" si="17"/>
        <v>0</v>
      </c>
      <c r="G106" s="187">
        <f t="shared" si="18"/>
        <v>0</v>
      </c>
      <c r="H106" s="186">
        <f t="shared" si="19"/>
        <v>1</v>
      </c>
      <c r="I106" s="187">
        <f t="shared" si="20"/>
        <v>1</v>
      </c>
      <c r="J106" s="186">
        <f t="shared" si="21"/>
        <v>0</v>
      </c>
      <c r="K106" s="187"/>
      <c r="L106" s="189">
        <f t="shared" si="23"/>
        <v>102</v>
      </c>
      <c r="M106" s="189">
        <f t="shared" si="22"/>
        <v>255</v>
      </c>
    </row>
    <row r="107" spans="1:13" ht="12.75" customHeight="1" x14ac:dyDescent="0.25">
      <c r="A107" s="191">
        <f t="shared" si="12"/>
        <v>292.5</v>
      </c>
      <c r="B107" s="186">
        <f t="shared" si="13"/>
        <v>2</v>
      </c>
      <c r="C107" s="187">
        <f t="shared" si="14"/>
        <v>0</v>
      </c>
      <c r="D107" s="186">
        <f t="shared" si="15"/>
        <v>0</v>
      </c>
      <c r="E107" s="187">
        <f t="shared" si="16"/>
        <v>1</v>
      </c>
      <c r="F107" s="186">
        <f t="shared" si="17"/>
        <v>0</v>
      </c>
      <c r="G107" s="187">
        <f t="shared" si="18"/>
        <v>0</v>
      </c>
      <c r="H107" s="186">
        <f t="shared" si="19"/>
        <v>1</v>
      </c>
      <c r="I107" s="187">
        <f t="shared" si="20"/>
        <v>1</v>
      </c>
      <c r="J107" s="186">
        <f t="shared" si="21"/>
        <v>1</v>
      </c>
      <c r="K107" s="187"/>
      <c r="L107" s="189">
        <f t="shared" si="23"/>
        <v>103</v>
      </c>
      <c r="M107" s="189">
        <f t="shared" si="22"/>
        <v>257.5</v>
      </c>
    </row>
    <row r="108" spans="1:13" ht="12.75" customHeight="1" x14ac:dyDescent="0.25">
      <c r="A108" s="191">
        <f t="shared" si="12"/>
        <v>295</v>
      </c>
      <c r="B108" s="186">
        <f t="shared" si="13"/>
        <v>2</v>
      </c>
      <c r="C108" s="187">
        <f t="shared" si="14"/>
        <v>0</v>
      </c>
      <c r="D108" s="186">
        <f t="shared" si="15"/>
        <v>0</v>
      </c>
      <c r="E108" s="187">
        <f t="shared" si="16"/>
        <v>1</v>
      </c>
      <c r="F108" s="186">
        <f t="shared" si="17"/>
        <v>0</v>
      </c>
      <c r="G108" s="187">
        <f t="shared" si="18"/>
        <v>1</v>
      </c>
      <c r="H108" s="186">
        <f t="shared" si="19"/>
        <v>0</v>
      </c>
      <c r="I108" s="187">
        <f t="shared" si="20"/>
        <v>0</v>
      </c>
      <c r="J108" s="186">
        <f t="shared" si="21"/>
        <v>0</v>
      </c>
      <c r="K108" s="187"/>
      <c r="L108" s="189">
        <f t="shared" si="23"/>
        <v>104</v>
      </c>
      <c r="M108" s="189">
        <f t="shared" si="22"/>
        <v>260</v>
      </c>
    </row>
    <row r="109" spans="1:13" ht="12.75" customHeight="1" x14ac:dyDescent="0.25">
      <c r="A109" s="191">
        <f t="shared" si="12"/>
        <v>297.5</v>
      </c>
      <c r="B109" s="186">
        <f t="shared" si="13"/>
        <v>2</v>
      </c>
      <c r="C109" s="187">
        <f t="shared" si="14"/>
        <v>0</v>
      </c>
      <c r="D109" s="186">
        <f t="shared" si="15"/>
        <v>0</v>
      </c>
      <c r="E109" s="187">
        <f t="shared" si="16"/>
        <v>1</v>
      </c>
      <c r="F109" s="186">
        <f t="shared" si="17"/>
        <v>0</v>
      </c>
      <c r="G109" s="187">
        <f t="shared" si="18"/>
        <v>1</v>
      </c>
      <c r="H109" s="186">
        <f t="shared" si="19"/>
        <v>0</v>
      </c>
      <c r="I109" s="187">
        <f t="shared" si="20"/>
        <v>0</v>
      </c>
      <c r="J109" s="186">
        <f t="shared" si="21"/>
        <v>1</v>
      </c>
      <c r="K109" s="187"/>
      <c r="L109" s="189">
        <f t="shared" si="23"/>
        <v>105</v>
      </c>
      <c r="M109" s="189">
        <f t="shared" si="22"/>
        <v>262.5</v>
      </c>
    </row>
    <row r="110" spans="1:13" ht="12.75" customHeight="1" x14ac:dyDescent="0.25">
      <c r="A110" s="191">
        <f t="shared" si="12"/>
        <v>300</v>
      </c>
      <c r="B110" s="186">
        <f t="shared" si="13"/>
        <v>2</v>
      </c>
      <c r="C110" s="187">
        <f t="shared" si="14"/>
        <v>0</v>
      </c>
      <c r="D110" s="186">
        <f t="shared" si="15"/>
        <v>0</v>
      </c>
      <c r="E110" s="187">
        <f t="shared" si="16"/>
        <v>1</v>
      </c>
      <c r="F110" s="186">
        <f t="shared" si="17"/>
        <v>0</v>
      </c>
      <c r="G110" s="187">
        <f t="shared" si="18"/>
        <v>1</v>
      </c>
      <c r="H110" s="186">
        <f t="shared" si="19"/>
        <v>0</v>
      </c>
      <c r="I110" s="187">
        <f t="shared" si="20"/>
        <v>1</v>
      </c>
      <c r="J110" s="186">
        <f t="shared" si="21"/>
        <v>0</v>
      </c>
      <c r="K110" s="187"/>
      <c r="L110" s="189">
        <f t="shared" si="23"/>
        <v>106</v>
      </c>
      <c r="M110" s="189">
        <f t="shared" si="22"/>
        <v>265</v>
      </c>
    </row>
    <row r="111" spans="1:13" ht="12.75" customHeight="1" x14ac:dyDescent="0.25">
      <c r="A111" s="191">
        <f t="shared" si="12"/>
        <v>302.5</v>
      </c>
      <c r="B111" s="186">
        <f t="shared" si="13"/>
        <v>2</v>
      </c>
      <c r="C111" s="187">
        <f t="shared" si="14"/>
        <v>0</v>
      </c>
      <c r="D111" s="186">
        <f t="shared" si="15"/>
        <v>0</v>
      </c>
      <c r="E111" s="187">
        <f t="shared" si="16"/>
        <v>1</v>
      </c>
      <c r="F111" s="186">
        <f t="shared" si="17"/>
        <v>0</v>
      </c>
      <c r="G111" s="187">
        <f t="shared" si="18"/>
        <v>1</v>
      </c>
      <c r="H111" s="186">
        <f t="shared" si="19"/>
        <v>0</v>
      </c>
      <c r="I111" s="187">
        <f t="shared" si="20"/>
        <v>1</v>
      </c>
      <c r="J111" s="186">
        <f t="shared" si="21"/>
        <v>1</v>
      </c>
      <c r="K111" s="187"/>
      <c r="L111" s="189">
        <f t="shared" si="23"/>
        <v>107</v>
      </c>
      <c r="M111" s="189">
        <f t="shared" si="22"/>
        <v>267.5</v>
      </c>
    </row>
    <row r="112" spans="1:13" ht="12.75" customHeight="1" x14ac:dyDescent="0.25">
      <c r="A112" s="191">
        <f t="shared" si="12"/>
        <v>305</v>
      </c>
      <c r="B112" s="186">
        <f t="shared" si="13"/>
        <v>2</v>
      </c>
      <c r="C112" s="187">
        <f t="shared" si="14"/>
        <v>0</v>
      </c>
      <c r="D112" s="186">
        <f t="shared" si="15"/>
        <v>0</v>
      </c>
      <c r="E112" s="187">
        <f t="shared" si="16"/>
        <v>1</v>
      </c>
      <c r="F112" s="186">
        <f t="shared" si="17"/>
        <v>1</v>
      </c>
      <c r="G112" s="187">
        <f t="shared" si="18"/>
        <v>0</v>
      </c>
      <c r="H112" s="186">
        <f t="shared" si="19"/>
        <v>0</v>
      </c>
      <c r="I112" s="187">
        <f t="shared" si="20"/>
        <v>0</v>
      </c>
      <c r="J112" s="186">
        <f t="shared" si="21"/>
        <v>0</v>
      </c>
      <c r="K112" s="187"/>
      <c r="L112" s="189">
        <f t="shared" si="23"/>
        <v>108</v>
      </c>
      <c r="M112" s="189">
        <f t="shared" si="22"/>
        <v>270</v>
      </c>
    </row>
    <row r="113" spans="1:13" ht="12.75" customHeight="1" x14ac:dyDescent="0.25">
      <c r="A113" s="191">
        <f t="shared" si="12"/>
        <v>307.5</v>
      </c>
      <c r="B113" s="186">
        <f t="shared" si="13"/>
        <v>2</v>
      </c>
      <c r="C113" s="187">
        <f t="shared" si="14"/>
        <v>0</v>
      </c>
      <c r="D113" s="186">
        <f t="shared" si="15"/>
        <v>0</v>
      </c>
      <c r="E113" s="187">
        <f t="shared" si="16"/>
        <v>1</v>
      </c>
      <c r="F113" s="186">
        <f t="shared" si="17"/>
        <v>1</v>
      </c>
      <c r="G113" s="187">
        <f t="shared" si="18"/>
        <v>0</v>
      </c>
      <c r="H113" s="186">
        <f t="shared" si="19"/>
        <v>0</v>
      </c>
      <c r="I113" s="187">
        <f t="shared" si="20"/>
        <v>0</v>
      </c>
      <c r="J113" s="186">
        <f t="shared" si="21"/>
        <v>1</v>
      </c>
      <c r="K113" s="187"/>
      <c r="L113" s="189">
        <f t="shared" si="23"/>
        <v>109</v>
      </c>
      <c r="M113" s="189">
        <f t="shared" si="22"/>
        <v>272.5</v>
      </c>
    </row>
    <row r="114" spans="1:13" ht="12.75" customHeight="1" x14ac:dyDescent="0.25">
      <c r="A114" s="191">
        <f t="shared" si="12"/>
        <v>310</v>
      </c>
      <c r="B114" s="186">
        <f t="shared" si="13"/>
        <v>2</v>
      </c>
      <c r="C114" s="187">
        <f t="shared" si="14"/>
        <v>0</v>
      </c>
      <c r="D114" s="186">
        <f t="shared" si="15"/>
        <v>0</v>
      </c>
      <c r="E114" s="187">
        <f t="shared" si="16"/>
        <v>1</v>
      </c>
      <c r="F114" s="186">
        <f t="shared" si="17"/>
        <v>1</v>
      </c>
      <c r="G114" s="187">
        <f t="shared" si="18"/>
        <v>0</v>
      </c>
      <c r="H114" s="186">
        <f t="shared" si="19"/>
        <v>0</v>
      </c>
      <c r="I114" s="187">
        <f t="shared" si="20"/>
        <v>1</v>
      </c>
      <c r="J114" s="186">
        <f t="shared" si="21"/>
        <v>0</v>
      </c>
      <c r="K114" s="187"/>
      <c r="L114" s="189">
        <f t="shared" si="23"/>
        <v>110</v>
      </c>
      <c r="M114" s="189">
        <f t="shared" si="22"/>
        <v>275</v>
      </c>
    </row>
    <row r="115" spans="1:13" ht="12.75" customHeight="1" x14ac:dyDescent="0.25">
      <c r="A115" s="191">
        <f t="shared" si="12"/>
        <v>312.5</v>
      </c>
      <c r="B115" s="186">
        <f t="shared" si="13"/>
        <v>2</v>
      </c>
      <c r="C115" s="187">
        <f t="shared" si="14"/>
        <v>0</v>
      </c>
      <c r="D115" s="186">
        <f t="shared" si="15"/>
        <v>0</v>
      </c>
      <c r="E115" s="187">
        <f t="shared" si="16"/>
        <v>1</v>
      </c>
      <c r="F115" s="186">
        <f t="shared" si="17"/>
        <v>1</v>
      </c>
      <c r="G115" s="187">
        <f t="shared" si="18"/>
        <v>0</v>
      </c>
      <c r="H115" s="186">
        <f t="shared" si="19"/>
        <v>0</v>
      </c>
      <c r="I115" s="187">
        <f t="shared" si="20"/>
        <v>1</v>
      </c>
      <c r="J115" s="186">
        <f t="shared" si="21"/>
        <v>1</v>
      </c>
      <c r="K115" s="187"/>
      <c r="L115" s="189">
        <f t="shared" si="23"/>
        <v>111</v>
      </c>
      <c r="M115" s="189">
        <f t="shared" si="22"/>
        <v>277.5</v>
      </c>
    </row>
    <row r="116" spans="1:13" ht="12.75" customHeight="1" x14ac:dyDescent="0.25">
      <c r="A116" s="191">
        <f t="shared" si="12"/>
        <v>315</v>
      </c>
      <c r="B116" s="186">
        <f t="shared" si="13"/>
        <v>2</v>
      </c>
      <c r="C116" s="187">
        <f t="shared" si="14"/>
        <v>0</v>
      </c>
      <c r="D116" s="186">
        <f t="shared" si="15"/>
        <v>0</v>
      </c>
      <c r="E116" s="187">
        <f t="shared" si="16"/>
        <v>2</v>
      </c>
      <c r="F116" s="186">
        <f t="shared" si="17"/>
        <v>0</v>
      </c>
      <c r="G116" s="187">
        <f t="shared" si="18"/>
        <v>0</v>
      </c>
      <c r="H116" s="186">
        <f t="shared" si="19"/>
        <v>0</v>
      </c>
      <c r="I116" s="187">
        <f t="shared" si="20"/>
        <v>0</v>
      </c>
      <c r="J116" s="186">
        <f t="shared" si="21"/>
        <v>0</v>
      </c>
      <c r="K116" s="187"/>
      <c r="L116" s="189">
        <f t="shared" si="23"/>
        <v>112</v>
      </c>
      <c r="M116" s="189">
        <f t="shared" si="22"/>
        <v>280</v>
      </c>
    </row>
    <row r="117" spans="1:13" ht="12.75" customHeight="1" x14ac:dyDescent="0.25">
      <c r="A117" s="191">
        <f t="shared" si="12"/>
        <v>317.5</v>
      </c>
      <c r="B117" s="186">
        <f t="shared" si="13"/>
        <v>2</v>
      </c>
      <c r="C117" s="187">
        <f t="shared" si="14"/>
        <v>0</v>
      </c>
      <c r="D117" s="186">
        <f t="shared" si="15"/>
        <v>0</v>
      </c>
      <c r="E117" s="187">
        <f t="shared" si="16"/>
        <v>2</v>
      </c>
      <c r="F117" s="186">
        <f t="shared" si="17"/>
        <v>0</v>
      </c>
      <c r="G117" s="187">
        <f t="shared" si="18"/>
        <v>0</v>
      </c>
      <c r="H117" s="186">
        <f t="shared" si="19"/>
        <v>0</v>
      </c>
      <c r="I117" s="187">
        <f t="shared" si="20"/>
        <v>0</v>
      </c>
      <c r="J117" s="186">
        <f t="shared" si="21"/>
        <v>1</v>
      </c>
      <c r="K117" s="187"/>
      <c r="L117" s="189">
        <f t="shared" si="23"/>
        <v>113</v>
      </c>
      <c r="M117" s="189">
        <f t="shared" si="22"/>
        <v>282.5</v>
      </c>
    </row>
    <row r="118" spans="1:13" ht="12.75" customHeight="1" x14ac:dyDescent="0.25">
      <c r="A118" s="191">
        <f t="shared" si="12"/>
        <v>320</v>
      </c>
      <c r="B118" s="186">
        <f t="shared" si="13"/>
        <v>2</v>
      </c>
      <c r="C118" s="187">
        <f t="shared" si="14"/>
        <v>0</v>
      </c>
      <c r="D118" s="186">
        <f t="shared" si="15"/>
        <v>0</v>
      </c>
      <c r="E118" s="187">
        <f t="shared" si="16"/>
        <v>2</v>
      </c>
      <c r="F118" s="186">
        <f t="shared" si="17"/>
        <v>0</v>
      </c>
      <c r="G118" s="187">
        <f t="shared" si="18"/>
        <v>0</v>
      </c>
      <c r="H118" s="186">
        <f t="shared" si="19"/>
        <v>0</v>
      </c>
      <c r="I118" s="187">
        <f t="shared" si="20"/>
        <v>1</v>
      </c>
      <c r="J118" s="186">
        <f t="shared" si="21"/>
        <v>0</v>
      </c>
      <c r="K118" s="187"/>
      <c r="L118" s="189">
        <f t="shared" si="23"/>
        <v>114</v>
      </c>
      <c r="M118" s="189">
        <f t="shared" si="22"/>
        <v>285</v>
      </c>
    </row>
    <row r="119" spans="1:13" ht="12.75" customHeight="1" x14ac:dyDescent="0.25">
      <c r="A119" s="191">
        <f t="shared" si="12"/>
        <v>322.5</v>
      </c>
      <c r="B119" s="186">
        <f t="shared" si="13"/>
        <v>2</v>
      </c>
      <c r="C119" s="187">
        <f t="shared" si="14"/>
        <v>0</v>
      </c>
      <c r="D119" s="186">
        <f t="shared" si="15"/>
        <v>0</v>
      </c>
      <c r="E119" s="187">
        <f t="shared" si="16"/>
        <v>2</v>
      </c>
      <c r="F119" s="186">
        <f t="shared" si="17"/>
        <v>0</v>
      </c>
      <c r="G119" s="187">
        <f t="shared" si="18"/>
        <v>0</v>
      </c>
      <c r="H119" s="186">
        <f t="shared" si="19"/>
        <v>0</v>
      </c>
      <c r="I119" s="187">
        <f t="shared" si="20"/>
        <v>1</v>
      </c>
      <c r="J119" s="186">
        <f t="shared" si="21"/>
        <v>1</v>
      </c>
      <c r="K119" s="187"/>
      <c r="L119" s="189">
        <f t="shared" si="23"/>
        <v>115</v>
      </c>
      <c r="M119" s="189">
        <f t="shared" si="22"/>
        <v>287.5</v>
      </c>
    </row>
    <row r="120" spans="1:13" ht="12.75" customHeight="1" x14ac:dyDescent="0.25">
      <c r="A120" s="191">
        <f t="shared" si="12"/>
        <v>325</v>
      </c>
      <c r="B120" s="186">
        <f t="shared" si="13"/>
        <v>2</v>
      </c>
      <c r="C120" s="187">
        <f t="shared" si="14"/>
        <v>0</v>
      </c>
      <c r="D120" s="186">
        <f t="shared" si="15"/>
        <v>0</v>
      </c>
      <c r="E120" s="187">
        <f t="shared" si="16"/>
        <v>2</v>
      </c>
      <c r="F120" s="186">
        <f t="shared" si="17"/>
        <v>0</v>
      </c>
      <c r="G120" s="187">
        <f t="shared" si="18"/>
        <v>0</v>
      </c>
      <c r="H120" s="186">
        <f t="shared" si="19"/>
        <v>1</v>
      </c>
      <c r="I120" s="187">
        <f t="shared" si="20"/>
        <v>0</v>
      </c>
      <c r="J120" s="186">
        <f t="shared" si="21"/>
        <v>0</v>
      </c>
      <c r="K120" s="187"/>
      <c r="L120" s="189">
        <f t="shared" si="23"/>
        <v>116</v>
      </c>
      <c r="M120" s="189">
        <f t="shared" si="22"/>
        <v>290</v>
      </c>
    </row>
    <row r="121" spans="1:13" ht="12.75" customHeight="1" x14ac:dyDescent="0.25">
      <c r="A121" s="191">
        <f t="shared" si="12"/>
        <v>327.5</v>
      </c>
      <c r="B121" s="186">
        <f t="shared" si="13"/>
        <v>2</v>
      </c>
      <c r="C121" s="187">
        <f t="shared" si="14"/>
        <v>0</v>
      </c>
      <c r="D121" s="186">
        <f t="shared" si="15"/>
        <v>0</v>
      </c>
      <c r="E121" s="187">
        <f t="shared" si="16"/>
        <v>2</v>
      </c>
      <c r="F121" s="186">
        <f t="shared" si="17"/>
        <v>0</v>
      </c>
      <c r="G121" s="187">
        <f t="shared" si="18"/>
        <v>0</v>
      </c>
      <c r="H121" s="186">
        <f t="shared" si="19"/>
        <v>1</v>
      </c>
      <c r="I121" s="187">
        <f t="shared" si="20"/>
        <v>0</v>
      </c>
      <c r="J121" s="186">
        <f t="shared" si="21"/>
        <v>1</v>
      </c>
      <c r="K121" s="187"/>
      <c r="L121" s="189">
        <f t="shared" si="23"/>
        <v>117</v>
      </c>
      <c r="M121" s="189">
        <f t="shared" si="22"/>
        <v>292.5</v>
      </c>
    </row>
    <row r="122" spans="1:13" ht="12.75" customHeight="1" x14ac:dyDescent="0.25">
      <c r="A122" s="191">
        <f t="shared" si="12"/>
        <v>330</v>
      </c>
      <c r="B122" s="186">
        <f t="shared" si="13"/>
        <v>2</v>
      </c>
      <c r="C122" s="187">
        <f t="shared" si="14"/>
        <v>0</v>
      </c>
      <c r="D122" s="186">
        <f t="shared" si="15"/>
        <v>0</v>
      </c>
      <c r="E122" s="187">
        <f t="shared" si="16"/>
        <v>2</v>
      </c>
      <c r="F122" s="186">
        <f t="shared" si="17"/>
        <v>0</v>
      </c>
      <c r="G122" s="187">
        <f t="shared" si="18"/>
        <v>0</v>
      </c>
      <c r="H122" s="186">
        <f t="shared" si="19"/>
        <v>1</v>
      </c>
      <c r="I122" s="187">
        <f t="shared" si="20"/>
        <v>1</v>
      </c>
      <c r="J122" s="186">
        <f t="shared" si="21"/>
        <v>0</v>
      </c>
      <c r="K122" s="187"/>
      <c r="L122" s="189">
        <f t="shared" si="23"/>
        <v>118</v>
      </c>
      <c r="M122" s="189">
        <f t="shared" si="22"/>
        <v>295</v>
      </c>
    </row>
    <row r="123" spans="1:13" ht="12.75" customHeight="1" x14ac:dyDescent="0.25">
      <c r="A123" s="191">
        <f t="shared" si="12"/>
        <v>332.5</v>
      </c>
      <c r="B123" s="186">
        <f t="shared" si="13"/>
        <v>2</v>
      </c>
      <c r="C123" s="187">
        <f t="shared" si="14"/>
        <v>0</v>
      </c>
      <c r="D123" s="186">
        <f t="shared" si="15"/>
        <v>0</v>
      </c>
      <c r="E123" s="187">
        <f t="shared" si="16"/>
        <v>2</v>
      </c>
      <c r="F123" s="186">
        <f t="shared" si="17"/>
        <v>0</v>
      </c>
      <c r="G123" s="187">
        <f t="shared" si="18"/>
        <v>0</v>
      </c>
      <c r="H123" s="186">
        <f t="shared" si="19"/>
        <v>1</v>
      </c>
      <c r="I123" s="187">
        <f t="shared" si="20"/>
        <v>1</v>
      </c>
      <c r="J123" s="186">
        <f t="shared" si="21"/>
        <v>1</v>
      </c>
      <c r="K123" s="187"/>
      <c r="L123" s="189">
        <f t="shared" si="23"/>
        <v>119</v>
      </c>
      <c r="M123" s="189">
        <f t="shared" si="22"/>
        <v>297.5</v>
      </c>
    </row>
    <row r="124" spans="1:13" ht="12.75" customHeight="1" x14ac:dyDescent="0.25">
      <c r="A124" s="191">
        <f t="shared" si="12"/>
        <v>335</v>
      </c>
      <c r="B124" s="186">
        <f t="shared" si="13"/>
        <v>2</v>
      </c>
      <c r="C124" s="187">
        <f t="shared" si="14"/>
        <v>0</v>
      </c>
      <c r="D124" s="186">
        <f t="shared" si="15"/>
        <v>0</v>
      </c>
      <c r="E124" s="187">
        <f t="shared" si="16"/>
        <v>2</v>
      </c>
      <c r="F124" s="186">
        <f t="shared" si="17"/>
        <v>0</v>
      </c>
      <c r="G124" s="187">
        <f t="shared" si="18"/>
        <v>1</v>
      </c>
      <c r="H124" s="186">
        <f t="shared" si="19"/>
        <v>0</v>
      </c>
      <c r="I124" s="187">
        <f t="shared" si="20"/>
        <v>0</v>
      </c>
      <c r="J124" s="186">
        <f t="shared" si="21"/>
        <v>0</v>
      </c>
      <c r="K124" s="187"/>
      <c r="L124" s="189">
        <f t="shared" si="23"/>
        <v>120</v>
      </c>
      <c r="M124" s="189">
        <f t="shared" si="22"/>
        <v>300</v>
      </c>
    </row>
    <row r="125" spans="1:13" ht="12.75" customHeight="1" x14ac:dyDescent="0.25">
      <c r="A125" s="191">
        <f t="shared" si="12"/>
        <v>337.5</v>
      </c>
      <c r="B125" s="186">
        <f t="shared" si="13"/>
        <v>2</v>
      </c>
      <c r="C125" s="187">
        <f t="shared" si="14"/>
        <v>0</v>
      </c>
      <c r="D125" s="186">
        <f t="shared" si="15"/>
        <v>0</v>
      </c>
      <c r="E125" s="187">
        <f t="shared" si="16"/>
        <v>2</v>
      </c>
      <c r="F125" s="186">
        <f t="shared" si="17"/>
        <v>0</v>
      </c>
      <c r="G125" s="187">
        <f t="shared" si="18"/>
        <v>1</v>
      </c>
      <c r="H125" s="186">
        <f t="shared" si="19"/>
        <v>0</v>
      </c>
      <c r="I125" s="187">
        <f t="shared" si="20"/>
        <v>0</v>
      </c>
      <c r="J125" s="186">
        <f t="shared" si="21"/>
        <v>1</v>
      </c>
      <c r="K125" s="187"/>
      <c r="L125" s="189">
        <f t="shared" si="23"/>
        <v>121</v>
      </c>
      <c r="M125" s="189">
        <f t="shared" si="22"/>
        <v>302.5</v>
      </c>
    </row>
    <row r="126" spans="1:13" ht="12.75" customHeight="1" x14ac:dyDescent="0.25">
      <c r="A126" s="191">
        <f t="shared" si="12"/>
        <v>340</v>
      </c>
      <c r="B126" s="186">
        <f t="shared" si="13"/>
        <v>2</v>
      </c>
      <c r="C126" s="187">
        <f t="shared" si="14"/>
        <v>0</v>
      </c>
      <c r="D126" s="186">
        <f t="shared" si="15"/>
        <v>0</v>
      </c>
      <c r="E126" s="187">
        <f t="shared" si="16"/>
        <v>2</v>
      </c>
      <c r="F126" s="186">
        <f t="shared" si="17"/>
        <v>0</v>
      </c>
      <c r="G126" s="187">
        <f t="shared" si="18"/>
        <v>1</v>
      </c>
      <c r="H126" s="186">
        <f t="shared" si="19"/>
        <v>0</v>
      </c>
      <c r="I126" s="187">
        <f t="shared" si="20"/>
        <v>1</v>
      </c>
      <c r="J126" s="186">
        <f t="shared" si="21"/>
        <v>0</v>
      </c>
      <c r="K126" s="187"/>
      <c r="L126" s="189">
        <f t="shared" si="23"/>
        <v>122</v>
      </c>
      <c r="M126" s="189">
        <f t="shared" si="22"/>
        <v>305</v>
      </c>
    </row>
    <row r="127" spans="1:13" ht="12.75" customHeight="1" x14ac:dyDescent="0.25">
      <c r="A127" s="191">
        <f t="shared" si="12"/>
        <v>342.5</v>
      </c>
      <c r="B127" s="186">
        <f t="shared" si="13"/>
        <v>2</v>
      </c>
      <c r="C127" s="187">
        <f t="shared" si="14"/>
        <v>0</v>
      </c>
      <c r="D127" s="186">
        <f t="shared" si="15"/>
        <v>0</v>
      </c>
      <c r="E127" s="187">
        <f t="shared" si="16"/>
        <v>2</v>
      </c>
      <c r="F127" s="186">
        <f t="shared" si="17"/>
        <v>0</v>
      </c>
      <c r="G127" s="187">
        <f t="shared" si="18"/>
        <v>1</v>
      </c>
      <c r="H127" s="186">
        <f t="shared" si="19"/>
        <v>0</v>
      </c>
      <c r="I127" s="187">
        <f t="shared" si="20"/>
        <v>1</v>
      </c>
      <c r="J127" s="186">
        <f t="shared" si="21"/>
        <v>1</v>
      </c>
      <c r="K127" s="187"/>
      <c r="L127" s="189">
        <f t="shared" si="23"/>
        <v>123</v>
      </c>
      <c r="M127" s="189">
        <f t="shared" si="22"/>
        <v>307.5</v>
      </c>
    </row>
    <row r="128" spans="1:13" ht="12.75" customHeight="1" x14ac:dyDescent="0.25">
      <c r="A128" s="191">
        <f t="shared" si="12"/>
        <v>345</v>
      </c>
      <c r="B128" s="186">
        <f t="shared" si="13"/>
        <v>2</v>
      </c>
      <c r="C128" s="187">
        <f t="shared" si="14"/>
        <v>0</v>
      </c>
      <c r="D128" s="186">
        <f t="shared" si="15"/>
        <v>0</v>
      </c>
      <c r="E128" s="187">
        <f t="shared" si="16"/>
        <v>2</v>
      </c>
      <c r="F128" s="186">
        <f t="shared" si="17"/>
        <v>1</v>
      </c>
      <c r="G128" s="187">
        <f t="shared" si="18"/>
        <v>0</v>
      </c>
      <c r="H128" s="186">
        <f t="shared" si="19"/>
        <v>0</v>
      </c>
      <c r="I128" s="187">
        <f t="shared" si="20"/>
        <v>0</v>
      </c>
      <c r="J128" s="186">
        <f t="shared" si="21"/>
        <v>0</v>
      </c>
      <c r="K128" s="187"/>
      <c r="L128" s="189">
        <f t="shared" si="23"/>
        <v>124</v>
      </c>
      <c r="M128" s="189">
        <f t="shared" si="22"/>
        <v>310</v>
      </c>
    </row>
    <row r="129" spans="1:13" ht="12.75" customHeight="1" x14ac:dyDescent="0.25">
      <c r="A129" s="191">
        <f t="shared" si="12"/>
        <v>347.5</v>
      </c>
      <c r="B129" s="186">
        <f t="shared" si="13"/>
        <v>2</v>
      </c>
      <c r="C129" s="187">
        <f t="shared" si="14"/>
        <v>0</v>
      </c>
      <c r="D129" s="186">
        <f t="shared" si="15"/>
        <v>0</v>
      </c>
      <c r="E129" s="187">
        <f t="shared" si="16"/>
        <v>2</v>
      </c>
      <c r="F129" s="186">
        <f t="shared" si="17"/>
        <v>1</v>
      </c>
      <c r="G129" s="187">
        <f t="shared" si="18"/>
        <v>0</v>
      </c>
      <c r="H129" s="186">
        <f t="shared" si="19"/>
        <v>0</v>
      </c>
      <c r="I129" s="187">
        <f t="shared" si="20"/>
        <v>0</v>
      </c>
      <c r="J129" s="186">
        <f t="shared" si="21"/>
        <v>1</v>
      </c>
      <c r="K129" s="187"/>
      <c r="L129" s="189">
        <f t="shared" si="23"/>
        <v>125</v>
      </c>
      <c r="M129" s="189">
        <f t="shared" si="22"/>
        <v>312.5</v>
      </c>
    </row>
    <row r="130" spans="1:13" ht="12.75" customHeight="1" x14ac:dyDescent="0.25">
      <c r="A130" s="191">
        <f t="shared" si="12"/>
        <v>350</v>
      </c>
      <c r="B130" s="186">
        <f t="shared" si="13"/>
        <v>2</v>
      </c>
      <c r="C130" s="187">
        <f t="shared" si="14"/>
        <v>0</v>
      </c>
      <c r="D130" s="186">
        <f t="shared" si="15"/>
        <v>0</v>
      </c>
      <c r="E130" s="187">
        <f t="shared" si="16"/>
        <v>2</v>
      </c>
      <c r="F130" s="186">
        <f t="shared" si="17"/>
        <v>1</v>
      </c>
      <c r="G130" s="187">
        <f t="shared" si="18"/>
        <v>0</v>
      </c>
      <c r="H130" s="186">
        <f t="shared" si="19"/>
        <v>0</v>
      </c>
      <c r="I130" s="187">
        <f t="shared" si="20"/>
        <v>1</v>
      </c>
      <c r="J130" s="186">
        <f t="shared" si="21"/>
        <v>0</v>
      </c>
      <c r="K130" s="187"/>
      <c r="L130" s="189">
        <f t="shared" si="23"/>
        <v>126</v>
      </c>
      <c r="M130" s="189">
        <f t="shared" si="22"/>
        <v>315</v>
      </c>
    </row>
    <row r="131" spans="1:13" ht="12.75" customHeight="1" x14ac:dyDescent="0.25">
      <c r="A131" s="191">
        <f t="shared" si="12"/>
        <v>352.5</v>
      </c>
      <c r="B131" s="186">
        <f t="shared" si="13"/>
        <v>2</v>
      </c>
      <c r="C131" s="187">
        <f t="shared" si="14"/>
        <v>0</v>
      </c>
      <c r="D131" s="186">
        <f t="shared" si="15"/>
        <v>0</v>
      </c>
      <c r="E131" s="187">
        <f t="shared" si="16"/>
        <v>2</v>
      </c>
      <c r="F131" s="186">
        <f t="shared" si="17"/>
        <v>1</v>
      </c>
      <c r="G131" s="187">
        <f t="shared" si="18"/>
        <v>0</v>
      </c>
      <c r="H131" s="186">
        <f t="shared" si="19"/>
        <v>0</v>
      </c>
      <c r="I131" s="187">
        <f t="shared" si="20"/>
        <v>1</v>
      </c>
      <c r="J131" s="186">
        <f t="shared" si="21"/>
        <v>1</v>
      </c>
      <c r="K131" s="187"/>
      <c r="L131" s="189">
        <f t="shared" si="23"/>
        <v>127</v>
      </c>
      <c r="M131" s="189">
        <f t="shared" si="22"/>
        <v>317.5</v>
      </c>
    </row>
    <row r="132" spans="1:13" ht="12.75" customHeight="1" x14ac:dyDescent="0.25">
      <c r="A132" s="191">
        <f t="shared" si="12"/>
        <v>355</v>
      </c>
      <c r="B132" s="186">
        <f t="shared" si="13"/>
        <v>2</v>
      </c>
      <c r="C132" s="187">
        <f t="shared" si="14"/>
        <v>0</v>
      </c>
      <c r="D132" s="186">
        <f t="shared" si="15"/>
        <v>0</v>
      </c>
      <c r="E132" s="187">
        <f t="shared" si="16"/>
        <v>3</v>
      </c>
      <c r="F132" s="186">
        <f t="shared" si="17"/>
        <v>0</v>
      </c>
      <c r="G132" s="187">
        <f t="shared" si="18"/>
        <v>0</v>
      </c>
      <c r="H132" s="186">
        <f t="shared" si="19"/>
        <v>0</v>
      </c>
      <c r="I132" s="187">
        <f t="shared" si="20"/>
        <v>0</v>
      </c>
      <c r="J132" s="186">
        <f t="shared" si="21"/>
        <v>0</v>
      </c>
      <c r="K132" s="187"/>
      <c r="L132" s="189">
        <f t="shared" si="23"/>
        <v>128</v>
      </c>
      <c r="M132" s="189">
        <f t="shared" si="22"/>
        <v>320</v>
      </c>
    </row>
    <row r="133" spans="1:13" ht="12.75" customHeight="1" x14ac:dyDescent="0.25">
      <c r="A133" s="191">
        <f t="shared" ref="A133:A196" si="24">IF(M133+$K$2&gt;$L$1,0,M133+$K$2)</f>
        <v>357.5</v>
      </c>
      <c r="B133" s="186">
        <f t="shared" ref="B133:B196" si="25">IF(A133=0,0,MIN($B$1/2,INT(M133/(2*$B$2))))</f>
        <v>2</v>
      </c>
      <c r="C133" s="187">
        <f t="shared" ref="C133:C196" si="26">IF(A133=0,0,MIN($C$1/2,INT(($M133-2*$B133*$B$2)/(2*$C$2))))</f>
        <v>0</v>
      </c>
      <c r="D133" s="186">
        <f t="shared" ref="D133:D196" si="27">IF(A133=0,0,MIN($D$1/2,INT(($M133-2*$B133*$B$2-2*$C133*$C$2)/(2*$D$2))))</f>
        <v>0</v>
      </c>
      <c r="E133" s="187">
        <f t="shared" ref="E133:E196" si="28">IF(A133=0,0,MIN($E$1/2,INT(($M133-2*$B133*$B$2-2*$C133*$C$2-2*$D133*$D$2)/(2*$E$2))))</f>
        <v>3</v>
      </c>
      <c r="F133" s="186">
        <f t="shared" ref="F133:F196" si="29">IF(A133=0,0,MIN($F$1/2,INT(($M133-2*$B133*$B$2-2*$C133*$C$2-2*$D133*$D$2-2*$E133*$E$2)/(2*$F$2))))</f>
        <v>0</v>
      </c>
      <c r="G133" s="187">
        <f t="shared" ref="G133:G196" si="30">IF(A133=0,0,MIN($G$1/2,INT(($M133-2*$B133*$B$2-2*$C133*$C$2-2*$D133*$D$2-2*$E133*$E$2-2*$F133*$F$2)/(2*$G$2))))</f>
        <v>0</v>
      </c>
      <c r="H133" s="186">
        <f t="shared" ref="H133:H196" si="31">IF(A133=0,0,MIN($H$1/2,INT(($M133-2*$B133*$B$2-2*$C133*$C$2-2*$D133*$D$2-2*$E133*$E$2-2*$F133*$F$2-2*$G133*$G$2)/(2*$H$2))))</f>
        <v>0</v>
      </c>
      <c r="I133" s="187">
        <f t="shared" ref="I133:I196" si="32">IF(A133=0,0,MIN($I$1/2,INT(($M133-2*$B133*$B$2-2*$C133*$C$2-2*$D133*$D$2-2*$E133*$E$2-2*$F133*$F$2-2*$G133*$G$2-2*$H133*$H$2)/(2*$I$2))))</f>
        <v>0</v>
      </c>
      <c r="J133" s="186">
        <f t="shared" ref="J133:J196" si="33">IF(A133=0,0,MIN($J$1/2,INT(($M133-2*$B133*$B$2-2*$C133*$C$2-2*$D133*$D$2-2*$E133*$E$2-2*$F133*$F$2-2*$G133*$G$2-2*$H133*$H$2-2*$I133*$I$2)/(2*$J$2))))</f>
        <v>1</v>
      </c>
      <c r="K133" s="187"/>
      <c r="L133" s="189">
        <f t="shared" si="23"/>
        <v>129</v>
      </c>
      <c r="M133" s="189">
        <f t="shared" ref="M133:M196" si="34">IF($A$2="Pounds",5*L133,2.5*L133)</f>
        <v>322.5</v>
      </c>
    </row>
    <row r="134" spans="1:13" ht="12.75" customHeight="1" x14ac:dyDescent="0.25">
      <c r="A134" s="191">
        <f t="shared" si="24"/>
        <v>360</v>
      </c>
      <c r="B134" s="186">
        <f t="shared" si="25"/>
        <v>2</v>
      </c>
      <c r="C134" s="187">
        <f t="shared" si="26"/>
        <v>0</v>
      </c>
      <c r="D134" s="186">
        <f t="shared" si="27"/>
        <v>0</v>
      </c>
      <c r="E134" s="187">
        <f t="shared" si="28"/>
        <v>3</v>
      </c>
      <c r="F134" s="186">
        <f t="shared" si="29"/>
        <v>0</v>
      </c>
      <c r="G134" s="187">
        <f t="shared" si="30"/>
        <v>0</v>
      </c>
      <c r="H134" s="186">
        <f t="shared" si="31"/>
        <v>0</v>
      </c>
      <c r="I134" s="187">
        <f t="shared" si="32"/>
        <v>1</v>
      </c>
      <c r="J134" s="186">
        <f t="shared" si="33"/>
        <v>0</v>
      </c>
      <c r="K134" s="187"/>
      <c r="L134" s="189">
        <f t="shared" si="23"/>
        <v>130</v>
      </c>
      <c r="M134" s="189">
        <f t="shared" si="34"/>
        <v>325</v>
      </c>
    </row>
    <row r="135" spans="1:13" ht="12.75" customHeight="1" x14ac:dyDescent="0.25">
      <c r="A135" s="191">
        <f t="shared" si="24"/>
        <v>362.5</v>
      </c>
      <c r="B135" s="186">
        <f t="shared" si="25"/>
        <v>2</v>
      </c>
      <c r="C135" s="187">
        <f t="shared" si="26"/>
        <v>0</v>
      </c>
      <c r="D135" s="186">
        <f t="shared" si="27"/>
        <v>0</v>
      </c>
      <c r="E135" s="187">
        <f t="shared" si="28"/>
        <v>3</v>
      </c>
      <c r="F135" s="186">
        <f t="shared" si="29"/>
        <v>0</v>
      </c>
      <c r="G135" s="187">
        <f t="shared" si="30"/>
        <v>0</v>
      </c>
      <c r="H135" s="186">
        <f t="shared" si="31"/>
        <v>0</v>
      </c>
      <c r="I135" s="187">
        <f t="shared" si="32"/>
        <v>1</v>
      </c>
      <c r="J135" s="186">
        <f t="shared" si="33"/>
        <v>1</v>
      </c>
      <c r="K135" s="187"/>
      <c r="L135" s="189">
        <f t="shared" si="23"/>
        <v>131</v>
      </c>
      <c r="M135" s="189">
        <f t="shared" si="34"/>
        <v>327.5</v>
      </c>
    </row>
    <row r="136" spans="1:13" ht="12.75" customHeight="1" x14ac:dyDescent="0.25">
      <c r="A136" s="191">
        <f t="shared" si="24"/>
        <v>365</v>
      </c>
      <c r="B136" s="186">
        <f t="shared" si="25"/>
        <v>2</v>
      </c>
      <c r="C136" s="187">
        <f t="shared" si="26"/>
        <v>0</v>
      </c>
      <c r="D136" s="186">
        <f t="shared" si="27"/>
        <v>0</v>
      </c>
      <c r="E136" s="187">
        <f t="shared" si="28"/>
        <v>3</v>
      </c>
      <c r="F136" s="186">
        <f t="shared" si="29"/>
        <v>0</v>
      </c>
      <c r="G136" s="187">
        <f t="shared" si="30"/>
        <v>0</v>
      </c>
      <c r="H136" s="186">
        <f t="shared" si="31"/>
        <v>1</v>
      </c>
      <c r="I136" s="187">
        <f t="shared" si="32"/>
        <v>0</v>
      </c>
      <c r="J136" s="186">
        <f t="shared" si="33"/>
        <v>0</v>
      </c>
      <c r="K136" s="187"/>
      <c r="L136" s="189">
        <f t="shared" si="23"/>
        <v>132</v>
      </c>
      <c r="M136" s="189">
        <f t="shared" si="34"/>
        <v>330</v>
      </c>
    </row>
    <row r="137" spans="1:13" ht="12.75" customHeight="1" x14ac:dyDescent="0.25">
      <c r="A137" s="191">
        <f t="shared" si="24"/>
        <v>367.5</v>
      </c>
      <c r="B137" s="186">
        <f t="shared" si="25"/>
        <v>2</v>
      </c>
      <c r="C137" s="187">
        <f t="shared" si="26"/>
        <v>0</v>
      </c>
      <c r="D137" s="186">
        <f t="shared" si="27"/>
        <v>0</v>
      </c>
      <c r="E137" s="187">
        <f t="shared" si="28"/>
        <v>3</v>
      </c>
      <c r="F137" s="186">
        <f t="shared" si="29"/>
        <v>0</v>
      </c>
      <c r="G137" s="187">
        <f t="shared" si="30"/>
        <v>0</v>
      </c>
      <c r="H137" s="186">
        <f t="shared" si="31"/>
        <v>1</v>
      </c>
      <c r="I137" s="187">
        <f t="shared" si="32"/>
        <v>0</v>
      </c>
      <c r="J137" s="186">
        <f t="shared" si="33"/>
        <v>1</v>
      </c>
      <c r="K137" s="187"/>
      <c r="L137" s="189">
        <f t="shared" si="23"/>
        <v>133</v>
      </c>
      <c r="M137" s="189">
        <f t="shared" si="34"/>
        <v>332.5</v>
      </c>
    </row>
    <row r="138" spans="1:13" ht="12.75" customHeight="1" x14ac:dyDescent="0.25">
      <c r="A138" s="191">
        <f t="shared" si="24"/>
        <v>370</v>
      </c>
      <c r="B138" s="186">
        <f t="shared" si="25"/>
        <v>2</v>
      </c>
      <c r="C138" s="187">
        <f t="shared" si="26"/>
        <v>0</v>
      </c>
      <c r="D138" s="186">
        <f t="shared" si="27"/>
        <v>0</v>
      </c>
      <c r="E138" s="187">
        <f t="shared" si="28"/>
        <v>3</v>
      </c>
      <c r="F138" s="186">
        <f t="shared" si="29"/>
        <v>0</v>
      </c>
      <c r="G138" s="187">
        <f t="shared" si="30"/>
        <v>0</v>
      </c>
      <c r="H138" s="186">
        <f t="shared" si="31"/>
        <v>1</v>
      </c>
      <c r="I138" s="187">
        <f t="shared" si="32"/>
        <v>1</v>
      </c>
      <c r="J138" s="186">
        <f t="shared" si="33"/>
        <v>0</v>
      </c>
      <c r="K138" s="187"/>
      <c r="L138" s="189">
        <f t="shared" si="23"/>
        <v>134</v>
      </c>
      <c r="M138" s="189">
        <f t="shared" si="34"/>
        <v>335</v>
      </c>
    </row>
    <row r="139" spans="1:13" ht="12.75" customHeight="1" x14ac:dyDescent="0.25">
      <c r="A139" s="191">
        <f t="shared" si="24"/>
        <v>372.5</v>
      </c>
      <c r="B139" s="186">
        <f t="shared" si="25"/>
        <v>2</v>
      </c>
      <c r="C139" s="187">
        <f t="shared" si="26"/>
        <v>0</v>
      </c>
      <c r="D139" s="186">
        <f t="shared" si="27"/>
        <v>0</v>
      </c>
      <c r="E139" s="187">
        <f t="shared" si="28"/>
        <v>3</v>
      </c>
      <c r="F139" s="186">
        <f t="shared" si="29"/>
        <v>0</v>
      </c>
      <c r="G139" s="187">
        <f t="shared" si="30"/>
        <v>0</v>
      </c>
      <c r="H139" s="186">
        <f t="shared" si="31"/>
        <v>1</v>
      </c>
      <c r="I139" s="187">
        <f t="shared" si="32"/>
        <v>1</v>
      </c>
      <c r="J139" s="186">
        <f t="shared" si="33"/>
        <v>1</v>
      </c>
      <c r="K139" s="187"/>
      <c r="L139" s="189">
        <f t="shared" si="23"/>
        <v>135</v>
      </c>
      <c r="M139" s="189">
        <f t="shared" si="34"/>
        <v>337.5</v>
      </c>
    </row>
    <row r="140" spans="1:13" ht="12.75" customHeight="1" x14ac:dyDescent="0.25">
      <c r="A140" s="191">
        <f t="shared" si="24"/>
        <v>375</v>
      </c>
      <c r="B140" s="186">
        <f t="shared" si="25"/>
        <v>2</v>
      </c>
      <c r="C140" s="187">
        <f t="shared" si="26"/>
        <v>0</v>
      </c>
      <c r="D140" s="186">
        <f t="shared" si="27"/>
        <v>0</v>
      </c>
      <c r="E140" s="187">
        <f t="shared" si="28"/>
        <v>3</v>
      </c>
      <c r="F140" s="186">
        <f t="shared" si="29"/>
        <v>0</v>
      </c>
      <c r="G140" s="187">
        <f t="shared" si="30"/>
        <v>1</v>
      </c>
      <c r="H140" s="186">
        <f t="shared" si="31"/>
        <v>0</v>
      </c>
      <c r="I140" s="187">
        <f t="shared" si="32"/>
        <v>0</v>
      </c>
      <c r="J140" s="186">
        <f t="shared" si="33"/>
        <v>0</v>
      </c>
      <c r="K140" s="187"/>
      <c r="L140" s="189">
        <f t="shared" si="23"/>
        <v>136</v>
      </c>
      <c r="M140" s="189">
        <f t="shared" si="34"/>
        <v>340</v>
      </c>
    </row>
    <row r="141" spans="1:13" ht="12.75" customHeight="1" x14ac:dyDescent="0.25">
      <c r="A141" s="191">
        <f t="shared" si="24"/>
        <v>377.5</v>
      </c>
      <c r="B141" s="186">
        <f t="shared" si="25"/>
        <v>2</v>
      </c>
      <c r="C141" s="187">
        <f t="shared" si="26"/>
        <v>0</v>
      </c>
      <c r="D141" s="186">
        <f t="shared" si="27"/>
        <v>0</v>
      </c>
      <c r="E141" s="187">
        <f t="shared" si="28"/>
        <v>3</v>
      </c>
      <c r="F141" s="186">
        <f t="shared" si="29"/>
        <v>0</v>
      </c>
      <c r="G141" s="187">
        <f t="shared" si="30"/>
        <v>1</v>
      </c>
      <c r="H141" s="186">
        <f t="shared" si="31"/>
        <v>0</v>
      </c>
      <c r="I141" s="187">
        <f t="shared" si="32"/>
        <v>0</v>
      </c>
      <c r="J141" s="186">
        <f t="shared" si="33"/>
        <v>1</v>
      </c>
      <c r="K141" s="187"/>
      <c r="L141" s="189">
        <f t="shared" ref="L141:L204" si="35">L140+1</f>
        <v>137</v>
      </c>
      <c r="M141" s="189">
        <f t="shared" si="34"/>
        <v>342.5</v>
      </c>
    </row>
    <row r="142" spans="1:13" ht="12.75" customHeight="1" x14ac:dyDescent="0.25">
      <c r="A142" s="191">
        <f t="shared" si="24"/>
        <v>380</v>
      </c>
      <c r="B142" s="186">
        <f t="shared" si="25"/>
        <v>2</v>
      </c>
      <c r="C142" s="187">
        <f t="shared" si="26"/>
        <v>0</v>
      </c>
      <c r="D142" s="186">
        <f t="shared" si="27"/>
        <v>0</v>
      </c>
      <c r="E142" s="187">
        <f t="shared" si="28"/>
        <v>3</v>
      </c>
      <c r="F142" s="186">
        <f t="shared" si="29"/>
        <v>0</v>
      </c>
      <c r="G142" s="187">
        <f t="shared" si="30"/>
        <v>1</v>
      </c>
      <c r="H142" s="186">
        <f t="shared" si="31"/>
        <v>0</v>
      </c>
      <c r="I142" s="187">
        <f t="shared" si="32"/>
        <v>1</v>
      </c>
      <c r="J142" s="186">
        <f t="shared" si="33"/>
        <v>0</v>
      </c>
      <c r="K142" s="187"/>
      <c r="L142" s="189">
        <f t="shared" si="35"/>
        <v>138</v>
      </c>
      <c r="M142" s="189">
        <f t="shared" si="34"/>
        <v>345</v>
      </c>
    </row>
    <row r="143" spans="1:13" ht="12.75" customHeight="1" x14ac:dyDescent="0.25">
      <c r="A143" s="191">
        <f t="shared" si="24"/>
        <v>382.5</v>
      </c>
      <c r="B143" s="186">
        <f t="shared" si="25"/>
        <v>2</v>
      </c>
      <c r="C143" s="187">
        <f t="shared" si="26"/>
        <v>0</v>
      </c>
      <c r="D143" s="186">
        <f t="shared" si="27"/>
        <v>0</v>
      </c>
      <c r="E143" s="187">
        <f t="shared" si="28"/>
        <v>3</v>
      </c>
      <c r="F143" s="186">
        <f t="shared" si="29"/>
        <v>0</v>
      </c>
      <c r="G143" s="187">
        <f t="shared" si="30"/>
        <v>1</v>
      </c>
      <c r="H143" s="186">
        <f t="shared" si="31"/>
        <v>0</v>
      </c>
      <c r="I143" s="187">
        <f t="shared" si="32"/>
        <v>1</v>
      </c>
      <c r="J143" s="186">
        <f t="shared" si="33"/>
        <v>1</v>
      </c>
      <c r="K143" s="187"/>
      <c r="L143" s="189">
        <f t="shared" si="35"/>
        <v>139</v>
      </c>
      <c r="M143" s="189">
        <f t="shared" si="34"/>
        <v>347.5</v>
      </c>
    </row>
    <row r="144" spans="1:13" ht="12.75" customHeight="1" x14ac:dyDescent="0.25">
      <c r="A144" s="191">
        <f t="shared" si="24"/>
        <v>385</v>
      </c>
      <c r="B144" s="186">
        <f t="shared" si="25"/>
        <v>2</v>
      </c>
      <c r="C144" s="187">
        <f t="shared" si="26"/>
        <v>0</v>
      </c>
      <c r="D144" s="186">
        <f t="shared" si="27"/>
        <v>0</v>
      </c>
      <c r="E144" s="187">
        <f t="shared" si="28"/>
        <v>3</v>
      </c>
      <c r="F144" s="186">
        <f t="shared" si="29"/>
        <v>1</v>
      </c>
      <c r="G144" s="187">
        <f t="shared" si="30"/>
        <v>0</v>
      </c>
      <c r="H144" s="186">
        <f t="shared" si="31"/>
        <v>0</v>
      </c>
      <c r="I144" s="187">
        <f t="shared" si="32"/>
        <v>0</v>
      </c>
      <c r="J144" s="186">
        <f t="shared" si="33"/>
        <v>0</v>
      </c>
      <c r="K144" s="187"/>
      <c r="L144" s="189">
        <f t="shared" si="35"/>
        <v>140</v>
      </c>
      <c r="M144" s="189">
        <f t="shared" si="34"/>
        <v>350</v>
      </c>
    </row>
    <row r="145" spans="1:13" ht="12.75" customHeight="1" x14ac:dyDescent="0.25">
      <c r="A145" s="191">
        <f t="shared" si="24"/>
        <v>387.5</v>
      </c>
      <c r="B145" s="186">
        <f t="shared" si="25"/>
        <v>2</v>
      </c>
      <c r="C145" s="187">
        <f t="shared" si="26"/>
        <v>0</v>
      </c>
      <c r="D145" s="186">
        <f t="shared" si="27"/>
        <v>0</v>
      </c>
      <c r="E145" s="187">
        <f t="shared" si="28"/>
        <v>3</v>
      </c>
      <c r="F145" s="186">
        <f t="shared" si="29"/>
        <v>1</v>
      </c>
      <c r="G145" s="187">
        <f t="shared" si="30"/>
        <v>0</v>
      </c>
      <c r="H145" s="186">
        <f t="shared" si="31"/>
        <v>0</v>
      </c>
      <c r="I145" s="187">
        <f t="shared" si="32"/>
        <v>0</v>
      </c>
      <c r="J145" s="186">
        <f t="shared" si="33"/>
        <v>1</v>
      </c>
      <c r="K145" s="187"/>
      <c r="L145" s="189">
        <f t="shared" si="35"/>
        <v>141</v>
      </c>
      <c r="M145" s="189">
        <f t="shared" si="34"/>
        <v>352.5</v>
      </c>
    </row>
    <row r="146" spans="1:13" ht="12.75" customHeight="1" x14ac:dyDescent="0.25">
      <c r="A146" s="191">
        <f t="shared" si="24"/>
        <v>390</v>
      </c>
      <c r="B146" s="186">
        <f t="shared" si="25"/>
        <v>2</v>
      </c>
      <c r="C146" s="187">
        <f t="shared" si="26"/>
        <v>0</v>
      </c>
      <c r="D146" s="186">
        <f t="shared" si="27"/>
        <v>0</v>
      </c>
      <c r="E146" s="187">
        <f t="shared" si="28"/>
        <v>3</v>
      </c>
      <c r="F146" s="186">
        <f t="shared" si="29"/>
        <v>1</v>
      </c>
      <c r="G146" s="187">
        <f t="shared" si="30"/>
        <v>0</v>
      </c>
      <c r="H146" s="186">
        <f t="shared" si="31"/>
        <v>0</v>
      </c>
      <c r="I146" s="187">
        <f t="shared" si="32"/>
        <v>1</v>
      </c>
      <c r="J146" s="186">
        <f t="shared" si="33"/>
        <v>0</v>
      </c>
      <c r="K146" s="187"/>
      <c r="L146" s="189">
        <f t="shared" si="35"/>
        <v>142</v>
      </c>
      <c r="M146" s="189">
        <f t="shared" si="34"/>
        <v>355</v>
      </c>
    </row>
    <row r="147" spans="1:13" ht="12.75" customHeight="1" x14ac:dyDescent="0.25">
      <c r="A147" s="191">
        <f t="shared" si="24"/>
        <v>392.5</v>
      </c>
      <c r="B147" s="186">
        <f t="shared" si="25"/>
        <v>2</v>
      </c>
      <c r="C147" s="187">
        <f t="shared" si="26"/>
        <v>0</v>
      </c>
      <c r="D147" s="186">
        <f t="shared" si="27"/>
        <v>0</v>
      </c>
      <c r="E147" s="187">
        <f t="shared" si="28"/>
        <v>3</v>
      </c>
      <c r="F147" s="186">
        <f t="shared" si="29"/>
        <v>1</v>
      </c>
      <c r="G147" s="187">
        <f t="shared" si="30"/>
        <v>0</v>
      </c>
      <c r="H147" s="186">
        <f t="shared" si="31"/>
        <v>0</v>
      </c>
      <c r="I147" s="187">
        <f t="shared" si="32"/>
        <v>1</v>
      </c>
      <c r="J147" s="186">
        <f t="shared" si="33"/>
        <v>1</v>
      </c>
      <c r="K147" s="187"/>
      <c r="L147" s="189">
        <f t="shared" si="35"/>
        <v>143</v>
      </c>
      <c r="M147" s="189">
        <f t="shared" si="34"/>
        <v>357.5</v>
      </c>
    </row>
    <row r="148" spans="1:13" ht="12.75" customHeight="1" x14ac:dyDescent="0.25">
      <c r="A148" s="191">
        <f t="shared" si="24"/>
        <v>395</v>
      </c>
      <c r="B148" s="186">
        <f t="shared" si="25"/>
        <v>2</v>
      </c>
      <c r="C148" s="187">
        <f t="shared" si="26"/>
        <v>0</v>
      </c>
      <c r="D148" s="186">
        <f t="shared" si="27"/>
        <v>0</v>
      </c>
      <c r="E148" s="187">
        <f t="shared" si="28"/>
        <v>4</v>
      </c>
      <c r="F148" s="186">
        <f t="shared" si="29"/>
        <v>0</v>
      </c>
      <c r="G148" s="187">
        <f t="shared" si="30"/>
        <v>0</v>
      </c>
      <c r="H148" s="186">
        <f t="shared" si="31"/>
        <v>0</v>
      </c>
      <c r="I148" s="187">
        <f t="shared" si="32"/>
        <v>0</v>
      </c>
      <c r="J148" s="186">
        <f t="shared" si="33"/>
        <v>0</v>
      </c>
      <c r="K148" s="187"/>
      <c r="L148" s="189">
        <f t="shared" si="35"/>
        <v>144</v>
      </c>
      <c r="M148" s="189">
        <f t="shared" si="34"/>
        <v>360</v>
      </c>
    </row>
    <row r="149" spans="1:13" ht="12.75" customHeight="1" x14ac:dyDescent="0.25">
      <c r="A149" s="191">
        <f t="shared" si="24"/>
        <v>397.5</v>
      </c>
      <c r="B149" s="186">
        <f t="shared" si="25"/>
        <v>2</v>
      </c>
      <c r="C149" s="187">
        <f t="shared" si="26"/>
        <v>0</v>
      </c>
      <c r="D149" s="186">
        <f t="shared" si="27"/>
        <v>0</v>
      </c>
      <c r="E149" s="187">
        <f t="shared" si="28"/>
        <v>4</v>
      </c>
      <c r="F149" s="186">
        <f t="shared" si="29"/>
        <v>0</v>
      </c>
      <c r="G149" s="187">
        <f t="shared" si="30"/>
        <v>0</v>
      </c>
      <c r="H149" s="186">
        <f t="shared" si="31"/>
        <v>0</v>
      </c>
      <c r="I149" s="187">
        <f t="shared" si="32"/>
        <v>0</v>
      </c>
      <c r="J149" s="186">
        <f t="shared" si="33"/>
        <v>1</v>
      </c>
      <c r="K149" s="187"/>
      <c r="L149" s="189">
        <f t="shared" si="35"/>
        <v>145</v>
      </c>
      <c r="M149" s="189">
        <f t="shared" si="34"/>
        <v>362.5</v>
      </c>
    </row>
    <row r="150" spans="1:13" ht="12.75" customHeight="1" x14ac:dyDescent="0.25">
      <c r="A150" s="191">
        <f t="shared" si="24"/>
        <v>400</v>
      </c>
      <c r="B150" s="186">
        <f t="shared" si="25"/>
        <v>2</v>
      </c>
      <c r="C150" s="187">
        <f t="shared" si="26"/>
        <v>0</v>
      </c>
      <c r="D150" s="186">
        <f t="shared" si="27"/>
        <v>0</v>
      </c>
      <c r="E150" s="187">
        <f t="shared" si="28"/>
        <v>4</v>
      </c>
      <c r="F150" s="186">
        <f t="shared" si="29"/>
        <v>0</v>
      </c>
      <c r="G150" s="187">
        <f t="shared" si="30"/>
        <v>0</v>
      </c>
      <c r="H150" s="186">
        <f t="shared" si="31"/>
        <v>0</v>
      </c>
      <c r="I150" s="187">
        <f t="shared" si="32"/>
        <v>1</v>
      </c>
      <c r="J150" s="186">
        <f t="shared" si="33"/>
        <v>0</v>
      </c>
      <c r="K150" s="187"/>
      <c r="L150" s="189">
        <f t="shared" si="35"/>
        <v>146</v>
      </c>
      <c r="M150" s="189">
        <f t="shared" si="34"/>
        <v>365</v>
      </c>
    </row>
    <row r="151" spans="1:13" ht="12.75" customHeight="1" x14ac:dyDescent="0.25">
      <c r="A151" s="191">
        <f t="shared" si="24"/>
        <v>402.5</v>
      </c>
      <c r="B151" s="186">
        <f t="shared" si="25"/>
        <v>2</v>
      </c>
      <c r="C151" s="187">
        <f t="shared" si="26"/>
        <v>0</v>
      </c>
      <c r="D151" s="186">
        <f t="shared" si="27"/>
        <v>0</v>
      </c>
      <c r="E151" s="187">
        <f t="shared" si="28"/>
        <v>4</v>
      </c>
      <c r="F151" s="186">
        <f t="shared" si="29"/>
        <v>0</v>
      </c>
      <c r="G151" s="187">
        <f t="shared" si="30"/>
        <v>0</v>
      </c>
      <c r="H151" s="186">
        <f t="shared" si="31"/>
        <v>0</v>
      </c>
      <c r="I151" s="187">
        <f t="shared" si="32"/>
        <v>1</v>
      </c>
      <c r="J151" s="186">
        <f t="shared" si="33"/>
        <v>1</v>
      </c>
      <c r="K151" s="187"/>
      <c r="L151" s="189">
        <f t="shared" si="35"/>
        <v>147</v>
      </c>
      <c r="M151" s="189">
        <f t="shared" si="34"/>
        <v>367.5</v>
      </c>
    </row>
    <row r="152" spans="1:13" ht="12.75" customHeight="1" x14ac:dyDescent="0.25">
      <c r="A152" s="191">
        <f t="shared" si="24"/>
        <v>405</v>
      </c>
      <c r="B152" s="186">
        <f t="shared" si="25"/>
        <v>2</v>
      </c>
      <c r="C152" s="187">
        <f t="shared" si="26"/>
        <v>0</v>
      </c>
      <c r="D152" s="186">
        <f t="shared" si="27"/>
        <v>0</v>
      </c>
      <c r="E152" s="187">
        <f t="shared" si="28"/>
        <v>4</v>
      </c>
      <c r="F152" s="186">
        <f t="shared" si="29"/>
        <v>0</v>
      </c>
      <c r="G152" s="187">
        <f t="shared" si="30"/>
        <v>0</v>
      </c>
      <c r="H152" s="186">
        <f t="shared" si="31"/>
        <v>1</v>
      </c>
      <c r="I152" s="187">
        <f t="shared" si="32"/>
        <v>0</v>
      </c>
      <c r="J152" s="186">
        <f t="shared" si="33"/>
        <v>0</v>
      </c>
      <c r="K152" s="187"/>
      <c r="L152" s="189">
        <f t="shared" si="35"/>
        <v>148</v>
      </c>
      <c r="M152" s="189">
        <f t="shared" si="34"/>
        <v>370</v>
      </c>
    </row>
    <row r="153" spans="1:13" ht="12.75" customHeight="1" x14ac:dyDescent="0.25">
      <c r="A153" s="191">
        <f t="shared" si="24"/>
        <v>407.5</v>
      </c>
      <c r="B153" s="186">
        <f t="shared" si="25"/>
        <v>2</v>
      </c>
      <c r="C153" s="187">
        <f t="shared" si="26"/>
        <v>0</v>
      </c>
      <c r="D153" s="186">
        <f t="shared" si="27"/>
        <v>0</v>
      </c>
      <c r="E153" s="187">
        <f t="shared" si="28"/>
        <v>4</v>
      </c>
      <c r="F153" s="186">
        <f t="shared" si="29"/>
        <v>0</v>
      </c>
      <c r="G153" s="187">
        <f t="shared" si="30"/>
        <v>0</v>
      </c>
      <c r="H153" s="186">
        <f t="shared" si="31"/>
        <v>1</v>
      </c>
      <c r="I153" s="187">
        <f t="shared" si="32"/>
        <v>0</v>
      </c>
      <c r="J153" s="186">
        <f t="shared" si="33"/>
        <v>1</v>
      </c>
      <c r="K153" s="187"/>
      <c r="L153" s="189">
        <f t="shared" si="35"/>
        <v>149</v>
      </c>
      <c r="M153" s="189">
        <f t="shared" si="34"/>
        <v>372.5</v>
      </c>
    </row>
    <row r="154" spans="1:13" ht="12.75" customHeight="1" x14ac:dyDescent="0.25">
      <c r="A154" s="191">
        <f t="shared" si="24"/>
        <v>410</v>
      </c>
      <c r="B154" s="186">
        <f t="shared" si="25"/>
        <v>2</v>
      </c>
      <c r="C154" s="187">
        <f t="shared" si="26"/>
        <v>0</v>
      </c>
      <c r="D154" s="186">
        <f t="shared" si="27"/>
        <v>0</v>
      </c>
      <c r="E154" s="187">
        <f t="shared" si="28"/>
        <v>4</v>
      </c>
      <c r="F154" s="186">
        <f t="shared" si="29"/>
        <v>0</v>
      </c>
      <c r="G154" s="187">
        <f t="shared" si="30"/>
        <v>0</v>
      </c>
      <c r="H154" s="186">
        <f t="shared" si="31"/>
        <v>1</v>
      </c>
      <c r="I154" s="187">
        <f t="shared" si="32"/>
        <v>1</v>
      </c>
      <c r="J154" s="186">
        <f t="shared" si="33"/>
        <v>0</v>
      </c>
      <c r="K154" s="187"/>
      <c r="L154" s="189">
        <f t="shared" si="35"/>
        <v>150</v>
      </c>
      <c r="M154" s="189">
        <f t="shared" si="34"/>
        <v>375</v>
      </c>
    </row>
    <row r="155" spans="1:13" ht="12.75" customHeight="1" x14ac:dyDescent="0.25">
      <c r="A155" s="191">
        <f t="shared" si="24"/>
        <v>412.5</v>
      </c>
      <c r="B155" s="186">
        <f t="shared" si="25"/>
        <v>2</v>
      </c>
      <c r="C155" s="187">
        <f t="shared" si="26"/>
        <v>0</v>
      </c>
      <c r="D155" s="186">
        <f t="shared" si="27"/>
        <v>0</v>
      </c>
      <c r="E155" s="187">
        <f t="shared" si="28"/>
        <v>4</v>
      </c>
      <c r="F155" s="186">
        <f t="shared" si="29"/>
        <v>0</v>
      </c>
      <c r="G155" s="187">
        <f t="shared" si="30"/>
        <v>0</v>
      </c>
      <c r="H155" s="186">
        <f t="shared" si="31"/>
        <v>1</v>
      </c>
      <c r="I155" s="187">
        <f t="shared" si="32"/>
        <v>1</v>
      </c>
      <c r="J155" s="186">
        <f t="shared" si="33"/>
        <v>1</v>
      </c>
      <c r="K155" s="187"/>
      <c r="L155" s="189">
        <f t="shared" si="35"/>
        <v>151</v>
      </c>
      <c r="M155" s="189">
        <f t="shared" si="34"/>
        <v>377.5</v>
      </c>
    </row>
    <row r="156" spans="1:13" ht="12.75" customHeight="1" x14ac:dyDescent="0.25">
      <c r="A156" s="191">
        <f t="shared" si="24"/>
        <v>415</v>
      </c>
      <c r="B156" s="186">
        <f t="shared" si="25"/>
        <v>2</v>
      </c>
      <c r="C156" s="187">
        <f t="shared" si="26"/>
        <v>0</v>
      </c>
      <c r="D156" s="186">
        <f t="shared" si="27"/>
        <v>0</v>
      </c>
      <c r="E156" s="187">
        <f t="shared" si="28"/>
        <v>4</v>
      </c>
      <c r="F156" s="186">
        <f t="shared" si="29"/>
        <v>0</v>
      </c>
      <c r="G156" s="187">
        <f t="shared" si="30"/>
        <v>1</v>
      </c>
      <c r="H156" s="186">
        <f t="shared" si="31"/>
        <v>0</v>
      </c>
      <c r="I156" s="187">
        <f t="shared" si="32"/>
        <v>0</v>
      </c>
      <c r="J156" s="186">
        <f t="shared" si="33"/>
        <v>0</v>
      </c>
      <c r="K156" s="187"/>
      <c r="L156" s="189">
        <f t="shared" si="35"/>
        <v>152</v>
      </c>
      <c r="M156" s="189">
        <f t="shared" si="34"/>
        <v>380</v>
      </c>
    </row>
    <row r="157" spans="1:13" ht="12.75" customHeight="1" x14ac:dyDescent="0.25">
      <c r="A157" s="191">
        <f t="shared" si="24"/>
        <v>417.5</v>
      </c>
      <c r="B157" s="186">
        <f t="shared" si="25"/>
        <v>2</v>
      </c>
      <c r="C157" s="187">
        <f t="shared" si="26"/>
        <v>0</v>
      </c>
      <c r="D157" s="186">
        <f t="shared" si="27"/>
        <v>0</v>
      </c>
      <c r="E157" s="187">
        <f t="shared" si="28"/>
        <v>4</v>
      </c>
      <c r="F157" s="186">
        <f t="shared" si="29"/>
        <v>0</v>
      </c>
      <c r="G157" s="187">
        <f t="shared" si="30"/>
        <v>1</v>
      </c>
      <c r="H157" s="186">
        <f t="shared" si="31"/>
        <v>0</v>
      </c>
      <c r="I157" s="187">
        <f t="shared" si="32"/>
        <v>0</v>
      </c>
      <c r="J157" s="186">
        <f t="shared" si="33"/>
        <v>1</v>
      </c>
      <c r="K157" s="187"/>
      <c r="L157" s="189">
        <f t="shared" si="35"/>
        <v>153</v>
      </c>
      <c r="M157" s="189">
        <f t="shared" si="34"/>
        <v>382.5</v>
      </c>
    </row>
    <row r="158" spans="1:13" ht="12.75" customHeight="1" x14ac:dyDescent="0.25">
      <c r="A158" s="191">
        <f t="shared" si="24"/>
        <v>420</v>
      </c>
      <c r="B158" s="186">
        <f t="shared" si="25"/>
        <v>2</v>
      </c>
      <c r="C158" s="187">
        <f t="shared" si="26"/>
        <v>0</v>
      </c>
      <c r="D158" s="186">
        <f t="shared" si="27"/>
        <v>0</v>
      </c>
      <c r="E158" s="187">
        <f t="shared" si="28"/>
        <v>4</v>
      </c>
      <c r="F158" s="186">
        <f t="shared" si="29"/>
        <v>0</v>
      </c>
      <c r="G158" s="187">
        <f t="shared" si="30"/>
        <v>1</v>
      </c>
      <c r="H158" s="186">
        <f t="shared" si="31"/>
        <v>0</v>
      </c>
      <c r="I158" s="187">
        <f t="shared" si="32"/>
        <v>1</v>
      </c>
      <c r="J158" s="186">
        <f t="shared" si="33"/>
        <v>0</v>
      </c>
      <c r="K158" s="187"/>
      <c r="L158" s="189">
        <f t="shared" si="35"/>
        <v>154</v>
      </c>
      <c r="M158" s="189">
        <f t="shared" si="34"/>
        <v>385</v>
      </c>
    </row>
    <row r="159" spans="1:13" ht="12.75" customHeight="1" x14ac:dyDescent="0.25">
      <c r="A159" s="191">
        <f t="shared" si="24"/>
        <v>422.5</v>
      </c>
      <c r="B159" s="186">
        <f t="shared" si="25"/>
        <v>2</v>
      </c>
      <c r="C159" s="187">
        <f t="shared" si="26"/>
        <v>0</v>
      </c>
      <c r="D159" s="186">
        <f t="shared" si="27"/>
        <v>0</v>
      </c>
      <c r="E159" s="187">
        <f t="shared" si="28"/>
        <v>4</v>
      </c>
      <c r="F159" s="186">
        <f t="shared" si="29"/>
        <v>0</v>
      </c>
      <c r="G159" s="187">
        <f t="shared" si="30"/>
        <v>1</v>
      </c>
      <c r="H159" s="186">
        <f t="shared" si="31"/>
        <v>0</v>
      </c>
      <c r="I159" s="187">
        <f t="shared" si="32"/>
        <v>1</v>
      </c>
      <c r="J159" s="186">
        <f t="shared" si="33"/>
        <v>1</v>
      </c>
      <c r="K159" s="187"/>
      <c r="L159" s="189">
        <f t="shared" si="35"/>
        <v>155</v>
      </c>
      <c r="M159" s="189">
        <f t="shared" si="34"/>
        <v>387.5</v>
      </c>
    </row>
    <row r="160" spans="1:13" ht="12.75" customHeight="1" x14ac:dyDescent="0.25">
      <c r="A160" s="191">
        <f t="shared" si="24"/>
        <v>425</v>
      </c>
      <c r="B160" s="186">
        <f t="shared" si="25"/>
        <v>2</v>
      </c>
      <c r="C160" s="187">
        <f t="shared" si="26"/>
        <v>0</v>
      </c>
      <c r="D160" s="186">
        <f t="shared" si="27"/>
        <v>0</v>
      </c>
      <c r="E160" s="187">
        <f t="shared" si="28"/>
        <v>4</v>
      </c>
      <c r="F160" s="186">
        <f t="shared" si="29"/>
        <v>1</v>
      </c>
      <c r="G160" s="187">
        <f t="shared" si="30"/>
        <v>0</v>
      </c>
      <c r="H160" s="186">
        <f t="shared" si="31"/>
        <v>0</v>
      </c>
      <c r="I160" s="187">
        <f t="shared" si="32"/>
        <v>0</v>
      </c>
      <c r="J160" s="186">
        <f t="shared" si="33"/>
        <v>0</v>
      </c>
      <c r="K160" s="187"/>
      <c r="L160" s="189">
        <f t="shared" si="35"/>
        <v>156</v>
      </c>
      <c r="M160" s="189">
        <f t="shared" si="34"/>
        <v>390</v>
      </c>
    </row>
    <row r="161" spans="1:13" ht="12.75" customHeight="1" x14ac:dyDescent="0.25">
      <c r="A161" s="191">
        <f t="shared" si="24"/>
        <v>427.5</v>
      </c>
      <c r="B161" s="186">
        <f t="shared" si="25"/>
        <v>2</v>
      </c>
      <c r="C161" s="187">
        <f t="shared" si="26"/>
        <v>0</v>
      </c>
      <c r="D161" s="186">
        <f t="shared" si="27"/>
        <v>0</v>
      </c>
      <c r="E161" s="187">
        <f t="shared" si="28"/>
        <v>4</v>
      </c>
      <c r="F161" s="186">
        <f t="shared" si="29"/>
        <v>1</v>
      </c>
      <c r="G161" s="187">
        <f t="shared" si="30"/>
        <v>0</v>
      </c>
      <c r="H161" s="186">
        <f t="shared" si="31"/>
        <v>0</v>
      </c>
      <c r="I161" s="187">
        <f t="shared" si="32"/>
        <v>0</v>
      </c>
      <c r="J161" s="186">
        <f t="shared" si="33"/>
        <v>1</v>
      </c>
      <c r="K161" s="187"/>
      <c r="L161" s="189">
        <f t="shared" si="35"/>
        <v>157</v>
      </c>
      <c r="M161" s="189">
        <f t="shared" si="34"/>
        <v>392.5</v>
      </c>
    </row>
    <row r="162" spans="1:13" ht="12.75" customHeight="1" x14ac:dyDescent="0.25">
      <c r="A162" s="191">
        <f t="shared" si="24"/>
        <v>430</v>
      </c>
      <c r="B162" s="186">
        <f t="shared" si="25"/>
        <v>2</v>
      </c>
      <c r="C162" s="187">
        <f t="shared" si="26"/>
        <v>0</v>
      </c>
      <c r="D162" s="186">
        <f t="shared" si="27"/>
        <v>0</v>
      </c>
      <c r="E162" s="187">
        <f t="shared" si="28"/>
        <v>4</v>
      </c>
      <c r="F162" s="186">
        <f t="shared" si="29"/>
        <v>1</v>
      </c>
      <c r="G162" s="187">
        <f t="shared" si="30"/>
        <v>0</v>
      </c>
      <c r="H162" s="186">
        <f t="shared" si="31"/>
        <v>0</v>
      </c>
      <c r="I162" s="187">
        <f t="shared" si="32"/>
        <v>1</v>
      </c>
      <c r="J162" s="186">
        <f t="shared" si="33"/>
        <v>0</v>
      </c>
      <c r="K162" s="187"/>
      <c r="L162" s="189">
        <f t="shared" si="35"/>
        <v>158</v>
      </c>
      <c r="M162" s="189">
        <f t="shared" si="34"/>
        <v>395</v>
      </c>
    </row>
    <row r="163" spans="1:13" ht="12.75" customHeight="1" x14ac:dyDescent="0.25">
      <c r="A163" s="191">
        <f t="shared" si="24"/>
        <v>432.5</v>
      </c>
      <c r="B163" s="186">
        <f t="shared" si="25"/>
        <v>2</v>
      </c>
      <c r="C163" s="187">
        <f t="shared" si="26"/>
        <v>0</v>
      </c>
      <c r="D163" s="186">
        <f t="shared" si="27"/>
        <v>0</v>
      </c>
      <c r="E163" s="187">
        <f t="shared" si="28"/>
        <v>4</v>
      </c>
      <c r="F163" s="186">
        <f t="shared" si="29"/>
        <v>1</v>
      </c>
      <c r="G163" s="187">
        <f t="shared" si="30"/>
        <v>0</v>
      </c>
      <c r="H163" s="186">
        <f t="shared" si="31"/>
        <v>0</v>
      </c>
      <c r="I163" s="187">
        <f t="shared" si="32"/>
        <v>1</v>
      </c>
      <c r="J163" s="186">
        <f t="shared" si="33"/>
        <v>1</v>
      </c>
      <c r="K163" s="187"/>
      <c r="L163" s="189">
        <f t="shared" si="35"/>
        <v>159</v>
      </c>
      <c r="M163" s="189">
        <f t="shared" si="34"/>
        <v>397.5</v>
      </c>
    </row>
    <row r="164" spans="1:13" ht="12.75" customHeight="1" x14ac:dyDescent="0.25">
      <c r="A164" s="191">
        <f t="shared" si="24"/>
        <v>435</v>
      </c>
      <c r="B164" s="186">
        <f t="shared" si="25"/>
        <v>2</v>
      </c>
      <c r="C164" s="187">
        <f t="shared" si="26"/>
        <v>0</v>
      </c>
      <c r="D164" s="186">
        <f t="shared" si="27"/>
        <v>0</v>
      </c>
      <c r="E164" s="187">
        <f t="shared" si="28"/>
        <v>5</v>
      </c>
      <c r="F164" s="186">
        <f t="shared" si="29"/>
        <v>0</v>
      </c>
      <c r="G164" s="187">
        <f t="shared" si="30"/>
        <v>0</v>
      </c>
      <c r="H164" s="186">
        <f t="shared" si="31"/>
        <v>0</v>
      </c>
      <c r="I164" s="187">
        <f t="shared" si="32"/>
        <v>0</v>
      </c>
      <c r="J164" s="186">
        <f t="shared" si="33"/>
        <v>0</v>
      </c>
      <c r="K164" s="187"/>
      <c r="L164" s="189">
        <f t="shared" si="35"/>
        <v>160</v>
      </c>
      <c r="M164" s="189">
        <f t="shared" si="34"/>
        <v>400</v>
      </c>
    </row>
    <row r="165" spans="1:13" ht="12.75" customHeight="1" x14ac:dyDescent="0.25">
      <c r="A165" s="191">
        <f t="shared" si="24"/>
        <v>437.5</v>
      </c>
      <c r="B165" s="186">
        <f t="shared" si="25"/>
        <v>2</v>
      </c>
      <c r="C165" s="187">
        <f t="shared" si="26"/>
        <v>0</v>
      </c>
      <c r="D165" s="186">
        <f t="shared" si="27"/>
        <v>0</v>
      </c>
      <c r="E165" s="187">
        <f t="shared" si="28"/>
        <v>5</v>
      </c>
      <c r="F165" s="186">
        <f t="shared" si="29"/>
        <v>0</v>
      </c>
      <c r="G165" s="187">
        <f t="shared" si="30"/>
        <v>0</v>
      </c>
      <c r="H165" s="186">
        <f t="shared" si="31"/>
        <v>0</v>
      </c>
      <c r="I165" s="187">
        <f t="shared" si="32"/>
        <v>0</v>
      </c>
      <c r="J165" s="186">
        <f t="shared" si="33"/>
        <v>1</v>
      </c>
      <c r="K165" s="187"/>
      <c r="L165" s="189">
        <f t="shared" si="35"/>
        <v>161</v>
      </c>
      <c r="M165" s="189">
        <f t="shared" si="34"/>
        <v>402.5</v>
      </c>
    </row>
    <row r="166" spans="1:13" ht="12.75" customHeight="1" x14ac:dyDescent="0.25">
      <c r="A166" s="191">
        <f t="shared" si="24"/>
        <v>440</v>
      </c>
      <c r="B166" s="186">
        <f t="shared" si="25"/>
        <v>2</v>
      </c>
      <c r="C166" s="187">
        <f t="shared" si="26"/>
        <v>0</v>
      </c>
      <c r="D166" s="186">
        <f t="shared" si="27"/>
        <v>0</v>
      </c>
      <c r="E166" s="187">
        <f t="shared" si="28"/>
        <v>5</v>
      </c>
      <c r="F166" s="186">
        <f t="shared" si="29"/>
        <v>0</v>
      </c>
      <c r="G166" s="187">
        <f t="shared" si="30"/>
        <v>0</v>
      </c>
      <c r="H166" s="186">
        <f t="shared" si="31"/>
        <v>0</v>
      </c>
      <c r="I166" s="187">
        <f t="shared" si="32"/>
        <v>1</v>
      </c>
      <c r="J166" s="186">
        <f t="shared" si="33"/>
        <v>0</v>
      </c>
      <c r="K166" s="187"/>
      <c r="L166" s="189">
        <f t="shared" si="35"/>
        <v>162</v>
      </c>
      <c r="M166" s="189">
        <f t="shared" si="34"/>
        <v>405</v>
      </c>
    </row>
    <row r="167" spans="1:13" ht="12.75" customHeight="1" x14ac:dyDescent="0.25">
      <c r="A167" s="191">
        <f t="shared" si="24"/>
        <v>442.5</v>
      </c>
      <c r="B167" s="186">
        <f t="shared" si="25"/>
        <v>2</v>
      </c>
      <c r="C167" s="187">
        <f t="shared" si="26"/>
        <v>0</v>
      </c>
      <c r="D167" s="186">
        <f t="shared" si="27"/>
        <v>0</v>
      </c>
      <c r="E167" s="187">
        <f t="shared" si="28"/>
        <v>5</v>
      </c>
      <c r="F167" s="186">
        <f t="shared" si="29"/>
        <v>0</v>
      </c>
      <c r="G167" s="187">
        <f t="shared" si="30"/>
        <v>0</v>
      </c>
      <c r="H167" s="186">
        <f t="shared" si="31"/>
        <v>0</v>
      </c>
      <c r="I167" s="187">
        <f t="shared" si="32"/>
        <v>1</v>
      </c>
      <c r="J167" s="186">
        <f t="shared" si="33"/>
        <v>1</v>
      </c>
      <c r="K167" s="187"/>
      <c r="L167" s="189">
        <f t="shared" si="35"/>
        <v>163</v>
      </c>
      <c r="M167" s="189">
        <f t="shared" si="34"/>
        <v>407.5</v>
      </c>
    </row>
    <row r="168" spans="1:13" ht="12.75" customHeight="1" x14ac:dyDescent="0.25">
      <c r="A168" s="191">
        <f t="shared" si="24"/>
        <v>445</v>
      </c>
      <c r="B168" s="186">
        <f t="shared" si="25"/>
        <v>2</v>
      </c>
      <c r="C168" s="187">
        <f t="shared" si="26"/>
        <v>0</v>
      </c>
      <c r="D168" s="186">
        <f t="shared" si="27"/>
        <v>0</v>
      </c>
      <c r="E168" s="187">
        <f t="shared" si="28"/>
        <v>5</v>
      </c>
      <c r="F168" s="186">
        <f t="shared" si="29"/>
        <v>0</v>
      </c>
      <c r="G168" s="187">
        <f t="shared" si="30"/>
        <v>0</v>
      </c>
      <c r="H168" s="186">
        <f t="shared" si="31"/>
        <v>1</v>
      </c>
      <c r="I168" s="187">
        <f t="shared" si="32"/>
        <v>0</v>
      </c>
      <c r="J168" s="186">
        <f t="shared" si="33"/>
        <v>0</v>
      </c>
      <c r="K168" s="187"/>
      <c r="L168" s="189">
        <f t="shared" si="35"/>
        <v>164</v>
      </c>
      <c r="M168" s="189">
        <f t="shared" si="34"/>
        <v>410</v>
      </c>
    </row>
    <row r="169" spans="1:13" ht="12.75" customHeight="1" x14ac:dyDescent="0.25">
      <c r="A169" s="191">
        <f t="shared" si="24"/>
        <v>447.5</v>
      </c>
      <c r="B169" s="186">
        <f t="shared" si="25"/>
        <v>2</v>
      </c>
      <c r="C169" s="187">
        <f t="shared" si="26"/>
        <v>0</v>
      </c>
      <c r="D169" s="186">
        <f t="shared" si="27"/>
        <v>0</v>
      </c>
      <c r="E169" s="187">
        <f t="shared" si="28"/>
        <v>5</v>
      </c>
      <c r="F169" s="186">
        <f t="shared" si="29"/>
        <v>0</v>
      </c>
      <c r="G169" s="187">
        <f t="shared" si="30"/>
        <v>0</v>
      </c>
      <c r="H169" s="186">
        <f t="shared" si="31"/>
        <v>1</v>
      </c>
      <c r="I169" s="187">
        <f t="shared" si="32"/>
        <v>0</v>
      </c>
      <c r="J169" s="186">
        <f t="shared" si="33"/>
        <v>1</v>
      </c>
      <c r="K169" s="187"/>
      <c r="L169" s="189">
        <f t="shared" si="35"/>
        <v>165</v>
      </c>
      <c r="M169" s="189">
        <f t="shared" si="34"/>
        <v>412.5</v>
      </c>
    </row>
    <row r="170" spans="1:13" ht="12.75" customHeight="1" x14ac:dyDescent="0.25">
      <c r="A170" s="191">
        <f t="shared" si="24"/>
        <v>450</v>
      </c>
      <c r="B170" s="186">
        <f t="shared" si="25"/>
        <v>2</v>
      </c>
      <c r="C170" s="187">
        <f t="shared" si="26"/>
        <v>0</v>
      </c>
      <c r="D170" s="186">
        <f t="shared" si="27"/>
        <v>0</v>
      </c>
      <c r="E170" s="187">
        <f t="shared" si="28"/>
        <v>5</v>
      </c>
      <c r="F170" s="186">
        <f t="shared" si="29"/>
        <v>0</v>
      </c>
      <c r="G170" s="187">
        <f t="shared" si="30"/>
        <v>0</v>
      </c>
      <c r="H170" s="186">
        <f t="shared" si="31"/>
        <v>1</v>
      </c>
      <c r="I170" s="187">
        <f t="shared" si="32"/>
        <v>1</v>
      </c>
      <c r="J170" s="186">
        <f t="shared" si="33"/>
        <v>0</v>
      </c>
      <c r="K170" s="187"/>
      <c r="L170" s="189">
        <f t="shared" si="35"/>
        <v>166</v>
      </c>
      <c r="M170" s="189">
        <f t="shared" si="34"/>
        <v>415</v>
      </c>
    </row>
    <row r="171" spans="1:13" ht="12.75" customHeight="1" x14ac:dyDescent="0.25">
      <c r="A171" s="191">
        <f t="shared" si="24"/>
        <v>452.5</v>
      </c>
      <c r="B171" s="186">
        <f t="shared" si="25"/>
        <v>2</v>
      </c>
      <c r="C171" s="187">
        <f t="shared" si="26"/>
        <v>0</v>
      </c>
      <c r="D171" s="186">
        <f t="shared" si="27"/>
        <v>0</v>
      </c>
      <c r="E171" s="187">
        <f t="shared" si="28"/>
        <v>5</v>
      </c>
      <c r="F171" s="186">
        <f t="shared" si="29"/>
        <v>0</v>
      </c>
      <c r="G171" s="187">
        <f t="shared" si="30"/>
        <v>0</v>
      </c>
      <c r="H171" s="186">
        <f t="shared" si="31"/>
        <v>1</v>
      </c>
      <c r="I171" s="187">
        <f t="shared" si="32"/>
        <v>1</v>
      </c>
      <c r="J171" s="186">
        <f t="shared" si="33"/>
        <v>1</v>
      </c>
      <c r="K171" s="187"/>
      <c r="L171" s="189">
        <f t="shared" si="35"/>
        <v>167</v>
      </c>
      <c r="M171" s="189">
        <f t="shared" si="34"/>
        <v>417.5</v>
      </c>
    </row>
    <row r="172" spans="1:13" ht="12.75" customHeight="1" x14ac:dyDescent="0.25">
      <c r="A172" s="191">
        <f t="shared" si="24"/>
        <v>455</v>
      </c>
      <c r="B172" s="186">
        <f t="shared" si="25"/>
        <v>2</v>
      </c>
      <c r="C172" s="187">
        <f t="shared" si="26"/>
        <v>0</v>
      </c>
      <c r="D172" s="186">
        <f t="shared" si="27"/>
        <v>0</v>
      </c>
      <c r="E172" s="187">
        <f t="shared" si="28"/>
        <v>5</v>
      </c>
      <c r="F172" s="186">
        <f t="shared" si="29"/>
        <v>0</v>
      </c>
      <c r="G172" s="187">
        <f t="shared" si="30"/>
        <v>1</v>
      </c>
      <c r="H172" s="186">
        <f t="shared" si="31"/>
        <v>0</v>
      </c>
      <c r="I172" s="187">
        <f t="shared" si="32"/>
        <v>0</v>
      </c>
      <c r="J172" s="186">
        <f t="shared" si="33"/>
        <v>0</v>
      </c>
      <c r="K172" s="187"/>
      <c r="L172" s="189">
        <f t="shared" si="35"/>
        <v>168</v>
      </c>
      <c r="M172" s="189">
        <f t="shared" si="34"/>
        <v>420</v>
      </c>
    </row>
    <row r="173" spans="1:13" ht="12.75" customHeight="1" x14ac:dyDescent="0.25">
      <c r="A173" s="191">
        <f t="shared" si="24"/>
        <v>457.5</v>
      </c>
      <c r="B173" s="186">
        <f t="shared" si="25"/>
        <v>2</v>
      </c>
      <c r="C173" s="187">
        <f t="shared" si="26"/>
        <v>0</v>
      </c>
      <c r="D173" s="186">
        <f t="shared" si="27"/>
        <v>0</v>
      </c>
      <c r="E173" s="187">
        <f t="shared" si="28"/>
        <v>5</v>
      </c>
      <c r="F173" s="186">
        <f t="shared" si="29"/>
        <v>0</v>
      </c>
      <c r="G173" s="187">
        <f t="shared" si="30"/>
        <v>1</v>
      </c>
      <c r="H173" s="186">
        <f t="shared" si="31"/>
        <v>0</v>
      </c>
      <c r="I173" s="187">
        <f t="shared" si="32"/>
        <v>0</v>
      </c>
      <c r="J173" s="186">
        <f t="shared" si="33"/>
        <v>1</v>
      </c>
      <c r="K173" s="187"/>
      <c r="L173" s="189">
        <f t="shared" si="35"/>
        <v>169</v>
      </c>
      <c r="M173" s="189">
        <f t="shared" si="34"/>
        <v>422.5</v>
      </c>
    </row>
    <row r="174" spans="1:13" ht="12.75" customHeight="1" x14ac:dyDescent="0.25">
      <c r="A174" s="191">
        <f t="shared" si="24"/>
        <v>460</v>
      </c>
      <c r="B174" s="186">
        <f t="shared" si="25"/>
        <v>2</v>
      </c>
      <c r="C174" s="187">
        <f t="shared" si="26"/>
        <v>0</v>
      </c>
      <c r="D174" s="186">
        <f t="shared" si="27"/>
        <v>0</v>
      </c>
      <c r="E174" s="187">
        <f t="shared" si="28"/>
        <v>5</v>
      </c>
      <c r="F174" s="186">
        <f t="shared" si="29"/>
        <v>0</v>
      </c>
      <c r="G174" s="187">
        <f t="shared" si="30"/>
        <v>1</v>
      </c>
      <c r="H174" s="186">
        <f t="shared" si="31"/>
        <v>0</v>
      </c>
      <c r="I174" s="187">
        <f t="shared" si="32"/>
        <v>1</v>
      </c>
      <c r="J174" s="186">
        <f t="shared" si="33"/>
        <v>0</v>
      </c>
      <c r="K174" s="187"/>
      <c r="L174" s="189">
        <f t="shared" si="35"/>
        <v>170</v>
      </c>
      <c r="M174" s="189">
        <f t="shared" si="34"/>
        <v>425</v>
      </c>
    </row>
    <row r="175" spans="1:13" ht="12.75" customHeight="1" x14ac:dyDescent="0.25">
      <c r="A175" s="191">
        <f t="shared" si="24"/>
        <v>462.5</v>
      </c>
      <c r="B175" s="186">
        <f t="shared" si="25"/>
        <v>2</v>
      </c>
      <c r="C175" s="187">
        <f t="shared" si="26"/>
        <v>0</v>
      </c>
      <c r="D175" s="186">
        <f t="shared" si="27"/>
        <v>0</v>
      </c>
      <c r="E175" s="187">
        <f t="shared" si="28"/>
        <v>5</v>
      </c>
      <c r="F175" s="186">
        <f t="shared" si="29"/>
        <v>0</v>
      </c>
      <c r="G175" s="187">
        <f t="shared" si="30"/>
        <v>1</v>
      </c>
      <c r="H175" s="186">
        <f t="shared" si="31"/>
        <v>0</v>
      </c>
      <c r="I175" s="187">
        <f t="shared" si="32"/>
        <v>1</v>
      </c>
      <c r="J175" s="186">
        <f t="shared" si="33"/>
        <v>1</v>
      </c>
      <c r="K175" s="187"/>
      <c r="L175" s="189">
        <f t="shared" si="35"/>
        <v>171</v>
      </c>
      <c r="M175" s="189">
        <f t="shared" si="34"/>
        <v>427.5</v>
      </c>
    </row>
    <row r="176" spans="1:13" ht="12.75" customHeight="1" x14ac:dyDescent="0.25">
      <c r="A176" s="191">
        <f t="shared" si="24"/>
        <v>465</v>
      </c>
      <c r="B176" s="186">
        <f t="shared" si="25"/>
        <v>2</v>
      </c>
      <c r="C176" s="187">
        <f t="shared" si="26"/>
        <v>0</v>
      </c>
      <c r="D176" s="186">
        <f t="shared" si="27"/>
        <v>0</v>
      </c>
      <c r="E176" s="187">
        <f t="shared" si="28"/>
        <v>5</v>
      </c>
      <c r="F176" s="186">
        <f t="shared" si="29"/>
        <v>1</v>
      </c>
      <c r="G176" s="187">
        <f t="shared" si="30"/>
        <v>0</v>
      </c>
      <c r="H176" s="186">
        <f t="shared" si="31"/>
        <v>0</v>
      </c>
      <c r="I176" s="187">
        <f t="shared" si="32"/>
        <v>0</v>
      </c>
      <c r="J176" s="186">
        <f t="shared" si="33"/>
        <v>0</v>
      </c>
      <c r="K176" s="187"/>
      <c r="L176" s="189">
        <f t="shared" si="35"/>
        <v>172</v>
      </c>
      <c r="M176" s="189">
        <f t="shared" si="34"/>
        <v>430</v>
      </c>
    </row>
    <row r="177" spans="1:13" ht="12.75" customHeight="1" x14ac:dyDescent="0.25">
      <c r="A177" s="191">
        <f t="shared" si="24"/>
        <v>467.5</v>
      </c>
      <c r="B177" s="186">
        <f t="shared" si="25"/>
        <v>2</v>
      </c>
      <c r="C177" s="187">
        <f t="shared" si="26"/>
        <v>0</v>
      </c>
      <c r="D177" s="186">
        <f t="shared" si="27"/>
        <v>0</v>
      </c>
      <c r="E177" s="187">
        <f t="shared" si="28"/>
        <v>5</v>
      </c>
      <c r="F177" s="186">
        <f t="shared" si="29"/>
        <v>1</v>
      </c>
      <c r="G177" s="187">
        <f t="shared" si="30"/>
        <v>0</v>
      </c>
      <c r="H177" s="186">
        <f t="shared" si="31"/>
        <v>0</v>
      </c>
      <c r="I177" s="187">
        <f t="shared" si="32"/>
        <v>0</v>
      </c>
      <c r="J177" s="186">
        <f t="shared" si="33"/>
        <v>1</v>
      </c>
      <c r="K177" s="187"/>
      <c r="L177" s="189">
        <f t="shared" si="35"/>
        <v>173</v>
      </c>
      <c r="M177" s="189">
        <f t="shared" si="34"/>
        <v>432.5</v>
      </c>
    </row>
    <row r="178" spans="1:13" ht="12.75" customHeight="1" x14ac:dyDescent="0.25">
      <c r="A178" s="191">
        <f t="shared" si="24"/>
        <v>470</v>
      </c>
      <c r="B178" s="186">
        <f t="shared" si="25"/>
        <v>2</v>
      </c>
      <c r="C178" s="187">
        <f t="shared" si="26"/>
        <v>0</v>
      </c>
      <c r="D178" s="186">
        <f t="shared" si="27"/>
        <v>0</v>
      </c>
      <c r="E178" s="187">
        <f t="shared" si="28"/>
        <v>5</v>
      </c>
      <c r="F178" s="186">
        <f t="shared" si="29"/>
        <v>1</v>
      </c>
      <c r="G178" s="187">
        <f t="shared" si="30"/>
        <v>0</v>
      </c>
      <c r="H178" s="186">
        <f t="shared" si="31"/>
        <v>0</v>
      </c>
      <c r="I178" s="187">
        <f t="shared" si="32"/>
        <v>1</v>
      </c>
      <c r="J178" s="186">
        <f t="shared" si="33"/>
        <v>0</v>
      </c>
      <c r="K178" s="187"/>
      <c r="L178" s="189">
        <f t="shared" si="35"/>
        <v>174</v>
      </c>
      <c r="M178" s="189">
        <f t="shared" si="34"/>
        <v>435</v>
      </c>
    </row>
    <row r="179" spans="1:13" ht="12.75" customHeight="1" x14ac:dyDescent="0.25">
      <c r="A179" s="191">
        <f t="shared" si="24"/>
        <v>472.5</v>
      </c>
      <c r="B179" s="186">
        <f t="shared" si="25"/>
        <v>2</v>
      </c>
      <c r="C179" s="187">
        <f t="shared" si="26"/>
        <v>0</v>
      </c>
      <c r="D179" s="186">
        <f t="shared" si="27"/>
        <v>0</v>
      </c>
      <c r="E179" s="187">
        <f t="shared" si="28"/>
        <v>5</v>
      </c>
      <c r="F179" s="186">
        <f t="shared" si="29"/>
        <v>1</v>
      </c>
      <c r="G179" s="187">
        <f t="shared" si="30"/>
        <v>0</v>
      </c>
      <c r="H179" s="186">
        <f t="shared" si="31"/>
        <v>0</v>
      </c>
      <c r="I179" s="187">
        <f t="shared" si="32"/>
        <v>1</v>
      </c>
      <c r="J179" s="186">
        <f t="shared" si="33"/>
        <v>1</v>
      </c>
      <c r="K179" s="187"/>
      <c r="L179" s="189">
        <f t="shared" si="35"/>
        <v>175</v>
      </c>
      <c r="M179" s="189">
        <f t="shared" si="34"/>
        <v>437.5</v>
      </c>
    </row>
    <row r="180" spans="1:13" ht="12.75" customHeight="1" x14ac:dyDescent="0.25">
      <c r="A180" s="191">
        <f t="shared" si="24"/>
        <v>475</v>
      </c>
      <c r="B180" s="186">
        <f t="shared" si="25"/>
        <v>2</v>
      </c>
      <c r="C180" s="187">
        <f t="shared" si="26"/>
        <v>0</v>
      </c>
      <c r="D180" s="186">
        <f t="shared" si="27"/>
        <v>0</v>
      </c>
      <c r="E180" s="187">
        <f t="shared" si="28"/>
        <v>6</v>
      </c>
      <c r="F180" s="186">
        <f t="shared" si="29"/>
        <v>0</v>
      </c>
      <c r="G180" s="187">
        <f t="shared" si="30"/>
        <v>0</v>
      </c>
      <c r="H180" s="186">
        <f t="shared" si="31"/>
        <v>0</v>
      </c>
      <c r="I180" s="187">
        <f t="shared" si="32"/>
        <v>0</v>
      </c>
      <c r="J180" s="186">
        <f t="shared" si="33"/>
        <v>0</v>
      </c>
      <c r="K180" s="187"/>
      <c r="L180" s="189">
        <f t="shared" si="35"/>
        <v>176</v>
      </c>
      <c r="M180" s="189">
        <f t="shared" si="34"/>
        <v>440</v>
      </c>
    </row>
    <row r="181" spans="1:13" ht="12.75" customHeight="1" x14ac:dyDescent="0.25">
      <c r="A181" s="191">
        <f t="shared" si="24"/>
        <v>477.5</v>
      </c>
      <c r="B181" s="186">
        <f t="shared" si="25"/>
        <v>2</v>
      </c>
      <c r="C181" s="187">
        <f t="shared" si="26"/>
        <v>0</v>
      </c>
      <c r="D181" s="186">
        <f t="shared" si="27"/>
        <v>0</v>
      </c>
      <c r="E181" s="187">
        <f t="shared" si="28"/>
        <v>6</v>
      </c>
      <c r="F181" s="186">
        <f t="shared" si="29"/>
        <v>0</v>
      </c>
      <c r="G181" s="187">
        <f t="shared" si="30"/>
        <v>0</v>
      </c>
      <c r="H181" s="186">
        <f t="shared" si="31"/>
        <v>0</v>
      </c>
      <c r="I181" s="187">
        <f t="shared" si="32"/>
        <v>0</v>
      </c>
      <c r="J181" s="186">
        <f t="shared" si="33"/>
        <v>1</v>
      </c>
      <c r="K181" s="187"/>
      <c r="L181" s="189">
        <f t="shared" si="35"/>
        <v>177</v>
      </c>
      <c r="M181" s="189">
        <f t="shared" si="34"/>
        <v>442.5</v>
      </c>
    </row>
    <row r="182" spans="1:13" ht="12.75" customHeight="1" x14ac:dyDescent="0.25">
      <c r="A182" s="191">
        <f t="shared" si="24"/>
        <v>480</v>
      </c>
      <c r="B182" s="186">
        <f t="shared" si="25"/>
        <v>2</v>
      </c>
      <c r="C182" s="187">
        <f t="shared" si="26"/>
        <v>0</v>
      </c>
      <c r="D182" s="186">
        <f t="shared" si="27"/>
        <v>0</v>
      </c>
      <c r="E182" s="187">
        <f t="shared" si="28"/>
        <v>6</v>
      </c>
      <c r="F182" s="186">
        <f t="shared" si="29"/>
        <v>0</v>
      </c>
      <c r="G182" s="187">
        <f t="shared" si="30"/>
        <v>0</v>
      </c>
      <c r="H182" s="186">
        <f t="shared" si="31"/>
        <v>0</v>
      </c>
      <c r="I182" s="187">
        <f t="shared" si="32"/>
        <v>1</v>
      </c>
      <c r="J182" s="186">
        <f t="shared" si="33"/>
        <v>0</v>
      </c>
      <c r="K182" s="187"/>
      <c r="L182" s="189">
        <f t="shared" si="35"/>
        <v>178</v>
      </c>
      <c r="M182" s="189">
        <f t="shared" si="34"/>
        <v>445</v>
      </c>
    </row>
    <row r="183" spans="1:13" ht="12.75" customHeight="1" x14ac:dyDescent="0.25">
      <c r="A183" s="191">
        <f t="shared" si="24"/>
        <v>482.5</v>
      </c>
      <c r="B183" s="186">
        <f t="shared" si="25"/>
        <v>2</v>
      </c>
      <c r="C183" s="187">
        <f t="shared" si="26"/>
        <v>0</v>
      </c>
      <c r="D183" s="186">
        <f t="shared" si="27"/>
        <v>0</v>
      </c>
      <c r="E183" s="187">
        <f t="shared" si="28"/>
        <v>6</v>
      </c>
      <c r="F183" s="186">
        <f t="shared" si="29"/>
        <v>0</v>
      </c>
      <c r="G183" s="187">
        <f t="shared" si="30"/>
        <v>0</v>
      </c>
      <c r="H183" s="186">
        <f t="shared" si="31"/>
        <v>0</v>
      </c>
      <c r="I183" s="187">
        <f t="shared" si="32"/>
        <v>1</v>
      </c>
      <c r="J183" s="186">
        <f t="shared" si="33"/>
        <v>1</v>
      </c>
      <c r="K183" s="187"/>
      <c r="L183" s="189">
        <f t="shared" si="35"/>
        <v>179</v>
      </c>
      <c r="M183" s="189">
        <f t="shared" si="34"/>
        <v>447.5</v>
      </c>
    </row>
    <row r="184" spans="1:13" ht="12.75" customHeight="1" x14ac:dyDescent="0.25">
      <c r="A184" s="191">
        <f t="shared" si="24"/>
        <v>485</v>
      </c>
      <c r="B184" s="186">
        <f t="shared" si="25"/>
        <v>2</v>
      </c>
      <c r="C184" s="187">
        <f t="shared" si="26"/>
        <v>0</v>
      </c>
      <c r="D184" s="186">
        <f t="shared" si="27"/>
        <v>0</v>
      </c>
      <c r="E184" s="187">
        <f t="shared" si="28"/>
        <v>6</v>
      </c>
      <c r="F184" s="186">
        <f t="shared" si="29"/>
        <v>0</v>
      </c>
      <c r="G184" s="187">
        <f t="shared" si="30"/>
        <v>0</v>
      </c>
      <c r="H184" s="186">
        <f t="shared" si="31"/>
        <v>1</v>
      </c>
      <c r="I184" s="187">
        <f t="shared" si="32"/>
        <v>0</v>
      </c>
      <c r="J184" s="186">
        <f t="shared" si="33"/>
        <v>0</v>
      </c>
      <c r="K184" s="187"/>
      <c r="L184" s="189">
        <f t="shared" si="35"/>
        <v>180</v>
      </c>
      <c r="M184" s="189">
        <f t="shared" si="34"/>
        <v>450</v>
      </c>
    </row>
    <row r="185" spans="1:13" ht="12.75" customHeight="1" x14ac:dyDescent="0.25">
      <c r="A185" s="191">
        <f t="shared" si="24"/>
        <v>487.5</v>
      </c>
      <c r="B185" s="186">
        <f t="shared" si="25"/>
        <v>2</v>
      </c>
      <c r="C185" s="187">
        <f t="shared" si="26"/>
        <v>0</v>
      </c>
      <c r="D185" s="186">
        <f t="shared" si="27"/>
        <v>0</v>
      </c>
      <c r="E185" s="187">
        <f t="shared" si="28"/>
        <v>6</v>
      </c>
      <c r="F185" s="186">
        <f t="shared" si="29"/>
        <v>0</v>
      </c>
      <c r="G185" s="187">
        <f t="shared" si="30"/>
        <v>0</v>
      </c>
      <c r="H185" s="186">
        <f t="shared" si="31"/>
        <v>1</v>
      </c>
      <c r="I185" s="187">
        <f t="shared" si="32"/>
        <v>0</v>
      </c>
      <c r="J185" s="186">
        <f t="shared" si="33"/>
        <v>1</v>
      </c>
      <c r="K185" s="187"/>
      <c r="L185" s="189">
        <f t="shared" si="35"/>
        <v>181</v>
      </c>
      <c r="M185" s="189">
        <f t="shared" si="34"/>
        <v>452.5</v>
      </c>
    </row>
    <row r="186" spans="1:13" ht="12.75" customHeight="1" x14ac:dyDescent="0.25">
      <c r="A186" s="191">
        <f t="shared" si="24"/>
        <v>490</v>
      </c>
      <c r="B186" s="186">
        <f t="shared" si="25"/>
        <v>2</v>
      </c>
      <c r="C186" s="187">
        <f t="shared" si="26"/>
        <v>0</v>
      </c>
      <c r="D186" s="186">
        <f t="shared" si="27"/>
        <v>0</v>
      </c>
      <c r="E186" s="187">
        <f t="shared" si="28"/>
        <v>6</v>
      </c>
      <c r="F186" s="186">
        <f t="shared" si="29"/>
        <v>0</v>
      </c>
      <c r="G186" s="187">
        <f t="shared" si="30"/>
        <v>0</v>
      </c>
      <c r="H186" s="186">
        <f t="shared" si="31"/>
        <v>1</v>
      </c>
      <c r="I186" s="187">
        <f t="shared" si="32"/>
        <v>1</v>
      </c>
      <c r="J186" s="186">
        <f t="shared" si="33"/>
        <v>0</v>
      </c>
      <c r="K186" s="187"/>
      <c r="L186" s="189">
        <f t="shared" si="35"/>
        <v>182</v>
      </c>
      <c r="M186" s="189">
        <f t="shared" si="34"/>
        <v>455</v>
      </c>
    </row>
    <row r="187" spans="1:13" ht="12.75" customHeight="1" x14ac:dyDescent="0.25">
      <c r="A187" s="191">
        <f t="shared" si="24"/>
        <v>492.5</v>
      </c>
      <c r="B187" s="186">
        <f t="shared" si="25"/>
        <v>2</v>
      </c>
      <c r="C187" s="187">
        <f t="shared" si="26"/>
        <v>0</v>
      </c>
      <c r="D187" s="186">
        <f t="shared" si="27"/>
        <v>0</v>
      </c>
      <c r="E187" s="187">
        <f t="shared" si="28"/>
        <v>6</v>
      </c>
      <c r="F187" s="186">
        <f t="shared" si="29"/>
        <v>0</v>
      </c>
      <c r="G187" s="187">
        <f t="shared" si="30"/>
        <v>0</v>
      </c>
      <c r="H187" s="186">
        <f t="shared" si="31"/>
        <v>1</v>
      </c>
      <c r="I187" s="187">
        <f t="shared" si="32"/>
        <v>1</v>
      </c>
      <c r="J187" s="186">
        <f t="shared" si="33"/>
        <v>1</v>
      </c>
      <c r="K187" s="187"/>
      <c r="L187" s="189">
        <f t="shared" si="35"/>
        <v>183</v>
      </c>
      <c r="M187" s="189">
        <f t="shared" si="34"/>
        <v>457.5</v>
      </c>
    </row>
    <row r="188" spans="1:13" ht="12.75" customHeight="1" x14ac:dyDescent="0.25">
      <c r="A188" s="191">
        <f t="shared" si="24"/>
        <v>495</v>
      </c>
      <c r="B188" s="186">
        <f t="shared" si="25"/>
        <v>2</v>
      </c>
      <c r="C188" s="187">
        <f t="shared" si="26"/>
        <v>0</v>
      </c>
      <c r="D188" s="186">
        <f t="shared" si="27"/>
        <v>0</v>
      </c>
      <c r="E188" s="187">
        <f t="shared" si="28"/>
        <v>6</v>
      </c>
      <c r="F188" s="186">
        <f t="shared" si="29"/>
        <v>0</v>
      </c>
      <c r="G188" s="187">
        <f t="shared" si="30"/>
        <v>1</v>
      </c>
      <c r="H188" s="186">
        <f t="shared" si="31"/>
        <v>0</v>
      </c>
      <c r="I188" s="187">
        <f t="shared" si="32"/>
        <v>0</v>
      </c>
      <c r="J188" s="186">
        <f t="shared" si="33"/>
        <v>0</v>
      </c>
      <c r="K188" s="187"/>
      <c r="L188" s="189">
        <f t="shared" si="35"/>
        <v>184</v>
      </c>
      <c r="M188" s="189">
        <f t="shared" si="34"/>
        <v>460</v>
      </c>
    </row>
    <row r="189" spans="1:13" ht="12.75" customHeight="1" x14ac:dyDescent="0.25">
      <c r="A189" s="191">
        <f t="shared" si="24"/>
        <v>497.5</v>
      </c>
      <c r="B189" s="186">
        <f t="shared" si="25"/>
        <v>2</v>
      </c>
      <c r="C189" s="187">
        <f t="shared" si="26"/>
        <v>0</v>
      </c>
      <c r="D189" s="186">
        <f t="shared" si="27"/>
        <v>0</v>
      </c>
      <c r="E189" s="187">
        <f t="shared" si="28"/>
        <v>6</v>
      </c>
      <c r="F189" s="186">
        <f t="shared" si="29"/>
        <v>0</v>
      </c>
      <c r="G189" s="187">
        <f t="shared" si="30"/>
        <v>1</v>
      </c>
      <c r="H189" s="186">
        <f t="shared" si="31"/>
        <v>0</v>
      </c>
      <c r="I189" s="187">
        <f t="shared" si="32"/>
        <v>0</v>
      </c>
      <c r="J189" s="186">
        <f t="shared" si="33"/>
        <v>1</v>
      </c>
      <c r="K189" s="187"/>
      <c r="L189" s="189">
        <f t="shared" si="35"/>
        <v>185</v>
      </c>
      <c r="M189" s="189">
        <f t="shared" si="34"/>
        <v>462.5</v>
      </c>
    </row>
    <row r="190" spans="1:13" ht="12.75" customHeight="1" x14ac:dyDescent="0.25">
      <c r="A190" s="191">
        <f t="shared" si="24"/>
        <v>500</v>
      </c>
      <c r="B190" s="186">
        <f t="shared" si="25"/>
        <v>2</v>
      </c>
      <c r="C190" s="187">
        <f t="shared" si="26"/>
        <v>0</v>
      </c>
      <c r="D190" s="186">
        <f t="shared" si="27"/>
        <v>0</v>
      </c>
      <c r="E190" s="187">
        <f t="shared" si="28"/>
        <v>6</v>
      </c>
      <c r="F190" s="186">
        <f t="shared" si="29"/>
        <v>0</v>
      </c>
      <c r="G190" s="187">
        <f t="shared" si="30"/>
        <v>1</v>
      </c>
      <c r="H190" s="186">
        <f t="shared" si="31"/>
        <v>0</v>
      </c>
      <c r="I190" s="187">
        <f t="shared" si="32"/>
        <v>1</v>
      </c>
      <c r="J190" s="186">
        <f t="shared" si="33"/>
        <v>0</v>
      </c>
      <c r="K190" s="187"/>
      <c r="L190" s="189">
        <f t="shared" si="35"/>
        <v>186</v>
      </c>
      <c r="M190" s="189">
        <f t="shared" si="34"/>
        <v>465</v>
      </c>
    </row>
    <row r="191" spans="1:13" ht="12.75" customHeight="1" x14ac:dyDescent="0.25">
      <c r="A191" s="191">
        <f t="shared" si="24"/>
        <v>502.5</v>
      </c>
      <c r="B191" s="186">
        <f t="shared" si="25"/>
        <v>2</v>
      </c>
      <c r="C191" s="187">
        <f t="shared" si="26"/>
        <v>0</v>
      </c>
      <c r="D191" s="186">
        <f t="shared" si="27"/>
        <v>0</v>
      </c>
      <c r="E191" s="187">
        <f t="shared" si="28"/>
        <v>6</v>
      </c>
      <c r="F191" s="186">
        <f t="shared" si="29"/>
        <v>0</v>
      </c>
      <c r="G191" s="187">
        <f t="shared" si="30"/>
        <v>1</v>
      </c>
      <c r="H191" s="186">
        <f t="shared" si="31"/>
        <v>0</v>
      </c>
      <c r="I191" s="187">
        <f t="shared" si="32"/>
        <v>1</v>
      </c>
      <c r="J191" s="186">
        <f t="shared" si="33"/>
        <v>1</v>
      </c>
      <c r="K191" s="187"/>
      <c r="L191" s="189">
        <f t="shared" si="35"/>
        <v>187</v>
      </c>
      <c r="M191" s="189">
        <f t="shared" si="34"/>
        <v>467.5</v>
      </c>
    </row>
    <row r="192" spans="1:13" ht="12.75" customHeight="1" x14ac:dyDescent="0.25">
      <c r="A192" s="191">
        <f t="shared" si="24"/>
        <v>505</v>
      </c>
      <c r="B192" s="186">
        <f t="shared" si="25"/>
        <v>2</v>
      </c>
      <c r="C192" s="187">
        <f t="shared" si="26"/>
        <v>0</v>
      </c>
      <c r="D192" s="186">
        <f t="shared" si="27"/>
        <v>0</v>
      </c>
      <c r="E192" s="187">
        <f t="shared" si="28"/>
        <v>6</v>
      </c>
      <c r="F192" s="186">
        <f t="shared" si="29"/>
        <v>1</v>
      </c>
      <c r="G192" s="187">
        <f t="shared" si="30"/>
        <v>0</v>
      </c>
      <c r="H192" s="186">
        <f t="shared" si="31"/>
        <v>0</v>
      </c>
      <c r="I192" s="187">
        <f t="shared" si="32"/>
        <v>0</v>
      </c>
      <c r="J192" s="186">
        <f t="shared" si="33"/>
        <v>0</v>
      </c>
      <c r="K192" s="187"/>
      <c r="L192" s="189">
        <f t="shared" si="35"/>
        <v>188</v>
      </c>
      <c r="M192" s="189">
        <f t="shared" si="34"/>
        <v>470</v>
      </c>
    </row>
    <row r="193" spans="1:13" ht="12.75" customHeight="1" x14ac:dyDescent="0.25">
      <c r="A193" s="191">
        <f t="shared" si="24"/>
        <v>507.5</v>
      </c>
      <c r="B193" s="186">
        <f t="shared" si="25"/>
        <v>2</v>
      </c>
      <c r="C193" s="187">
        <f t="shared" si="26"/>
        <v>0</v>
      </c>
      <c r="D193" s="186">
        <f t="shared" si="27"/>
        <v>0</v>
      </c>
      <c r="E193" s="187">
        <f t="shared" si="28"/>
        <v>6</v>
      </c>
      <c r="F193" s="186">
        <f t="shared" si="29"/>
        <v>1</v>
      </c>
      <c r="G193" s="187">
        <f t="shared" si="30"/>
        <v>0</v>
      </c>
      <c r="H193" s="186">
        <f t="shared" si="31"/>
        <v>0</v>
      </c>
      <c r="I193" s="187">
        <f t="shared" si="32"/>
        <v>0</v>
      </c>
      <c r="J193" s="186">
        <f t="shared" si="33"/>
        <v>1</v>
      </c>
      <c r="K193" s="187"/>
      <c r="L193" s="189">
        <f t="shared" si="35"/>
        <v>189</v>
      </c>
      <c r="M193" s="189">
        <f t="shared" si="34"/>
        <v>472.5</v>
      </c>
    </row>
    <row r="194" spans="1:13" ht="12.75" customHeight="1" x14ac:dyDescent="0.25">
      <c r="A194" s="191">
        <f t="shared" si="24"/>
        <v>510</v>
      </c>
      <c r="B194" s="186">
        <f t="shared" si="25"/>
        <v>2</v>
      </c>
      <c r="C194" s="187">
        <f t="shared" si="26"/>
        <v>0</v>
      </c>
      <c r="D194" s="186">
        <f t="shared" si="27"/>
        <v>0</v>
      </c>
      <c r="E194" s="187">
        <f t="shared" si="28"/>
        <v>6</v>
      </c>
      <c r="F194" s="186">
        <f t="shared" si="29"/>
        <v>1</v>
      </c>
      <c r="G194" s="187">
        <f t="shared" si="30"/>
        <v>0</v>
      </c>
      <c r="H194" s="186">
        <f t="shared" si="31"/>
        <v>0</v>
      </c>
      <c r="I194" s="187">
        <f t="shared" si="32"/>
        <v>1</v>
      </c>
      <c r="J194" s="186">
        <f t="shared" si="33"/>
        <v>0</v>
      </c>
      <c r="K194" s="187"/>
      <c r="L194" s="189">
        <f t="shared" si="35"/>
        <v>190</v>
      </c>
      <c r="M194" s="189">
        <f t="shared" si="34"/>
        <v>475</v>
      </c>
    </row>
    <row r="195" spans="1:13" ht="12.75" customHeight="1" x14ac:dyDescent="0.25">
      <c r="A195" s="191">
        <f t="shared" si="24"/>
        <v>512.5</v>
      </c>
      <c r="B195" s="186">
        <f t="shared" si="25"/>
        <v>2</v>
      </c>
      <c r="C195" s="187">
        <f t="shared" si="26"/>
        <v>0</v>
      </c>
      <c r="D195" s="186">
        <f t="shared" si="27"/>
        <v>0</v>
      </c>
      <c r="E195" s="187">
        <f t="shared" si="28"/>
        <v>6</v>
      </c>
      <c r="F195" s="186">
        <f t="shared" si="29"/>
        <v>1</v>
      </c>
      <c r="G195" s="187">
        <f t="shared" si="30"/>
        <v>0</v>
      </c>
      <c r="H195" s="186">
        <f t="shared" si="31"/>
        <v>0</v>
      </c>
      <c r="I195" s="187">
        <f t="shared" si="32"/>
        <v>1</v>
      </c>
      <c r="J195" s="186">
        <f t="shared" si="33"/>
        <v>1</v>
      </c>
      <c r="K195" s="187"/>
      <c r="L195" s="189">
        <f t="shared" si="35"/>
        <v>191</v>
      </c>
      <c r="M195" s="189">
        <f t="shared" si="34"/>
        <v>477.5</v>
      </c>
    </row>
    <row r="196" spans="1:13" ht="12.75" customHeight="1" x14ac:dyDescent="0.25">
      <c r="A196" s="191">
        <f t="shared" si="24"/>
        <v>515</v>
      </c>
      <c r="B196" s="186">
        <f t="shared" si="25"/>
        <v>2</v>
      </c>
      <c r="C196" s="187">
        <f t="shared" si="26"/>
        <v>0</v>
      </c>
      <c r="D196" s="186">
        <f t="shared" si="27"/>
        <v>0</v>
      </c>
      <c r="E196" s="187">
        <f t="shared" si="28"/>
        <v>7</v>
      </c>
      <c r="F196" s="186">
        <f t="shared" si="29"/>
        <v>0</v>
      </c>
      <c r="G196" s="187">
        <f t="shared" si="30"/>
        <v>0</v>
      </c>
      <c r="H196" s="186">
        <f t="shared" si="31"/>
        <v>0</v>
      </c>
      <c r="I196" s="187">
        <f t="shared" si="32"/>
        <v>0</v>
      </c>
      <c r="J196" s="186">
        <f t="shared" si="33"/>
        <v>0</v>
      </c>
      <c r="K196" s="187"/>
      <c r="L196" s="189">
        <f t="shared" si="35"/>
        <v>192</v>
      </c>
      <c r="M196" s="189">
        <f t="shared" si="34"/>
        <v>480</v>
      </c>
    </row>
    <row r="197" spans="1:13" ht="12.75" customHeight="1" x14ac:dyDescent="0.25">
      <c r="A197" s="191">
        <f t="shared" ref="A197:A260" si="36">IF(M197+$K$2&gt;$L$1,0,M197+$K$2)</f>
        <v>517.5</v>
      </c>
      <c r="B197" s="186">
        <f t="shared" ref="B197:B260" si="37">IF(A197=0,0,MIN($B$1/2,INT(M197/(2*$B$2))))</f>
        <v>2</v>
      </c>
      <c r="C197" s="187">
        <f t="shared" ref="C197:C260" si="38">IF(A197=0,0,MIN($C$1/2,INT(($M197-2*$B197*$B$2)/(2*$C$2))))</f>
        <v>0</v>
      </c>
      <c r="D197" s="186">
        <f t="shared" ref="D197:D260" si="39">IF(A197=0,0,MIN($D$1/2,INT(($M197-2*$B197*$B$2-2*$C197*$C$2)/(2*$D$2))))</f>
        <v>0</v>
      </c>
      <c r="E197" s="187">
        <f t="shared" ref="E197:E260" si="40">IF(A197=0,0,MIN($E$1/2,INT(($M197-2*$B197*$B$2-2*$C197*$C$2-2*$D197*$D$2)/(2*$E$2))))</f>
        <v>7</v>
      </c>
      <c r="F197" s="186">
        <f t="shared" ref="F197:F260" si="41">IF(A197=0,0,MIN($F$1/2,INT(($M197-2*$B197*$B$2-2*$C197*$C$2-2*$D197*$D$2-2*$E197*$E$2)/(2*$F$2))))</f>
        <v>0</v>
      </c>
      <c r="G197" s="187">
        <f t="shared" ref="G197:G260" si="42">IF(A197=0,0,MIN($G$1/2,INT(($M197-2*$B197*$B$2-2*$C197*$C$2-2*$D197*$D$2-2*$E197*$E$2-2*$F197*$F$2)/(2*$G$2))))</f>
        <v>0</v>
      </c>
      <c r="H197" s="186">
        <f t="shared" ref="H197:H260" si="43">IF(A197=0,0,MIN($H$1/2,INT(($M197-2*$B197*$B$2-2*$C197*$C$2-2*$D197*$D$2-2*$E197*$E$2-2*$F197*$F$2-2*$G197*$G$2)/(2*$H$2))))</f>
        <v>0</v>
      </c>
      <c r="I197" s="187">
        <f t="shared" ref="I197:I260" si="44">IF(A197=0,0,MIN($I$1/2,INT(($M197-2*$B197*$B$2-2*$C197*$C$2-2*$D197*$D$2-2*$E197*$E$2-2*$F197*$F$2-2*$G197*$G$2-2*$H197*$H$2)/(2*$I$2))))</f>
        <v>0</v>
      </c>
      <c r="J197" s="186">
        <f t="shared" ref="J197:J260" si="45">IF(A197=0,0,MIN($J$1/2,INT(($M197-2*$B197*$B$2-2*$C197*$C$2-2*$D197*$D$2-2*$E197*$E$2-2*$F197*$F$2-2*$G197*$G$2-2*$H197*$H$2-2*$I197*$I$2)/(2*$J$2))))</f>
        <v>1</v>
      </c>
      <c r="K197" s="187"/>
      <c r="L197" s="189">
        <f t="shared" si="35"/>
        <v>193</v>
      </c>
      <c r="M197" s="189">
        <f t="shared" ref="M197:M260" si="46">IF($A$2="Pounds",5*L197,2.5*L197)</f>
        <v>482.5</v>
      </c>
    </row>
    <row r="198" spans="1:13" ht="12.75" customHeight="1" x14ac:dyDescent="0.25">
      <c r="A198" s="191">
        <f t="shared" si="36"/>
        <v>520</v>
      </c>
      <c r="B198" s="186">
        <f t="shared" si="37"/>
        <v>2</v>
      </c>
      <c r="C198" s="187">
        <f t="shared" si="38"/>
        <v>0</v>
      </c>
      <c r="D198" s="186">
        <f t="shared" si="39"/>
        <v>0</v>
      </c>
      <c r="E198" s="187">
        <f t="shared" si="40"/>
        <v>7</v>
      </c>
      <c r="F198" s="186">
        <f t="shared" si="41"/>
        <v>0</v>
      </c>
      <c r="G198" s="187">
        <f t="shared" si="42"/>
        <v>0</v>
      </c>
      <c r="H198" s="186">
        <f t="shared" si="43"/>
        <v>0</v>
      </c>
      <c r="I198" s="187">
        <f t="shared" si="44"/>
        <v>1</v>
      </c>
      <c r="J198" s="186">
        <f t="shared" si="45"/>
        <v>0</v>
      </c>
      <c r="K198" s="187"/>
      <c r="L198" s="189">
        <f t="shared" si="35"/>
        <v>194</v>
      </c>
      <c r="M198" s="189">
        <f t="shared" si="46"/>
        <v>485</v>
      </c>
    </row>
    <row r="199" spans="1:13" ht="12.75" customHeight="1" x14ac:dyDescent="0.25">
      <c r="A199" s="191">
        <f t="shared" si="36"/>
        <v>522.5</v>
      </c>
      <c r="B199" s="186">
        <f t="shared" si="37"/>
        <v>2</v>
      </c>
      <c r="C199" s="187">
        <f t="shared" si="38"/>
        <v>0</v>
      </c>
      <c r="D199" s="186">
        <f t="shared" si="39"/>
        <v>0</v>
      </c>
      <c r="E199" s="187">
        <f t="shared" si="40"/>
        <v>7</v>
      </c>
      <c r="F199" s="186">
        <f t="shared" si="41"/>
        <v>0</v>
      </c>
      <c r="G199" s="187">
        <f t="shared" si="42"/>
        <v>0</v>
      </c>
      <c r="H199" s="186">
        <f t="shared" si="43"/>
        <v>0</v>
      </c>
      <c r="I199" s="187">
        <f t="shared" si="44"/>
        <v>1</v>
      </c>
      <c r="J199" s="186">
        <f t="shared" si="45"/>
        <v>1</v>
      </c>
      <c r="K199" s="187"/>
      <c r="L199" s="189">
        <f t="shared" si="35"/>
        <v>195</v>
      </c>
      <c r="M199" s="189">
        <f t="shared" si="46"/>
        <v>487.5</v>
      </c>
    </row>
    <row r="200" spans="1:13" ht="12.75" customHeight="1" x14ac:dyDescent="0.25">
      <c r="A200" s="191">
        <f t="shared" si="36"/>
        <v>525</v>
      </c>
      <c r="B200" s="186">
        <f t="shared" si="37"/>
        <v>2</v>
      </c>
      <c r="C200" s="187">
        <f t="shared" si="38"/>
        <v>0</v>
      </c>
      <c r="D200" s="186">
        <f t="shared" si="39"/>
        <v>0</v>
      </c>
      <c r="E200" s="187">
        <f t="shared" si="40"/>
        <v>7</v>
      </c>
      <c r="F200" s="186">
        <f t="shared" si="41"/>
        <v>0</v>
      </c>
      <c r="G200" s="187">
        <f t="shared" si="42"/>
        <v>0</v>
      </c>
      <c r="H200" s="186">
        <f t="shared" si="43"/>
        <v>1</v>
      </c>
      <c r="I200" s="187">
        <f t="shared" si="44"/>
        <v>0</v>
      </c>
      <c r="J200" s="186">
        <f t="shared" si="45"/>
        <v>0</v>
      </c>
      <c r="K200" s="187"/>
      <c r="L200" s="189">
        <f t="shared" si="35"/>
        <v>196</v>
      </c>
      <c r="M200" s="189">
        <f t="shared" si="46"/>
        <v>490</v>
      </c>
    </row>
    <row r="201" spans="1:13" ht="12.75" customHeight="1" x14ac:dyDescent="0.25">
      <c r="A201" s="191">
        <f t="shared" si="36"/>
        <v>527.5</v>
      </c>
      <c r="B201" s="186">
        <f t="shared" si="37"/>
        <v>2</v>
      </c>
      <c r="C201" s="187">
        <f t="shared" si="38"/>
        <v>0</v>
      </c>
      <c r="D201" s="186">
        <f t="shared" si="39"/>
        <v>0</v>
      </c>
      <c r="E201" s="187">
        <f t="shared" si="40"/>
        <v>7</v>
      </c>
      <c r="F201" s="186">
        <f t="shared" si="41"/>
        <v>0</v>
      </c>
      <c r="G201" s="187">
        <f t="shared" si="42"/>
        <v>0</v>
      </c>
      <c r="H201" s="186">
        <f t="shared" si="43"/>
        <v>1</v>
      </c>
      <c r="I201" s="187">
        <f t="shared" si="44"/>
        <v>0</v>
      </c>
      <c r="J201" s="186">
        <f t="shared" si="45"/>
        <v>1</v>
      </c>
      <c r="K201" s="187"/>
      <c r="L201" s="189">
        <f t="shared" si="35"/>
        <v>197</v>
      </c>
      <c r="M201" s="189">
        <f t="shared" si="46"/>
        <v>492.5</v>
      </c>
    </row>
    <row r="202" spans="1:13" ht="12.75" customHeight="1" x14ac:dyDescent="0.25">
      <c r="A202" s="191">
        <f t="shared" si="36"/>
        <v>530</v>
      </c>
      <c r="B202" s="186">
        <f t="shared" si="37"/>
        <v>2</v>
      </c>
      <c r="C202" s="187">
        <f t="shared" si="38"/>
        <v>0</v>
      </c>
      <c r="D202" s="186">
        <f t="shared" si="39"/>
        <v>0</v>
      </c>
      <c r="E202" s="187">
        <f t="shared" si="40"/>
        <v>7</v>
      </c>
      <c r="F202" s="186">
        <f t="shared" si="41"/>
        <v>0</v>
      </c>
      <c r="G202" s="187">
        <f t="shared" si="42"/>
        <v>0</v>
      </c>
      <c r="H202" s="186">
        <f t="shared" si="43"/>
        <v>1</v>
      </c>
      <c r="I202" s="187">
        <f t="shared" si="44"/>
        <v>1</v>
      </c>
      <c r="J202" s="186">
        <f t="shared" si="45"/>
        <v>0</v>
      </c>
      <c r="K202" s="187"/>
      <c r="L202" s="189">
        <f t="shared" si="35"/>
        <v>198</v>
      </c>
      <c r="M202" s="189">
        <f t="shared" si="46"/>
        <v>495</v>
      </c>
    </row>
    <row r="203" spans="1:13" ht="12.75" customHeight="1" x14ac:dyDescent="0.25">
      <c r="A203" s="191">
        <f t="shared" si="36"/>
        <v>532.5</v>
      </c>
      <c r="B203" s="186">
        <f t="shared" si="37"/>
        <v>2</v>
      </c>
      <c r="C203" s="187">
        <f t="shared" si="38"/>
        <v>0</v>
      </c>
      <c r="D203" s="186">
        <f t="shared" si="39"/>
        <v>0</v>
      </c>
      <c r="E203" s="187">
        <f t="shared" si="40"/>
        <v>7</v>
      </c>
      <c r="F203" s="186">
        <f t="shared" si="41"/>
        <v>0</v>
      </c>
      <c r="G203" s="187">
        <f t="shared" si="42"/>
        <v>0</v>
      </c>
      <c r="H203" s="186">
        <f t="shared" si="43"/>
        <v>1</v>
      </c>
      <c r="I203" s="187">
        <f t="shared" si="44"/>
        <v>1</v>
      </c>
      <c r="J203" s="186">
        <f t="shared" si="45"/>
        <v>1</v>
      </c>
      <c r="K203" s="187"/>
      <c r="L203" s="189">
        <f t="shared" si="35"/>
        <v>199</v>
      </c>
      <c r="M203" s="189">
        <f t="shared" si="46"/>
        <v>497.5</v>
      </c>
    </row>
    <row r="204" spans="1:13" ht="12.75" customHeight="1" x14ac:dyDescent="0.25">
      <c r="A204" s="191">
        <f t="shared" si="36"/>
        <v>535</v>
      </c>
      <c r="B204" s="186">
        <f t="shared" si="37"/>
        <v>2</v>
      </c>
      <c r="C204" s="187">
        <f t="shared" si="38"/>
        <v>0</v>
      </c>
      <c r="D204" s="186">
        <f t="shared" si="39"/>
        <v>0</v>
      </c>
      <c r="E204" s="187">
        <f t="shared" si="40"/>
        <v>7</v>
      </c>
      <c r="F204" s="186">
        <f t="shared" si="41"/>
        <v>0</v>
      </c>
      <c r="G204" s="187">
        <f t="shared" si="42"/>
        <v>1</v>
      </c>
      <c r="H204" s="186">
        <f t="shared" si="43"/>
        <v>0</v>
      </c>
      <c r="I204" s="187">
        <f t="shared" si="44"/>
        <v>0</v>
      </c>
      <c r="J204" s="186">
        <f t="shared" si="45"/>
        <v>0</v>
      </c>
      <c r="K204" s="187"/>
      <c r="L204" s="189">
        <f t="shared" si="35"/>
        <v>200</v>
      </c>
      <c r="M204" s="189">
        <f t="shared" si="46"/>
        <v>500</v>
      </c>
    </row>
    <row r="205" spans="1:13" ht="12.75" customHeight="1" x14ac:dyDescent="0.25">
      <c r="A205" s="191">
        <f t="shared" si="36"/>
        <v>537.5</v>
      </c>
      <c r="B205" s="186">
        <f t="shared" si="37"/>
        <v>2</v>
      </c>
      <c r="C205" s="187">
        <f t="shared" si="38"/>
        <v>0</v>
      </c>
      <c r="D205" s="186">
        <f t="shared" si="39"/>
        <v>0</v>
      </c>
      <c r="E205" s="187">
        <f t="shared" si="40"/>
        <v>7</v>
      </c>
      <c r="F205" s="186">
        <f t="shared" si="41"/>
        <v>0</v>
      </c>
      <c r="G205" s="187">
        <f t="shared" si="42"/>
        <v>1</v>
      </c>
      <c r="H205" s="186">
        <f t="shared" si="43"/>
        <v>0</v>
      </c>
      <c r="I205" s="187">
        <f t="shared" si="44"/>
        <v>0</v>
      </c>
      <c r="J205" s="186">
        <f t="shared" si="45"/>
        <v>1</v>
      </c>
      <c r="K205" s="187"/>
      <c r="L205" s="189">
        <f t="shared" ref="L205:L260" si="47">L204+1</f>
        <v>201</v>
      </c>
      <c r="M205" s="189">
        <f t="shared" si="46"/>
        <v>502.5</v>
      </c>
    </row>
    <row r="206" spans="1:13" ht="12.75" customHeight="1" x14ac:dyDescent="0.25">
      <c r="A206" s="191">
        <f t="shared" si="36"/>
        <v>540</v>
      </c>
      <c r="B206" s="186">
        <f t="shared" si="37"/>
        <v>2</v>
      </c>
      <c r="C206" s="187">
        <f t="shared" si="38"/>
        <v>0</v>
      </c>
      <c r="D206" s="186">
        <f t="shared" si="39"/>
        <v>0</v>
      </c>
      <c r="E206" s="187">
        <f t="shared" si="40"/>
        <v>7</v>
      </c>
      <c r="F206" s="186">
        <f t="shared" si="41"/>
        <v>0</v>
      </c>
      <c r="G206" s="187">
        <f t="shared" si="42"/>
        <v>1</v>
      </c>
      <c r="H206" s="186">
        <f t="shared" si="43"/>
        <v>0</v>
      </c>
      <c r="I206" s="187">
        <f t="shared" si="44"/>
        <v>1</v>
      </c>
      <c r="J206" s="186">
        <f t="shared" si="45"/>
        <v>0</v>
      </c>
      <c r="K206" s="187"/>
      <c r="L206" s="189">
        <f t="shared" si="47"/>
        <v>202</v>
      </c>
      <c r="M206" s="189">
        <f t="shared" si="46"/>
        <v>505</v>
      </c>
    </row>
    <row r="207" spans="1:13" ht="12.75" customHeight="1" x14ac:dyDescent="0.25">
      <c r="A207" s="191">
        <f t="shared" si="36"/>
        <v>542.5</v>
      </c>
      <c r="B207" s="186">
        <f t="shared" si="37"/>
        <v>2</v>
      </c>
      <c r="C207" s="187">
        <f t="shared" si="38"/>
        <v>0</v>
      </c>
      <c r="D207" s="186">
        <f t="shared" si="39"/>
        <v>0</v>
      </c>
      <c r="E207" s="187">
        <f t="shared" si="40"/>
        <v>7</v>
      </c>
      <c r="F207" s="186">
        <f t="shared" si="41"/>
        <v>0</v>
      </c>
      <c r="G207" s="187">
        <f t="shared" si="42"/>
        <v>1</v>
      </c>
      <c r="H207" s="186">
        <f t="shared" si="43"/>
        <v>0</v>
      </c>
      <c r="I207" s="187">
        <f t="shared" si="44"/>
        <v>1</v>
      </c>
      <c r="J207" s="186">
        <f t="shared" si="45"/>
        <v>1</v>
      </c>
      <c r="K207" s="187"/>
      <c r="L207" s="189">
        <f t="shared" si="47"/>
        <v>203</v>
      </c>
      <c r="M207" s="189">
        <f t="shared" si="46"/>
        <v>507.5</v>
      </c>
    </row>
    <row r="208" spans="1:13" ht="12.75" customHeight="1" x14ac:dyDescent="0.25">
      <c r="A208" s="191">
        <f t="shared" si="36"/>
        <v>545</v>
      </c>
      <c r="B208" s="186">
        <f t="shared" si="37"/>
        <v>2</v>
      </c>
      <c r="C208" s="187">
        <f t="shared" si="38"/>
        <v>0</v>
      </c>
      <c r="D208" s="186">
        <f t="shared" si="39"/>
        <v>0</v>
      </c>
      <c r="E208" s="187">
        <f t="shared" si="40"/>
        <v>7</v>
      </c>
      <c r="F208" s="186">
        <f t="shared" si="41"/>
        <v>1</v>
      </c>
      <c r="G208" s="187">
        <f t="shared" si="42"/>
        <v>0</v>
      </c>
      <c r="H208" s="186">
        <f t="shared" si="43"/>
        <v>0</v>
      </c>
      <c r="I208" s="187">
        <f t="shared" si="44"/>
        <v>0</v>
      </c>
      <c r="J208" s="186">
        <f t="shared" si="45"/>
        <v>0</v>
      </c>
      <c r="K208" s="187"/>
      <c r="L208" s="189">
        <f t="shared" si="47"/>
        <v>204</v>
      </c>
      <c r="M208" s="189">
        <f t="shared" si="46"/>
        <v>510</v>
      </c>
    </row>
    <row r="209" spans="1:13" ht="12.75" customHeight="1" x14ac:dyDescent="0.25">
      <c r="A209" s="191">
        <f t="shared" si="36"/>
        <v>547.5</v>
      </c>
      <c r="B209" s="186">
        <f t="shared" si="37"/>
        <v>2</v>
      </c>
      <c r="C209" s="187">
        <f t="shared" si="38"/>
        <v>0</v>
      </c>
      <c r="D209" s="186">
        <f t="shared" si="39"/>
        <v>0</v>
      </c>
      <c r="E209" s="187">
        <f t="shared" si="40"/>
        <v>7</v>
      </c>
      <c r="F209" s="186">
        <f t="shared" si="41"/>
        <v>1</v>
      </c>
      <c r="G209" s="187">
        <f t="shared" si="42"/>
        <v>0</v>
      </c>
      <c r="H209" s="186">
        <f t="shared" si="43"/>
        <v>0</v>
      </c>
      <c r="I209" s="187">
        <f t="shared" si="44"/>
        <v>0</v>
      </c>
      <c r="J209" s="186">
        <f t="shared" si="45"/>
        <v>1</v>
      </c>
      <c r="K209" s="187"/>
      <c r="L209" s="189">
        <f t="shared" si="47"/>
        <v>205</v>
      </c>
      <c r="M209" s="189">
        <f t="shared" si="46"/>
        <v>512.5</v>
      </c>
    </row>
    <row r="210" spans="1:13" ht="12.75" customHeight="1" x14ac:dyDescent="0.25">
      <c r="A210" s="191">
        <f t="shared" si="36"/>
        <v>550</v>
      </c>
      <c r="B210" s="186">
        <f t="shared" si="37"/>
        <v>2</v>
      </c>
      <c r="C210" s="187">
        <f t="shared" si="38"/>
        <v>0</v>
      </c>
      <c r="D210" s="186">
        <f t="shared" si="39"/>
        <v>0</v>
      </c>
      <c r="E210" s="187">
        <f t="shared" si="40"/>
        <v>7</v>
      </c>
      <c r="F210" s="186">
        <f t="shared" si="41"/>
        <v>1</v>
      </c>
      <c r="G210" s="187">
        <f t="shared" si="42"/>
        <v>0</v>
      </c>
      <c r="H210" s="186">
        <f t="shared" si="43"/>
        <v>0</v>
      </c>
      <c r="I210" s="187">
        <f t="shared" si="44"/>
        <v>1</v>
      </c>
      <c r="J210" s="186">
        <f t="shared" si="45"/>
        <v>0</v>
      </c>
      <c r="K210" s="187"/>
      <c r="L210" s="189">
        <f t="shared" si="47"/>
        <v>206</v>
      </c>
      <c r="M210" s="189">
        <f t="shared" si="46"/>
        <v>515</v>
      </c>
    </row>
    <row r="211" spans="1:13" ht="12.75" customHeight="1" x14ac:dyDescent="0.25">
      <c r="A211" s="191">
        <f t="shared" si="36"/>
        <v>552.5</v>
      </c>
      <c r="B211" s="186">
        <f t="shared" si="37"/>
        <v>2</v>
      </c>
      <c r="C211" s="187">
        <f t="shared" si="38"/>
        <v>0</v>
      </c>
      <c r="D211" s="186">
        <f t="shared" si="39"/>
        <v>0</v>
      </c>
      <c r="E211" s="187">
        <f t="shared" si="40"/>
        <v>7</v>
      </c>
      <c r="F211" s="186">
        <f t="shared" si="41"/>
        <v>1</v>
      </c>
      <c r="G211" s="187">
        <f t="shared" si="42"/>
        <v>0</v>
      </c>
      <c r="H211" s="186">
        <f t="shared" si="43"/>
        <v>0</v>
      </c>
      <c r="I211" s="187">
        <f t="shared" si="44"/>
        <v>1</v>
      </c>
      <c r="J211" s="186">
        <f t="shared" si="45"/>
        <v>1</v>
      </c>
      <c r="K211" s="187"/>
      <c r="L211" s="189">
        <f t="shared" si="47"/>
        <v>207</v>
      </c>
      <c r="M211" s="189">
        <f t="shared" si="46"/>
        <v>517.5</v>
      </c>
    </row>
    <row r="212" spans="1:13" ht="12.75" customHeight="1" x14ac:dyDescent="0.25">
      <c r="A212" s="191">
        <f t="shared" si="36"/>
        <v>555</v>
      </c>
      <c r="B212" s="186">
        <f t="shared" si="37"/>
        <v>2</v>
      </c>
      <c r="C212" s="187">
        <f t="shared" si="38"/>
        <v>0</v>
      </c>
      <c r="D212" s="186">
        <f t="shared" si="39"/>
        <v>0</v>
      </c>
      <c r="E212" s="187">
        <f t="shared" si="40"/>
        <v>8</v>
      </c>
      <c r="F212" s="186">
        <f t="shared" si="41"/>
        <v>0</v>
      </c>
      <c r="G212" s="187">
        <f t="shared" si="42"/>
        <v>0</v>
      </c>
      <c r="H212" s="186">
        <f t="shared" si="43"/>
        <v>0</v>
      </c>
      <c r="I212" s="187">
        <f t="shared" si="44"/>
        <v>0</v>
      </c>
      <c r="J212" s="186">
        <f t="shared" si="45"/>
        <v>0</v>
      </c>
      <c r="K212" s="187"/>
      <c r="L212" s="189">
        <f t="shared" si="47"/>
        <v>208</v>
      </c>
      <c r="M212" s="189">
        <f t="shared" si="46"/>
        <v>520</v>
      </c>
    </row>
    <row r="213" spans="1:13" ht="12.75" customHeight="1" x14ac:dyDescent="0.25">
      <c r="A213" s="191">
        <f t="shared" si="36"/>
        <v>557.5</v>
      </c>
      <c r="B213" s="186">
        <f t="shared" si="37"/>
        <v>2</v>
      </c>
      <c r="C213" s="187">
        <f t="shared" si="38"/>
        <v>0</v>
      </c>
      <c r="D213" s="186">
        <f t="shared" si="39"/>
        <v>0</v>
      </c>
      <c r="E213" s="187">
        <f t="shared" si="40"/>
        <v>8</v>
      </c>
      <c r="F213" s="186">
        <f t="shared" si="41"/>
        <v>0</v>
      </c>
      <c r="G213" s="187">
        <f t="shared" si="42"/>
        <v>0</v>
      </c>
      <c r="H213" s="186">
        <f t="shared" si="43"/>
        <v>0</v>
      </c>
      <c r="I213" s="187">
        <f t="shared" si="44"/>
        <v>0</v>
      </c>
      <c r="J213" s="186">
        <f t="shared" si="45"/>
        <v>1</v>
      </c>
      <c r="K213" s="187"/>
      <c r="L213" s="189">
        <f t="shared" si="47"/>
        <v>209</v>
      </c>
      <c r="M213" s="189">
        <f t="shared" si="46"/>
        <v>522.5</v>
      </c>
    </row>
    <row r="214" spans="1:13" ht="12.75" customHeight="1" x14ac:dyDescent="0.25">
      <c r="A214" s="191">
        <f t="shared" si="36"/>
        <v>560</v>
      </c>
      <c r="B214" s="186">
        <f t="shared" si="37"/>
        <v>2</v>
      </c>
      <c r="C214" s="187">
        <f t="shared" si="38"/>
        <v>0</v>
      </c>
      <c r="D214" s="186">
        <f t="shared" si="39"/>
        <v>0</v>
      </c>
      <c r="E214" s="187">
        <f t="shared" si="40"/>
        <v>8</v>
      </c>
      <c r="F214" s="186">
        <f t="shared" si="41"/>
        <v>0</v>
      </c>
      <c r="G214" s="187">
        <f t="shared" si="42"/>
        <v>0</v>
      </c>
      <c r="H214" s="186">
        <f t="shared" si="43"/>
        <v>0</v>
      </c>
      <c r="I214" s="187">
        <f t="shared" si="44"/>
        <v>1</v>
      </c>
      <c r="J214" s="186">
        <f t="shared" si="45"/>
        <v>0</v>
      </c>
      <c r="K214" s="187"/>
      <c r="L214" s="189">
        <f t="shared" si="47"/>
        <v>210</v>
      </c>
      <c r="M214" s="189">
        <f t="shared" si="46"/>
        <v>525</v>
      </c>
    </row>
    <row r="215" spans="1:13" ht="12.75" customHeight="1" x14ac:dyDescent="0.25">
      <c r="A215" s="191">
        <f t="shared" si="36"/>
        <v>562.5</v>
      </c>
      <c r="B215" s="186">
        <f t="shared" si="37"/>
        <v>2</v>
      </c>
      <c r="C215" s="187">
        <f t="shared" si="38"/>
        <v>0</v>
      </c>
      <c r="D215" s="186">
        <f t="shared" si="39"/>
        <v>0</v>
      </c>
      <c r="E215" s="187">
        <f t="shared" si="40"/>
        <v>8</v>
      </c>
      <c r="F215" s="186">
        <f t="shared" si="41"/>
        <v>0</v>
      </c>
      <c r="G215" s="187">
        <f t="shared" si="42"/>
        <v>0</v>
      </c>
      <c r="H215" s="186">
        <f t="shared" si="43"/>
        <v>0</v>
      </c>
      <c r="I215" s="187">
        <f t="shared" si="44"/>
        <v>1</v>
      </c>
      <c r="J215" s="186">
        <f t="shared" si="45"/>
        <v>1</v>
      </c>
      <c r="K215" s="187"/>
      <c r="L215" s="189">
        <f t="shared" si="47"/>
        <v>211</v>
      </c>
      <c r="M215" s="189">
        <f t="shared" si="46"/>
        <v>527.5</v>
      </c>
    </row>
    <row r="216" spans="1:13" ht="12.75" customHeight="1" x14ac:dyDescent="0.25">
      <c r="A216" s="191">
        <f t="shared" si="36"/>
        <v>565</v>
      </c>
      <c r="B216" s="186">
        <f t="shared" si="37"/>
        <v>2</v>
      </c>
      <c r="C216" s="187">
        <f t="shared" si="38"/>
        <v>0</v>
      </c>
      <c r="D216" s="186">
        <f t="shared" si="39"/>
        <v>0</v>
      </c>
      <c r="E216" s="187">
        <f t="shared" si="40"/>
        <v>8</v>
      </c>
      <c r="F216" s="186">
        <f t="shared" si="41"/>
        <v>0</v>
      </c>
      <c r="G216" s="187">
        <f t="shared" si="42"/>
        <v>0</v>
      </c>
      <c r="H216" s="186">
        <f t="shared" si="43"/>
        <v>1</v>
      </c>
      <c r="I216" s="187">
        <f t="shared" si="44"/>
        <v>0</v>
      </c>
      <c r="J216" s="186">
        <f t="shared" si="45"/>
        <v>0</v>
      </c>
      <c r="K216" s="187"/>
      <c r="L216" s="189">
        <f t="shared" si="47"/>
        <v>212</v>
      </c>
      <c r="M216" s="189">
        <f t="shared" si="46"/>
        <v>530</v>
      </c>
    </row>
    <row r="217" spans="1:13" ht="12.75" customHeight="1" x14ac:dyDescent="0.25">
      <c r="A217" s="191">
        <f t="shared" si="36"/>
        <v>567.5</v>
      </c>
      <c r="B217" s="186">
        <f t="shared" si="37"/>
        <v>2</v>
      </c>
      <c r="C217" s="187">
        <f t="shared" si="38"/>
        <v>0</v>
      </c>
      <c r="D217" s="186">
        <f t="shared" si="39"/>
        <v>0</v>
      </c>
      <c r="E217" s="187">
        <f t="shared" si="40"/>
        <v>8</v>
      </c>
      <c r="F217" s="186">
        <f t="shared" si="41"/>
        <v>0</v>
      </c>
      <c r="G217" s="187">
        <f t="shared" si="42"/>
        <v>0</v>
      </c>
      <c r="H217" s="186">
        <f t="shared" si="43"/>
        <v>1</v>
      </c>
      <c r="I217" s="187">
        <f t="shared" si="44"/>
        <v>0</v>
      </c>
      <c r="J217" s="186">
        <f t="shared" si="45"/>
        <v>1</v>
      </c>
      <c r="K217" s="187"/>
      <c r="L217" s="189">
        <f t="shared" si="47"/>
        <v>213</v>
      </c>
      <c r="M217" s="189">
        <f t="shared" si="46"/>
        <v>532.5</v>
      </c>
    </row>
    <row r="218" spans="1:13" ht="12.75" customHeight="1" x14ac:dyDescent="0.25">
      <c r="A218" s="191">
        <f t="shared" si="36"/>
        <v>570</v>
      </c>
      <c r="B218" s="186">
        <f t="shared" si="37"/>
        <v>2</v>
      </c>
      <c r="C218" s="187">
        <f t="shared" si="38"/>
        <v>0</v>
      </c>
      <c r="D218" s="186">
        <f t="shared" si="39"/>
        <v>0</v>
      </c>
      <c r="E218" s="187">
        <f t="shared" si="40"/>
        <v>8</v>
      </c>
      <c r="F218" s="186">
        <f t="shared" si="41"/>
        <v>0</v>
      </c>
      <c r="G218" s="187">
        <f t="shared" si="42"/>
        <v>0</v>
      </c>
      <c r="H218" s="186">
        <f t="shared" si="43"/>
        <v>1</v>
      </c>
      <c r="I218" s="187">
        <f t="shared" si="44"/>
        <v>1</v>
      </c>
      <c r="J218" s="186">
        <f t="shared" si="45"/>
        <v>0</v>
      </c>
      <c r="K218" s="187"/>
      <c r="L218" s="189">
        <f t="shared" si="47"/>
        <v>214</v>
      </c>
      <c r="M218" s="189">
        <f t="shared" si="46"/>
        <v>535</v>
      </c>
    </row>
    <row r="219" spans="1:13" ht="12.75" customHeight="1" x14ac:dyDescent="0.25">
      <c r="A219" s="191">
        <f t="shared" si="36"/>
        <v>572.5</v>
      </c>
      <c r="B219" s="186">
        <f t="shared" si="37"/>
        <v>2</v>
      </c>
      <c r="C219" s="187">
        <f t="shared" si="38"/>
        <v>0</v>
      </c>
      <c r="D219" s="186">
        <f t="shared" si="39"/>
        <v>0</v>
      </c>
      <c r="E219" s="187">
        <f t="shared" si="40"/>
        <v>8</v>
      </c>
      <c r="F219" s="186">
        <f t="shared" si="41"/>
        <v>0</v>
      </c>
      <c r="G219" s="187">
        <f t="shared" si="42"/>
        <v>0</v>
      </c>
      <c r="H219" s="186">
        <f t="shared" si="43"/>
        <v>1</v>
      </c>
      <c r="I219" s="187">
        <f t="shared" si="44"/>
        <v>1</v>
      </c>
      <c r="J219" s="186">
        <f t="shared" si="45"/>
        <v>1</v>
      </c>
      <c r="K219" s="187"/>
      <c r="L219" s="189">
        <f t="shared" si="47"/>
        <v>215</v>
      </c>
      <c r="M219" s="189">
        <f t="shared" si="46"/>
        <v>537.5</v>
      </c>
    </row>
    <row r="220" spans="1:13" ht="12.75" customHeight="1" x14ac:dyDescent="0.25">
      <c r="A220" s="191">
        <f t="shared" si="36"/>
        <v>575</v>
      </c>
      <c r="B220" s="186">
        <f t="shared" si="37"/>
        <v>2</v>
      </c>
      <c r="C220" s="187">
        <f t="shared" si="38"/>
        <v>0</v>
      </c>
      <c r="D220" s="186">
        <f t="shared" si="39"/>
        <v>0</v>
      </c>
      <c r="E220" s="187">
        <f t="shared" si="40"/>
        <v>8</v>
      </c>
      <c r="F220" s="186">
        <f t="shared" si="41"/>
        <v>0</v>
      </c>
      <c r="G220" s="187">
        <f t="shared" si="42"/>
        <v>1</v>
      </c>
      <c r="H220" s="186">
        <f t="shared" si="43"/>
        <v>0</v>
      </c>
      <c r="I220" s="187">
        <f t="shared" si="44"/>
        <v>0</v>
      </c>
      <c r="J220" s="186">
        <f t="shared" si="45"/>
        <v>0</v>
      </c>
      <c r="K220" s="187"/>
      <c r="L220" s="189">
        <f t="shared" si="47"/>
        <v>216</v>
      </c>
      <c r="M220" s="189">
        <f t="shared" si="46"/>
        <v>540</v>
      </c>
    </row>
    <row r="221" spans="1:13" ht="12.75" customHeight="1" x14ac:dyDescent="0.25">
      <c r="A221" s="191">
        <f t="shared" si="36"/>
        <v>577.5</v>
      </c>
      <c r="B221" s="186">
        <f t="shared" si="37"/>
        <v>2</v>
      </c>
      <c r="C221" s="187">
        <f t="shared" si="38"/>
        <v>0</v>
      </c>
      <c r="D221" s="186">
        <f t="shared" si="39"/>
        <v>0</v>
      </c>
      <c r="E221" s="187">
        <f t="shared" si="40"/>
        <v>8</v>
      </c>
      <c r="F221" s="186">
        <f t="shared" si="41"/>
        <v>0</v>
      </c>
      <c r="G221" s="187">
        <f t="shared" si="42"/>
        <v>1</v>
      </c>
      <c r="H221" s="186">
        <f t="shared" si="43"/>
        <v>0</v>
      </c>
      <c r="I221" s="187">
        <f t="shared" si="44"/>
        <v>0</v>
      </c>
      <c r="J221" s="186">
        <f t="shared" si="45"/>
        <v>1</v>
      </c>
      <c r="K221" s="187"/>
      <c r="L221" s="189">
        <f t="shared" si="47"/>
        <v>217</v>
      </c>
      <c r="M221" s="189">
        <f t="shared" si="46"/>
        <v>542.5</v>
      </c>
    </row>
    <row r="222" spans="1:13" ht="12.75" customHeight="1" x14ac:dyDescent="0.25">
      <c r="A222" s="191">
        <f t="shared" si="36"/>
        <v>580</v>
      </c>
      <c r="B222" s="186">
        <f t="shared" si="37"/>
        <v>2</v>
      </c>
      <c r="C222" s="187">
        <f t="shared" si="38"/>
        <v>0</v>
      </c>
      <c r="D222" s="186">
        <f t="shared" si="39"/>
        <v>0</v>
      </c>
      <c r="E222" s="187">
        <f t="shared" si="40"/>
        <v>8</v>
      </c>
      <c r="F222" s="186">
        <f t="shared" si="41"/>
        <v>0</v>
      </c>
      <c r="G222" s="187">
        <f t="shared" si="42"/>
        <v>1</v>
      </c>
      <c r="H222" s="186">
        <f t="shared" si="43"/>
        <v>0</v>
      </c>
      <c r="I222" s="187">
        <f t="shared" si="44"/>
        <v>1</v>
      </c>
      <c r="J222" s="186">
        <f t="shared" si="45"/>
        <v>0</v>
      </c>
      <c r="K222" s="187"/>
      <c r="L222" s="189">
        <f t="shared" si="47"/>
        <v>218</v>
      </c>
      <c r="M222" s="189">
        <f t="shared" si="46"/>
        <v>545</v>
      </c>
    </row>
    <row r="223" spans="1:13" ht="12.75" customHeight="1" x14ac:dyDescent="0.25">
      <c r="A223" s="191">
        <f t="shared" si="36"/>
        <v>582.5</v>
      </c>
      <c r="B223" s="186">
        <f t="shared" si="37"/>
        <v>2</v>
      </c>
      <c r="C223" s="187">
        <f t="shared" si="38"/>
        <v>0</v>
      </c>
      <c r="D223" s="186">
        <f t="shared" si="39"/>
        <v>0</v>
      </c>
      <c r="E223" s="187">
        <f t="shared" si="40"/>
        <v>8</v>
      </c>
      <c r="F223" s="186">
        <f t="shared" si="41"/>
        <v>0</v>
      </c>
      <c r="G223" s="187">
        <f t="shared" si="42"/>
        <v>1</v>
      </c>
      <c r="H223" s="186">
        <f t="shared" si="43"/>
        <v>0</v>
      </c>
      <c r="I223" s="187">
        <f t="shared" si="44"/>
        <v>1</v>
      </c>
      <c r="J223" s="186">
        <f t="shared" si="45"/>
        <v>1</v>
      </c>
      <c r="K223" s="187"/>
      <c r="L223" s="189">
        <f t="shared" si="47"/>
        <v>219</v>
      </c>
      <c r="M223" s="189">
        <f t="shared" si="46"/>
        <v>547.5</v>
      </c>
    </row>
    <row r="224" spans="1:13" ht="12.75" customHeight="1" x14ac:dyDescent="0.25">
      <c r="A224" s="191">
        <f t="shared" si="36"/>
        <v>585</v>
      </c>
      <c r="B224" s="186">
        <f t="shared" si="37"/>
        <v>2</v>
      </c>
      <c r="C224" s="187">
        <f t="shared" si="38"/>
        <v>0</v>
      </c>
      <c r="D224" s="186">
        <f t="shared" si="39"/>
        <v>0</v>
      </c>
      <c r="E224" s="187">
        <f t="shared" si="40"/>
        <v>8</v>
      </c>
      <c r="F224" s="186">
        <f t="shared" si="41"/>
        <v>1</v>
      </c>
      <c r="G224" s="187">
        <f t="shared" si="42"/>
        <v>0</v>
      </c>
      <c r="H224" s="186">
        <f t="shared" si="43"/>
        <v>0</v>
      </c>
      <c r="I224" s="187">
        <f t="shared" si="44"/>
        <v>0</v>
      </c>
      <c r="J224" s="186">
        <f t="shared" si="45"/>
        <v>0</v>
      </c>
      <c r="K224" s="187"/>
      <c r="L224" s="189">
        <f t="shared" si="47"/>
        <v>220</v>
      </c>
      <c r="M224" s="189">
        <f t="shared" si="46"/>
        <v>550</v>
      </c>
    </row>
    <row r="225" spans="1:13" ht="12.75" customHeight="1" x14ac:dyDescent="0.25">
      <c r="A225" s="191">
        <f t="shared" si="36"/>
        <v>587.5</v>
      </c>
      <c r="B225" s="186">
        <f t="shared" si="37"/>
        <v>2</v>
      </c>
      <c r="C225" s="187">
        <f t="shared" si="38"/>
        <v>0</v>
      </c>
      <c r="D225" s="186">
        <f t="shared" si="39"/>
        <v>0</v>
      </c>
      <c r="E225" s="187">
        <f t="shared" si="40"/>
        <v>8</v>
      </c>
      <c r="F225" s="186">
        <f t="shared" si="41"/>
        <v>1</v>
      </c>
      <c r="G225" s="187">
        <f t="shared" si="42"/>
        <v>0</v>
      </c>
      <c r="H225" s="186">
        <f t="shared" si="43"/>
        <v>0</v>
      </c>
      <c r="I225" s="187">
        <f t="shared" si="44"/>
        <v>0</v>
      </c>
      <c r="J225" s="186">
        <f t="shared" si="45"/>
        <v>1</v>
      </c>
      <c r="K225" s="187"/>
      <c r="L225" s="189">
        <f t="shared" si="47"/>
        <v>221</v>
      </c>
      <c r="M225" s="189">
        <f t="shared" si="46"/>
        <v>552.5</v>
      </c>
    </row>
    <row r="226" spans="1:13" ht="12.75" customHeight="1" x14ac:dyDescent="0.25">
      <c r="A226" s="191">
        <f t="shared" si="36"/>
        <v>590</v>
      </c>
      <c r="B226" s="186">
        <f t="shared" si="37"/>
        <v>2</v>
      </c>
      <c r="C226" s="187">
        <f t="shared" si="38"/>
        <v>0</v>
      </c>
      <c r="D226" s="186">
        <f t="shared" si="39"/>
        <v>0</v>
      </c>
      <c r="E226" s="187">
        <f t="shared" si="40"/>
        <v>8</v>
      </c>
      <c r="F226" s="186">
        <f t="shared" si="41"/>
        <v>1</v>
      </c>
      <c r="G226" s="187">
        <f t="shared" si="42"/>
        <v>0</v>
      </c>
      <c r="H226" s="186">
        <f t="shared" si="43"/>
        <v>0</v>
      </c>
      <c r="I226" s="187">
        <f t="shared" si="44"/>
        <v>1</v>
      </c>
      <c r="J226" s="186">
        <f t="shared" si="45"/>
        <v>0</v>
      </c>
      <c r="K226" s="187"/>
      <c r="L226" s="189">
        <f t="shared" si="47"/>
        <v>222</v>
      </c>
      <c r="M226" s="189">
        <f t="shared" si="46"/>
        <v>555</v>
      </c>
    </row>
    <row r="227" spans="1:13" ht="12.75" customHeight="1" x14ac:dyDescent="0.25">
      <c r="A227" s="191">
        <f t="shared" si="36"/>
        <v>592.5</v>
      </c>
      <c r="B227" s="186">
        <f t="shared" si="37"/>
        <v>2</v>
      </c>
      <c r="C227" s="187">
        <f t="shared" si="38"/>
        <v>0</v>
      </c>
      <c r="D227" s="186">
        <f t="shared" si="39"/>
        <v>0</v>
      </c>
      <c r="E227" s="187">
        <f t="shared" si="40"/>
        <v>8</v>
      </c>
      <c r="F227" s="186">
        <f t="shared" si="41"/>
        <v>1</v>
      </c>
      <c r="G227" s="187">
        <f t="shared" si="42"/>
        <v>0</v>
      </c>
      <c r="H227" s="186">
        <f t="shared" si="43"/>
        <v>0</v>
      </c>
      <c r="I227" s="187">
        <f t="shared" si="44"/>
        <v>1</v>
      </c>
      <c r="J227" s="186">
        <f t="shared" si="45"/>
        <v>1</v>
      </c>
      <c r="K227" s="187"/>
      <c r="L227" s="189">
        <f t="shared" si="47"/>
        <v>223</v>
      </c>
      <c r="M227" s="189">
        <f t="shared" si="46"/>
        <v>557.5</v>
      </c>
    </row>
    <row r="228" spans="1:13" ht="12.75" customHeight="1" x14ac:dyDescent="0.25">
      <c r="A228" s="191">
        <f t="shared" si="36"/>
        <v>595</v>
      </c>
      <c r="B228" s="186">
        <f t="shared" si="37"/>
        <v>2</v>
      </c>
      <c r="C228" s="187">
        <f t="shared" si="38"/>
        <v>0</v>
      </c>
      <c r="D228" s="186">
        <f t="shared" si="39"/>
        <v>0</v>
      </c>
      <c r="E228" s="187">
        <f t="shared" si="40"/>
        <v>8</v>
      </c>
      <c r="F228" s="186">
        <f t="shared" si="41"/>
        <v>1</v>
      </c>
      <c r="G228" s="187">
        <f t="shared" si="42"/>
        <v>0</v>
      </c>
      <c r="H228" s="186">
        <f t="shared" si="43"/>
        <v>1</v>
      </c>
      <c r="I228" s="187">
        <f t="shared" si="44"/>
        <v>0</v>
      </c>
      <c r="J228" s="186">
        <f t="shared" si="45"/>
        <v>0</v>
      </c>
      <c r="K228" s="187"/>
      <c r="L228" s="189">
        <f t="shared" si="47"/>
        <v>224</v>
      </c>
      <c r="M228" s="189">
        <f t="shared" si="46"/>
        <v>560</v>
      </c>
    </row>
    <row r="229" spans="1:13" ht="12.75" customHeight="1" x14ac:dyDescent="0.25">
      <c r="A229" s="191">
        <f t="shared" si="36"/>
        <v>597.5</v>
      </c>
      <c r="B229" s="186">
        <f t="shared" si="37"/>
        <v>2</v>
      </c>
      <c r="C229" s="187">
        <f t="shared" si="38"/>
        <v>0</v>
      </c>
      <c r="D229" s="186">
        <f t="shared" si="39"/>
        <v>0</v>
      </c>
      <c r="E229" s="187">
        <f t="shared" si="40"/>
        <v>8</v>
      </c>
      <c r="F229" s="186">
        <f t="shared" si="41"/>
        <v>1</v>
      </c>
      <c r="G229" s="187">
        <f t="shared" si="42"/>
        <v>0</v>
      </c>
      <c r="H229" s="186">
        <f t="shared" si="43"/>
        <v>1</v>
      </c>
      <c r="I229" s="187">
        <f t="shared" si="44"/>
        <v>0</v>
      </c>
      <c r="J229" s="186">
        <f t="shared" si="45"/>
        <v>1</v>
      </c>
      <c r="K229" s="187"/>
      <c r="L229" s="189">
        <f t="shared" si="47"/>
        <v>225</v>
      </c>
      <c r="M229" s="189">
        <f t="shared" si="46"/>
        <v>562.5</v>
      </c>
    </row>
    <row r="230" spans="1:13" ht="12.75" customHeight="1" x14ac:dyDescent="0.25">
      <c r="A230" s="191">
        <f t="shared" si="36"/>
        <v>600</v>
      </c>
      <c r="B230" s="186">
        <f t="shared" si="37"/>
        <v>2</v>
      </c>
      <c r="C230" s="187">
        <f t="shared" si="38"/>
        <v>0</v>
      </c>
      <c r="D230" s="186">
        <f t="shared" si="39"/>
        <v>0</v>
      </c>
      <c r="E230" s="187">
        <f t="shared" si="40"/>
        <v>8</v>
      </c>
      <c r="F230" s="186">
        <f t="shared" si="41"/>
        <v>1</v>
      </c>
      <c r="G230" s="187">
        <f t="shared" si="42"/>
        <v>0</v>
      </c>
      <c r="H230" s="186">
        <f t="shared" si="43"/>
        <v>1</v>
      </c>
      <c r="I230" s="187">
        <f t="shared" si="44"/>
        <v>1</v>
      </c>
      <c r="J230" s="186">
        <f t="shared" si="45"/>
        <v>0</v>
      </c>
      <c r="K230" s="187"/>
      <c r="L230" s="189">
        <f t="shared" si="47"/>
        <v>226</v>
      </c>
      <c r="M230" s="189">
        <f t="shared" si="46"/>
        <v>565</v>
      </c>
    </row>
    <row r="231" spans="1:13" ht="12.75" customHeight="1" x14ac:dyDescent="0.25">
      <c r="A231" s="191">
        <f t="shared" si="36"/>
        <v>602.5</v>
      </c>
      <c r="B231" s="186">
        <f t="shared" si="37"/>
        <v>2</v>
      </c>
      <c r="C231" s="187">
        <f t="shared" si="38"/>
        <v>0</v>
      </c>
      <c r="D231" s="186">
        <f t="shared" si="39"/>
        <v>0</v>
      </c>
      <c r="E231" s="187">
        <f t="shared" si="40"/>
        <v>8</v>
      </c>
      <c r="F231" s="186">
        <f t="shared" si="41"/>
        <v>1</v>
      </c>
      <c r="G231" s="187">
        <f t="shared" si="42"/>
        <v>0</v>
      </c>
      <c r="H231" s="186">
        <f t="shared" si="43"/>
        <v>1</v>
      </c>
      <c r="I231" s="187">
        <f t="shared" si="44"/>
        <v>1</v>
      </c>
      <c r="J231" s="186">
        <f t="shared" si="45"/>
        <v>1</v>
      </c>
      <c r="K231" s="187"/>
      <c r="L231" s="189">
        <f t="shared" si="47"/>
        <v>227</v>
      </c>
      <c r="M231" s="189">
        <f t="shared" si="46"/>
        <v>567.5</v>
      </c>
    </row>
    <row r="232" spans="1:13" ht="12.75" customHeight="1" x14ac:dyDescent="0.25">
      <c r="A232" s="191">
        <f t="shared" si="36"/>
        <v>605</v>
      </c>
      <c r="B232" s="186">
        <f t="shared" si="37"/>
        <v>2</v>
      </c>
      <c r="C232" s="187">
        <f t="shared" si="38"/>
        <v>0</v>
      </c>
      <c r="D232" s="186">
        <f t="shared" si="39"/>
        <v>0</v>
      </c>
      <c r="E232" s="187">
        <f t="shared" si="40"/>
        <v>8</v>
      </c>
      <c r="F232" s="186">
        <f t="shared" si="41"/>
        <v>1</v>
      </c>
      <c r="G232" s="187">
        <f t="shared" si="42"/>
        <v>1</v>
      </c>
      <c r="H232" s="186">
        <f t="shared" si="43"/>
        <v>0</v>
      </c>
      <c r="I232" s="187">
        <f t="shared" si="44"/>
        <v>0</v>
      </c>
      <c r="J232" s="186">
        <f t="shared" si="45"/>
        <v>0</v>
      </c>
      <c r="K232" s="187"/>
      <c r="L232" s="189">
        <f t="shared" si="47"/>
        <v>228</v>
      </c>
      <c r="M232" s="189">
        <f t="shared" si="46"/>
        <v>570</v>
      </c>
    </row>
    <row r="233" spans="1:13" ht="12.75" customHeight="1" x14ac:dyDescent="0.25">
      <c r="A233" s="191">
        <f t="shared" si="36"/>
        <v>607.5</v>
      </c>
      <c r="B233" s="186">
        <f t="shared" si="37"/>
        <v>2</v>
      </c>
      <c r="C233" s="187">
        <f t="shared" si="38"/>
        <v>0</v>
      </c>
      <c r="D233" s="186">
        <f t="shared" si="39"/>
        <v>0</v>
      </c>
      <c r="E233" s="187">
        <f t="shared" si="40"/>
        <v>8</v>
      </c>
      <c r="F233" s="186">
        <f t="shared" si="41"/>
        <v>1</v>
      </c>
      <c r="G233" s="187">
        <f t="shared" si="42"/>
        <v>1</v>
      </c>
      <c r="H233" s="186">
        <f t="shared" si="43"/>
        <v>0</v>
      </c>
      <c r="I233" s="187">
        <f t="shared" si="44"/>
        <v>0</v>
      </c>
      <c r="J233" s="186">
        <f t="shared" si="45"/>
        <v>1</v>
      </c>
      <c r="K233" s="187"/>
      <c r="L233" s="189">
        <f t="shared" si="47"/>
        <v>229</v>
      </c>
      <c r="M233" s="189">
        <f t="shared" si="46"/>
        <v>572.5</v>
      </c>
    </row>
    <row r="234" spans="1:13" ht="12.75" customHeight="1" x14ac:dyDescent="0.25">
      <c r="A234" s="191">
        <f t="shared" si="36"/>
        <v>610</v>
      </c>
      <c r="B234" s="186">
        <f t="shared" si="37"/>
        <v>2</v>
      </c>
      <c r="C234" s="187">
        <f t="shared" si="38"/>
        <v>0</v>
      </c>
      <c r="D234" s="186">
        <f t="shared" si="39"/>
        <v>0</v>
      </c>
      <c r="E234" s="187">
        <f t="shared" si="40"/>
        <v>8</v>
      </c>
      <c r="F234" s="186">
        <f t="shared" si="41"/>
        <v>1</v>
      </c>
      <c r="G234" s="187">
        <f t="shared" si="42"/>
        <v>1</v>
      </c>
      <c r="H234" s="186">
        <f t="shared" si="43"/>
        <v>0</v>
      </c>
      <c r="I234" s="187">
        <f t="shared" si="44"/>
        <v>1</v>
      </c>
      <c r="J234" s="186">
        <f t="shared" si="45"/>
        <v>0</v>
      </c>
      <c r="K234" s="187"/>
      <c r="L234" s="189">
        <f t="shared" si="47"/>
        <v>230</v>
      </c>
      <c r="M234" s="189">
        <f t="shared" si="46"/>
        <v>575</v>
      </c>
    </row>
    <row r="235" spans="1:13" ht="12.75" customHeight="1" x14ac:dyDescent="0.25">
      <c r="A235" s="191">
        <f t="shared" si="36"/>
        <v>612.5</v>
      </c>
      <c r="B235" s="186">
        <f t="shared" si="37"/>
        <v>2</v>
      </c>
      <c r="C235" s="187">
        <f t="shared" si="38"/>
        <v>0</v>
      </c>
      <c r="D235" s="186">
        <f t="shared" si="39"/>
        <v>0</v>
      </c>
      <c r="E235" s="187">
        <f t="shared" si="40"/>
        <v>8</v>
      </c>
      <c r="F235" s="186">
        <f t="shared" si="41"/>
        <v>1</v>
      </c>
      <c r="G235" s="187">
        <f t="shared" si="42"/>
        <v>1</v>
      </c>
      <c r="H235" s="186">
        <f t="shared" si="43"/>
        <v>0</v>
      </c>
      <c r="I235" s="187">
        <f t="shared" si="44"/>
        <v>1</v>
      </c>
      <c r="J235" s="186">
        <f t="shared" si="45"/>
        <v>1</v>
      </c>
      <c r="K235" s="187"/>
      <c r="L235" s="189">
        <f t="shared" si="47"/>
        <v>231</v>
      </c>
      <c r="M235" s="189">
        <f t="shared" si="46"/>
        <v>577.5</v>
      </c>
    </row>
    <row r="236" spans="1:13" ht="12.75" customHeight="1" x14ac:dyDescent="0.25">
      <c r="A236" s="191">
        <f t="shared" si="36"/>
        <v>615</v>
      </c>
      <c r="B236" s="186">
        <f t="shared" si="37"/>
        <v>2</v>
      </c>
      <c r="C236" s="187">
        <f t="shared" si="38"/>
        <v>0</v>
      </c>
      <c r="D236" s="186">
        <f t="shared" si="39"/>
        <v>0</v>
      </c>
      <c r="E236" s="187">
        <f t="shared" si="40"/>
        <v>8</v>
      </c>
      <c r="F236" s="186">
        <f t="shared" si="41"/>
        <v>1</v>
      </c>
      <c r="G236" s="187">
        <f t="shared" si="42"/>
        <v>1</v>
      </c>
      <c r="H236" s="186">
        <f t="shared" si="43"/>
        <v>1</v>
      </c>
      <c r="I236" s="187">
        <f t="shared" si="44"/>
        <v>0</v>
      </c>
      <c r="J236" s="186">
        <f t="shared" si="45"/>
        <v>0</v>
      </c>
      <c r="K236" s="187"/>
      <c r="L236" s="189">
        <f t="shared" si="47"/>
        <v>232</v>
      </c>
      <c r="M236" s="189">
        <f t="shared" si="46"/>
        <v>580</v>
      </c>
    </row>
    <row r="237" spans="1:13" ht="12.75" customHeight="1" x14ac:dyDescent="0.25">
      <c r="A237" s="191">
        <f t="shared" si="36"/>
        <v>617.5</v>
      </c>
      <c r="B237" s="186">
        <f t="shared" si="37"/>
        <v>2</v>
      </c>
      <c r="C237" s="187">
        <f t="shared" si="38"/>
        <v>0</v>
      </c>
      <c r="D237" s="186">
        <f t="shared" si="39"/>
        <v>0</v>
      </c>
      <c r="E237" s="187">
        <f t="shared" si="40"/>
        <v>8</v>
      </c>
      <c r="F237" s="186">
        <f t="shared" si="41"/>
        <v>1</v>
      </c>
      <c r="G237" s="187">
        <f t="shared" si="42"/>
        <v>1</v>
      </c>
      <c r="H237" s="186">
        <f t="shared" si="43"/>
        <v>1</v>
      </c>
      <c r="I237" s="187">
        <f t="shared" si="44"/>
        <v>0</v>
      </c>
      <c r="J237" s="186">
        <f t="shared" si="45"/>
        <v>1</v>
      </c>
      <c r="K237" s="187"/>
      <c r="L237" s="189">
        <f t="shared" si="47"/>
        <v>233</v>
      </c>
      <c r="M237" s="189">
        <f t="shared" si="46"/>
        <v>582.5</v>
      </c>
    </row>
    <row r="238" spans="1:13" ht="12.75" customHeight="1" x14ac:dyDescent="0.25">
      <c r="A238" s="191">
        <f t="shared" si="36"/>
        <v>620</v>
      </c>
      <c r="B238" s="186">
        <f t="shared" si="37"/>
        <v>2</v>
      </c>
      <c r="C238" s="187">
        <f t="shared" si="38"/>
        <v>0</v>
      </c>
      <c r="D238" s="186">
        <f t="shared" si="39"/>
        <v>0</v>
      </c>
      <c r="E238" s="187">
        <f t="shared" si="40"/>
        <v>8</v>
      </c>
      <c r="F238" s="186">
        <f t="shared" si="41"/>
        <v>1</v>
      </c>
      <c r="G238" s="187">
        <f t="shared" si="42"/>
        <v>1</v>
      </c>
      <c r="H238" s="186">
        <f t="shared" si="43"/>
        <v>1</v>
      </c>
      <c r="I238" s="187">
        <f t="shared" si="44"/>
        <v>1</v>
      </c>
      <c r="J238" s="186">
        <f t="shared" si="45"/>
        <v>0</v>
      </c>
      <c r="K238" s="187"/>
      <c r="L238" s="189">
        <f t="shared" si="47"/>
        <v>234</v>
      </c>
      <c r="M238" s="189">
        <f t="shared" si="46"/>
        <v>585</v>
      </c>
    </row>
    <row r="239" spans="1:13" ht="12.75" customHeight="1" x14ac:dyDescent="0.25">
      <c r="A239" s="191">
        <f t="shared" si="36"/>
        <v>622.5</v>
      </c>
      <c r="B239" s="186">
        <f t="shared" si="37"/>
        <v>2</v>
      </c>
      <c r="C239" s="187">
        <f t="shared" si="38"/>
        <v>0</v>
      </c>
      <c r="D239" s="186">
        <f t="shared" si="39"/>
        <v>0</v>
      </c>
      <c r="E239" s="187">
        <f t="shared" si="40"/>
        <v>8</v>
      </c>
      <c r="F239" s="186">
        <f t="shared" si="41"/>
        <v>1</v>
      </c>
      <c r="G239" s="187">
        <f t="shared" si="42"/>
        <v>1</v>
      </c>
      <c r="H239" s="186">
        <f t="shared" si="43"/>
        <v>1</v>
      </c>
      <c r="I239" s="187">
        <f t="shared" si="44"/>
        <v>1</v>
      </c>
      <c r="J239" s="186">
        <f t="shared" si="45"/>
        <v>1</v>
      </c>
      <c r="K239" s="187"/>
      <c r="L239" s="189">
        <f t="shared" si="47"/>
        <v>235</v>
      </c>
      <c r="M239" s="189">
        <f t="shared" si="46"/>
        <v>587.5</v>
      </c>
    </row>
    <row r="240" spans="1:13" ht="12.75" customHeight="1" x14ac:dyDescent="0.25">
      <c r="A240" s="191">
        <f t="shared" si="36"/>
        <v>625</v>
      </c>
      <c r="B240" s="186">
        <f t="shared" si="37"/>
        <v>2</v>
      </c>
      <c r="C240" s="187">
        <f t="shared" si="38"/>
        <v>0</v>
      </c>
      <c r="D240" s="186">
        <f t="shared" si="39"/>
        <v>0</v>
      </c>
      <c r="E240" s="187">
        <f t="shared" si="40"/>
        <v>8</v>
      </c>
      <c r="F240" s="186">
        <f t="shared" si="41"/>
        <v>1</v>
      </c>
      <c r="G240" s="187">
        <f t="shared" si="42"/>
        <v>1</v>
      </c>
      <c r="H240" s="186">
        <f t="shared" si="43"/>
        <v>2</v>
      </c>
      <c r="I240" s="187">
        <f t="shared" si="44"/>
        <v>0</v>
      </c>
      <c r="J240" s="186">
        <f t="shared" si="45"/>
        <v>0</v>
      </c>
      <c r="K240" s="187"/>
      <c r="L240" s="189">
        <f t="shared" si="47"/>
        <v>236</v>
      </c>
      <c r="M240" s="189">
        <f t="shared" si="46"/>
        <v>590</v>
      </c>
    </row>
    <row r="241" spans="1:13" ht="12.75" customHeight="1" x14ac:dyDescent="0.25">
      <c r="A241" s="191">
        <f t="shared" si="36"/>
        <v>627.5</v>
      </c>
      <c r="B241" s="186">
        <f t="shared" si="37"/>
        <v>2</v>
      </c>
      <c r="C241" s="187">
        <f t="shared" si="38"/>
        <v>0</v>
      </c>
      <c r="D241" s="186">
        <f t="shared" si="39"/>
        <v>0</v>
      </c>
      <c r="E241" s="187">
        <f t="shared" si="40"/>
        <v>8</v>
      </c>
      <c r="F241" s="186">
        <f t="shared" si="41"/>
        <v>1</v>
      </c>
      <c r="G241" s="187">
        <f t="shared" si="42"/>
        <v>1</v>
      </c>
      <c r="H241" s="186">
        <f t="shared" si="43"/>
        <v>2</v>
      </c>
      <c r="I241" s="187">
        <f t="shared" si="44"/>
        <v>0</v>
      </c>
      <c r="J241" s="186">
        <f t="shared" si="45"/>
        <v>1</v>
      </c>
      <c r="K241" s="187"/>
      <c r="L241" s="189">
        <f t="shared" si="47"/>
        <v>237</v>
      </c>
      <c r="M241" s="189">
        <f t="shared" si="46"/>
        <v>592.5</v>
      </c>
    </row>
    <row r="242" spans="1:13" ht="12.75" customHeight="1" x14ac:dyDescent="0.25">
      <c r="A242" s="191">
        <f t="shared" si="36"/>
        <v>630</v>
      </c>
      <c r="B242" s="186">
        <f t="shared" si="37"/>
        <v>2</v>
      </c>
      <c r="C242" s="187">
        <f t="shared" si="38"/>
        <v>0</v>
      </c>
      <c r="D242" s="186">
        <f t="shared" si="39"/>
        <v>0</v>
      </c>
      <c r="E242" s="187">
        <f t="shared" si="40"/>
        <v>8</v>
      </c>
      <c r="F242" s="186">
        <f t="shared" si="41"/>
        <v>1</v>
      </c>
      <c r="G242" s="187">
        <f t="shared" si="42"/>
        <v>1</v>
      </c>
      <c r="H242" s="186">
        <f t="shared" si="43"/>
        <v>2</v>
      </c>
      <c r="I242" s="187">
        <f t="shared" si="44"/>
        <v>1</v>
      </c>
      <c r="J242" s="186">
        <f t="shared" si="45"/>
        <v>0</v>
      </c>
      <c r="K242" s="187"/>
      <c r="L242" s="189">
        <f t="shared" si="47"/>
        <v>238</v>
      </c>
      <c r="M242" s="189">
        <f t="shared" si="46"/>
        <v>595</v>
      </c>
    </row>
    <row r="243" spans="1:13" ht="12.75" customHeight="1" x14ac:dyDescent="0.25">
      <c r="A243" s="191">
        <f t="shared" si="36"/>
        <v>632.5</v>
      </c>
      <c r="B243" s="186">
        <f t="shared" si="37"/>
        <v>2</v>
      </c>
      <c r="C243" s="187">
        <f t="shared" si="38"/>
        <v>0</v>
      </c>
      <c r="D243" s="186">
        <f t="shared" si="39"/>
        <v>0</v>
      </c>
      <c r="E243" s="187">
        <f t="shared" si="40"/>
        <v>8</v>
      </c>
      <c r="F243" s="186">
        <f t="shared" si="41"/>
        <v>1</v>
      </c>
      <c r="G243" s="187">
        <f t="shared" si="42"/>
        <v>1</v>
      </c>
      <c r="H243" s="186">
        <f t="shared" si="43"/>
        <v>2</v>
      </c>
      <c r="I243" s="187">
        <f t="shared" si="44"/>
        <v>1</v>
      </c>
      <c r="J243" s="186">
        <f t="shared" si="45"/>
        <v>1</v>
      </c>
      <c r="K243" s="187"/>
      <c r="L243" s="189">
        <f t="shared" si="47"/>
        <v>239</v>
      </c>
      <c r="M243" s="189">
        <f t="shared" si="46"/>
        <v>597.5</v>
      </c>
    </row>
    <row r="244" spans="1:13" ht="12.75" customHeight="1" x14ac:dyDescent="0.25">
      <c r="A244" s="191">
        <f t="shared" si="36"/>
        <v>0</v>
      </c>
      <c r="B244" s="186">
        <f t="shared" si="37"/>
        <v>0</v>
      </c>
      <c r="C244" s="187">
        <f t="shared" si="38"/>
        <v>0</v>
      </c>
      <c r="D244" s="186">
        <f t="shared" si="39"/>
        <v>0</v>
      </c>
      <c r="E244" s="187">
        <f t="shared" si="40"/>
        <v>0</v>
      </c>
      <c r="F244" s="186">
        <f t="shared" si="41"/>
        <v>0</v>
      </c>
      <c r="G244" s="187">
        <f t="shared" si="42"/>
        <v>0</v>
      </c>
      <c r="H244" s="186">
        <f t="shared" si="43"/>
        <v>0</v>
      </c>
      <c r="I244" s="187">
        <f t="shared" si="44"/>
        <v>0</v>
      </c>
      <c r="J244" s="186">
        <f t="shared" si="45"/>
        <v>0</v>
      </c>
      <c r="K244" s="187"/>
      <c r="L244" s="189">
        <f t="shared" si="47"/>
        <v>240</v>
      </c>
      <c r="M244" s="189">
        <f t="shared" si="46"/>
        <v>600</v>
      </c>
    </row>
    <row r="245" spans="1:13" ht="12.75" customHeight="1" x14ac:dyDescent="0.25">
      <c r="A245" s="191">
        <f t="shared" si="36"/>
        <v>0</v>
      </c>
      <c r="B245" s="186">
        <f t="shared" si="37"/>
        <v>0</v>
      </c>
      <c r="C245" s="187">
        <f t="shared" si="38"/>
        <v>0</v>
      </c>
      <c r="D245" s="186">
        <f t="shared" si="39"/>
        <v>0</v>
      </c>
      <c r="E245" s="187">
        <f t="shared" si="40"/>
        <v>0</v>
      </c>
      <c r="F245" s="186">
        <f t="shared" si="41"/>
        <v>0</v>
      </c>
      <c r="G245" s="187">
        <f t="shared" si="42"/>
        <v>0</v>
      </c>
      <c r="H245" s="186">
        <f t="shared" si="43"/>
        <v>0</v>
      </c>
      <c r="I245" s="187">
        <f t="shared" si="44"/>
        <v>0</v>
      </c>
      <c r="J245" s="186">
        <f t="shared" si="45"/>
        <v>0</v>
      </c>
      <c r="K245" s="187"/>
      <c r="L245" s="189">
        <f t="shared" si="47"/>
        <v>241</v>
      </c>
      <c r="M245" s="189">
        <f t="shared" si="46"/>
        <v>602.5</v>
      </c>
    </row>
    <row r="246" spans="1:13" ht="12.75" customHeight="1" x14ac:dyDescent="0.25">
      <c r="A246" s="191">
        <f t="shared" si="36"/>
        <v>0</v>
      </c>
      <c r="B246" s="186">
        <f t="shared" si="37"/>
        <v>0</v>
      </c>
      <c r="C246" s="187">
        <f t="shared" si="38"/>
        <v>0</v>
      </c>
      <c r="D246" s="186">
        <f t="shared" si="39"/>
        <v>0</v>
      </c>
      <c r="E246" s="187">
        <f t="shared" si="40"/>
        <v>0</v>
      </c>
      <c r="F246" s="186">
        <f t="shared" si="41"/>
        <v>0</v>
      </c>
      <c r="G246" s="187">
        <f t="shared" si="42"/>
        <v>0</v>
      </c>
      <c r="H246" s="186">
        <f t="shared" si="43"/>
        <v>0</v>
      </c>
      <c r="I246" s="187">
        <f t="shared" si="44"/>
        <v>0</v>
      </c>
      <c r="J246" s="186">
        <f t="shared" si="45"/>
        <v>0</v>
      </c>
      <c r="K246" s="187"/>
      <c r="L246" s="189">
        <f t="shared" si="47"/>
        <v>242</v>
      </c>
      <c r="M246" s="189">
        <f t="shared" si="46"/>
        <v>605</v>
      </c>
    </row>
    <row r="247" spans="1:13" ht="12.75" customHeight="1" x14ac:dyDescent="0.25">
      <c r="A247" s="191">
        <f t="shared" si="36"/>
        <v>0</v>
      </c>
      <c r="B247" s="186">
        <f t="shared" si="37"/>
        <v>0</v>
      </c>
      <c r="C247" s="187">
        <f t="shared" si="38"/>
        <v>0</v>
      </c>
      <c r="D247" s="186">
        <f t="shared" si="39"/>
        <v>0</v>
      </c>
      <c r="E247" s="187">
        <f t="shared" si="40"/>
        <v>0</v>
      </c>
      <c r="F247" s="186">
        <f t="shared" si="41"/>
        <v>0</v>
      </c>
      <c r="G247" s="187">
        <f t="shared" si="42"/>
        <v>0</v>
      </c>
      <c r="H247" s="186">
        <f t="shared" si="43"/>
        <v>0</v>
      </c>
      <c r="I247" s="187">
        <f t="shared" si="44"/>
        <v>0</v>
      </c>
      <c r="J247" s="186">
        <f t="shared" si="45"/>
        <v>0</v>
      </c>
      <c r="K247" s="187"/>
      <c r="L247" s="189">
        <f t="shared" si="47"/>
        <v>243</v>
      </c>
      <c r="M247" s="189">
        <f t="shared" si="46"/>
        <v>607.5</v>
      </c>
    </row>
    <row r="248" spans="1:13" ht="12.75" customHeight="1" x14ac:dyDescent="0.25">
      <c r="A248" s="191">
        <f t="shared" si="36"/>
        <v>0</v>
      </c>
      <c r="B248" s="186">
        <f t="shared" si="37"/>
        <v>0</v>
      </c>
      <c r="C248" s="187">
        <f t="shared" si="38"/>
        <v>0</v>
      </c>
      <c r="D248" s="186">
        <f t="shared" si="39"/>
        <v>0</v>
      </c>
      <c r="E248" s="187">
        <f t="shared" si="40"/>
        <v>0</v>
      </c>
      <c r="F248" s="186">
        <f t="shared" si="41"/>
        <v>0</v>
      </c>
      <c r="G248" s="187">
        <f t="shared" si="42"/>
        <v>0</v>
      </c>
      <c r="H248" s="186">
        <f t="shared" si="43"/>
        <v>0</v>
      </c>
      <c r="I248" s="187">
        <f t="shared" si="44"/>
        <v>0</v>
      </c>
      <c r="J248" s="186">
        <f t="shared" si="45"/>
        <v>0</v>
      </c>
      <c r="K248" s="187"/>
      <c r="L248" s="189">
        <f t="shared" si="47"/>
        <v>244</v>
      </c>
      <c r="M248" s="189">
        <f t="shared" si="46"/>
        <v>610</v>
      </c>
    </row>
    <row r="249" spans="1:13" ht="12.75" customHeight="1" x14ac:dyDescent="0.25">
      <c r="A249" s="191">
        <f t="shared" si="36"/>
        <v>0</v>
      </c>
      <c r="B249" s="186">
        <f t="shared" si="37"/>
        <v>0</v>
      </c>
      <c r="C249" s="187">
        <f t="shared" si="38"/>
        <v>0</v>
      </c>
      <c r="D249" s="186">
        <f t="shared" si="39"/>
        <v>0</v>
      </c>
      <c r="E249" s="187">
        <f t="shared" si="40"/>
        <v>0</v>
      </c>
      <c r="F249" s="186">
        <f t="shared" si="41"/>
        <v>0</v>
      </c>
      <c r="G249" s="187">
        <f t="shared" si="42"/>
        <v>0</v>
      </c>
      <c r="H249" s="186">
        <f t="shared" si="43"/>
        <v>0</v>
      </c>
      <c r="I249" s="187">
        <f t="shared" si="44"/>
        <v>0</v>
      </c>
      <c r="J249" s="186">
        <f t="shared" si="45"/>
        <v>0</v>
      </c>
      <c r="K249" s="187"/>
      <c r="L249" s="189">
        <f t="shared" si="47"/>
        <v>245</v>
      </c>
      <c r="M249" s="189">
        <f t="shared" si="46"/>
        <v>612.5</v>
      </c>
    </row>
    <row r="250" spans="1:13" ht="12.75" customHeight="1" x14ac:dyDescent="0.25">
      <c r="A250" s="191">
        <f t="shared" si="36"/>
        <v>0</v>
      </c>
      <c r="B250" s="186">
        <f t="shared" si="37"/>
        <v>0</v>
      </c>
      <c r="C250" s="187">
        <f t="shared" si="38"/>
        <v>0</v>
      </c>
      <c r="D250" s="186">
        <f t="shared" si="39"/>
        <v>0</v>
      </c>
      <c r="E250" s="187">
        <f t="shared" si="40"/>
        <v>0</v>
      </c>
      <c r="F250" s="186">
        <f t="shared" si="41"/>
        <v>0</v>
      </c>
      <c r="G250" s="187">
        <f t="shared" si="42"/>
        <v>0</v>
      </c>
      <c r="H250" s="186">
        <f t="shared" si="43"/>
        <v>0</v>
      </c>
      <c r="I250" s="187">
        <f t="shared" si="44"/>
        <v>0</v>
      </c>
      <c r="J250" s="186">
        <f t="shared" si="45"/>
        <v>0</v>
      </c>
      <c r="K250" s="187"/>
      <c r="L250" s="189">
        <f t="shared" si="47"/>
        <v>246</v>
      </c>
      <c r="M250" s="189">
        <f t="shared" si="46"/>
        <v>615</v>
      </c>
    </row>
    <row r="251" spans="1:13" ht="12.75" customHeight="1" x14ac:dyDescent="0.25">
      <c r="A251" s="191">
        <f t="shared" si="36"/>
        <v>0</v>
      </c>
      <c r="B251" s="186">
        <f t="shared" si="37"/>
        <v>0</v>
      </c>
      <c r="C251" s="187">
        <f t="shared" si="38"/>
        <v>0</v>
      </c>
      <c r="D251" s="186">
        <f t="shared" si="39"/>
        <v>0</v>
      </c>
      <c r="E251" s="187">
        <f t="shared" si="40"/>
        <v>0</v>
      </c>
      <c r="F251" s="186">
        <f t="shared" si="41"/>
        <v>0</v>
      </c>
      <c r="G251" s="187">
        <f t="shared" si="42"/>
        <v>0</v>
      </c>
      <c r="H251" s="186">
        <f t="shared" si="43"/>
        <v>0</v>
      </c>
      <c r="I251" s="187">
        <f t="shared" si="44"/>
        <v>0</v>
      </c>
      <c r="J251" s="186">
        <f t="shared" si="45"/>
        <v>0</v>
      </c>
      <c r="K251" s="187"/>
      <c r="L251" s="189">
        <f t="shared" si="47"/>
        <v>247</v>
      </c>
      <c r="M251" s="189">
        <f t="shared" si="46"/>
        <v>617.5</v>
      </c>
    </row>
    <row r="252" spans="1:13" ht="12.75" customHeight="1" x14ac:dyDescent="0.25">
      <c r="A252" s="191">
        <f t="shared" si="36"/>
        <v>0</v>
      </c>
      <c r="B252" s="186">
        <f t="shared" si="37"/>
        <v>0</v>
      </c>
      <c r="C252" s="187">
        <f t="shared" si="38"/>
        <v>0</v>
      </c>
      <c r="D252" s="186">
        <f t="shared" si="39"/>
        <v>0</v>
      </c>
      <c r="E252" s="187">
        <f t="shared" si="40"/>
        <v>0</v>
      </c>
      <c r="F252" s="186">
        <f t="shared" si="41"/>
        <v>0</v>
      </c>
      <c r="G252" s="187">
        <f t="shared" si="42"/>
        <v>0</v>
      </c>
      <c r="H252" s="186">
        <f t="shared" si="43"/>
        <v>0</v>
      </c>
      <c r="I252" s="187">
        <f t="shared" si="44"/>
        <v>0</v>
      </c>
      <c r="J252" s="186">
        <f t="shared" si="45"/>
        <v>0</v>
      </c>
      <c r="K252" s="187"/>
      <c r="L252" s="189">
        <f t="shared" si="47"/>
        <v>248</v>
      </c>
      <c r="M252" s="189">
        <f t="shared" si="46"/>
        <v>620</v>
      </c>
    </row>
    <row r="253" spans="1:13" ht="12.75" customHeight="1" x14ac:dyDescent="0.25">
      <c r="A253" s="191">
        <f t="shared" si="36"/>
        <v>0</v>
      </c>
      <c r="B253" s="186">
        <f t="shared" si="37"/>
        <v>0</v>
      </c>
      <c r="C253" s="187">
        <f t="shared" si="38"/>
        <v>0</v>
      </c>
      <c r="D253" s="186">
        <f t="shared" si="39"/>
        <v>0</v>
      </c>
      <c r="E253" s="187">
        <f t="shared" si="40"/>
        <v>0</v>
      </c>
      <c r="F253" s="186">
        <f t="shared" si="41"/>
        <v>0</v>
      </c>
      <c r="G253" s="187">
        <f t="shared" si="42"/>
        <v>0</v>
      </c>
      <c r="H253" s="186">
        <f t="shared" si="43"/>
        <v>0</v>
      </c>
      <c r="I253" s="187">
        <f t="shared" si="44"/>
        <v>0</v>
      </c>
      <c r="J253" s="186">
        <f t="shared" si="45"/>
        <v>0</v>
      </c>
      <c r="K253" s="187"/>
      <c r="L253" s="189">
        <f t="shared" si="47"/>
        <v>249</v>
      </c>
      <c r="M253" s="189">
        <f t="shared" si="46"/>
        <v>622.5</v>
      </c>
    </row>
    <row r="254" spans="1:13" ht="12.75" customHeight="1" x14ac:dyDescent="0.25">
      <c r="A254" s="191">
        <f t="shared" si="36"/>
        <v>0</v>
      </c>
      <c r="B254" s="186">
        <f t="shared" si="37"/>
        <v>0</v>
      </c>
      <c r="C254" s="187">
        <f t="shared" si="38"/>
        <v>0</v>
      </c>
      <c r="D254" s="186">
        <f t="shared" si="39"/>
        <v>0</v>
      </c>
      <c r="E254" s="187">
        <f t="shared" si="40"/>
        <v>0</v>
      </c>
      <c r="F254" s="186">
        <f t="shared" si="41"/>
        <v>0</v>
      </c>
      <c r="G254" s="187">
        <f t="shared" si="42"/>
        <v>0</v>
      </c>
      <c r="H254" s="186">
        <f t="shared" si="43"/>
        <v>0</v>
      </c>
      <c r="I254" s="187">
        <f t="shared" si="44"/>
        <v>0</v>
      </c>
      <c r="J254" s="186">
        <f t="shared" si="45"/>
        <v>0</v>
      </c>
      <c r="K254" s="187"/>
      <c r="L254" s="189">
        <f t="shared" si="47"/>
        <v>250</v>
      </c>
      <c r="M254" s="189">
        <f t="shared" si="46"/>
        <v>625</v>
      </c>
    </row>
    <row r="255" spans="1:13" ht="12.75" customHeight="1" x14ac:dyDescent="0.25">
      <c r="A255" s="191">
        <f t="shared" si="36"/>
        <v>0</v>
      </c>
      <c r="B255" s="186">
        <f t="shared" si="37"/>
        <v>0</v>
      </c>
      <c r="C255" s="187">
        <f t="shared" si="38"/>
        <v>0</v>
      </c>
      <c r="D255" s="186">
        <f t="shared" si="39"/>
        <v>0</v>
      </c>
      <c r="E255" s="187">
        <f t="shared" si="40"/>
        <v>0</v>
      </c>
      <c r="F255" s="186">
        <f t="shared" si="41"/>
        <v>0</v>
      </c>
      <c r="G255" s="187">
        <f t="shared" si="42"/>
        <v>0</v>
      </c>
      <c r="H255" s="186">
        <f t="shared" si="43"/>
        <v>0</v>
      </c>
      <c r="I255" s="187">
        <f t="shared" si="44"/>
        <v>0</v>
      </c>
      <c r="J255" s="186">
        <f t="shared" si="45"/>
        <v>0</v>
      </c>
      <c r="K255" s="187"/>
      <c r="L255" s="189">
        <f t="shared" si="47"/>
        <v>251</v>
      </c>
      <c r="M255" s="189">
        <f t="shared" si="46"/>
        <v>627.5</v>
      </c>
    </row>
    <row r="256" spans="1:13" ht="12.75" customHeight="1" x14ac:dyDescent="0.25">
      <c r="A256" s="191">
        <f t="shared" si="36"/>
        <v>0</v>
      </c>
      <c r="B256" s="186">
        <f t="shared" si="37"/>
        <v>0</v>
      </c>
      <c r="C256" s="187">
        <f t="shared" si="38"/>
        <v>0</v>
      </c>
      <c r="D256" s="186">
        <f t="shared" si="39"/>
        <v>0</v>
      </c>
      <c r="E256" s="187">
        <f t="shared" si="40"/>
        <v>0</v>
      </c>
      <c r="F256" s="186">
        <f t="shared" si="41"/>
        <v>0</v>
      </c>
      <c r="G256" s="187">
        <f t="shared" si="42"/>
        <v>0</v>
      </c>
      <c r="H256" s="186">
        <f t="shared" si="43"/>
        <v>0</v>
      </c>
      <c r="I256" s="187">
        <f t="shared" si="44"/>
        <v>0</v>
      </c>
      <c r="J256" s="186">
        <f t="shared" si="45"/>
        <v>0</v>
      </c>
      <c r="K256" s="187"/>
      <c r="L256" s="189">
        <f t="shared" si="47"/>
        <v>252</v>
      </c>
      <c r="M256" s="189">
        <f t="shared" si="46"/>
        <v>630</v>
      </c>
    </row>
    <row r="257" spans="1:13" ht="12.75" customHeight="1" x14ac:dyDescent="0.25">
      <c r="A257" s="191">
        <f t="shared" si="36"/>
        <v>0</v>
      </c>
      <c r="B257" s="186">
        <f t="shared" si="37"/>
        <v>0</v>
      </c>
      <c r="C257" s="187">
        <f t="shared" si="38"/>
        <v>0</v>
      </c>
      <c r="D257" s="186">
        <f t="shared" si="39"/>
        <v>0</v>
      </c>
      <c r="E257" s="187">
        <f t="shared" si="40"/>
        <v>0</v>
      </c>
      <c r="F257" s="186">
        <f t="shared" si="41"/>
        <v>0</v>
      </c>
      <c r="G257" s="187">
        <f t="shared" si="42"/>
        <v>0</v>
      </c>
      <c r="H257" s="186">
        <f t="shared" si="43"/>
        <v>0</v>
      </c>
      <c r="I257" s="187">
        <f t="shared" si="44"/>
        <v>0</v>
      </c>
      <c r="J257" s="186">
        <f t="shared" si="45"/>
        <v>0</v>
      </c>
      <c r="K257" s="187"/>
      <c r="L257" s="189">
        <f t="shared" si="47"/>
        <v>253</v>
      </c>
      <c r="M257" s="189">
        <f t="shared" si="46"/>
        <v>632.5</v>
      </c>
    </row>
    <row r="258" spans="1:13" ht="12.75" customHeight="1" x14ac:dyDescent="0.25">
      <c r="A258" s="191">
        <f t="shared" si="36"/>
        <v>0</v>
      </c>
      <c r="B258" s="186">
        <f t="shared" si="37"/>
        <v>0</v>
      </c>
      <c r="C258" s="187">
        <f t="shared" si="38"/>
        <v>0</v>
      </c>
      <c r="D258" s="186">
        <f t="shared" si="39"/>
        <v>0</v>
      </c>
      <c r="E258" s="187">
        <f t="shared" si="40"/>
        <v>0</v>
      </c>
      <c r="F258" s="186">
        <f t="shared" si="41"/>
        <v>0</v>
      </c>
      <c r="G258" s="187">
        <f t="shared" si="42"/>
        <v>0</v>
      </c>
      <c r="H258" s="186">
        <f t="shared" si="43"/>
        <v>0</v>
      </c>
      <c r="I258" s="187">
        <f t="shared" si="44"/>
        <v>0</v>
      </c>
      <c r="J258" s="186">
        <f t="shared" si="45"/>
        <v>0</v>
      </c>
      <c r="K258" s="187"/>
      <c r="L258" s="189">
        <f t="shared" si="47"/>
        <v>254</v>
      </c>
      <c r="M258" s="189">
        <f t="shared" si="46"/>
        <v>635</v>
      </c>
    </row>
    <row r="259" spans="1:13" ht="12.75" customHeight="1" x14ac:dyDescent="0.25">
      <c r="A259" s="191">
        <f t="shared" si="36"/>
        <v>0</v>
      </c>
      <c r="B259" s="186">
        <f t="shared" si="37"/>
        <v>0</v>
      </c>
      <c r="C259" s="187">
        <f t="shared" si="38"/>
        <v>0</v>
      </c>
      <c r="D259" s="186">
        <f t="shared" si="39"/>
        <v>0</v>
      </c>
      <c r="E259" s="187">
        <f t="shared" si="40"/>
        <v>0</v>
      </c>
      <c r="F259" s="186">
        <f t="shared" si="41"/>
        <v>0</v>
      </c>
      <c r="G259" s="187">
        <f t="shared" si="42"/>
        <v>0</v>
      </c>
      <c r="H259" s="186">
        <f t="shared" si="43"/>
        <v>0</v>
      </c>
      <c r="I259" s="187">
        <f t="shared" si="44"/>
        <v>0</v>
      </c>
      <c r="J259" s="186">
        <f t="shared" si="45"/>
        <v>0</v>
      </c>
      <c r="K259" s="187"/>
      <c r="L259" s="189">
        <f t="shared" si="47"/>
        <v>255</v>
      </c>
      <c r="M259" s="189">
        <f t="shared" si="46"/>
        <v>637.5</v>
      </c>
    </row>
    <row r="260" spans="1:13" ht="12.75" customHeight="1" x14ac:dyDescent="0.25">
      <c r="A260" s="191">
        <f t="shared" si="36"/>
        <v>0</v>
      </c>
      <c r="B260" s="186">
        <f t="shared" si="37"/>
        <v>0</v>
      </c>
      <c r="C260" s="187">
        <f t="shared" si="38"/>
        <v>0</v>
      </c>
      <c r="D260" s="186">
        <f t="shared" si="39"/>
        <v>0</v>
      </c>
      <c r="E260" s="187">
        <f t="shared" si="40"/>
        <v>0</v>
      </c>
      <c r="F260" s="186">
        <f t="shared" si="41"/>
        <v>0</v>
      </c>
      <c r="G260" s="187">
        <f t="shared" si="42"/>
        <v>0</v>
      </c>
      <c r="H260" s="186">
        <f t="shared" si="43"/>
        <v>0</v>
      </c>
      <c r="I260" s="187">
        <f t="shared" si="44"/>
        <v>0</v>
      </c>
      <c r="J260" s="186">
        <f t="shared" si="45"/>
        <v>0</v>
      </c>
      <c r="K260" s="187"/>
      <c r="L260" s="189">
        <f t="shared" si="47"/>
        <v>256</v>
      </c>
      <c r="M260" s="189">
        <f t="shared" si="46"/>
        <v>640</v>
      </c>
    </row>
  </sheetData>
  <phoneticPr fontId="41" type="noConversion"/>
  <dataValidations count="5"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K2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Z603"/>
  <sheetViews>
    <sheetView zoomScaleNormal="100" workbookViewId="0">
      <pane ySplit="2" topLeftCell="A3" activePane="bottomLeft" state="frozen"/>
      <selection activeCell="B1" sqref="B1"/>
      <selection pane="bottomLeft" activeCell="B15" sqref="B15"/>
    </sheetView>
  </sheetViews>
  <sheetFormatPr defaultColWidth="9.109375" defaultRowHeight="13.2" x14ac:dyDescent="0.25"/>
  <cols>
    <col min="1" max="1" width="9" style="66" customWidth="1"/>
    <col min="2" max="2" width="7.33203125" style="66" customWidth="1"/>
    <col min="3" max="3" width="33.88671875" style="66" customWidth="1"/>
    <col min="4" max="4" width="9.33203125" style="66" customWidth="1"/>
    <col min="5" max="5" width="16.5546875" style="66" customWidth="1"/>
    <col min="6" max="6" width="7.33203125" style="66" customWidth="1"/>
    <col min="7" max="8" width="9.109375" style="66" hidden="1" customWidth="1"/>
    <col min="9" max="9" width="4.44140625" style="66" customWidth="1"/>
    <col min="10" max="10" width="4.44140625" style="207" customWidth="1"/>
    <col min="11" max="11" width="8" style="66" customWidth="1"/>
    <col min="12" max="15" width="9.109375" style="66" hidden="1" customWidth="1"/>
    <col min="16" max="16" width="4.44140625" style="207" customWidth="1"/>
    <col min="17" max="17" width="8" style="66" customWidth="1"/>
    <col min="18" max="22" width="8" style="66" hidden="1" customWidth="1"/>
    <col min="23" max="23" width="8" style="66" customWidth="1"/>
    <col min="24" max="33" width="9.109375" style="66" hidden="1" customWidth="1"/>
    <col min="34" max="34" width="33.109375" style="66" customWidth="1"/>
    <col min="35" max="35" width="14" style="66" customWidth="1"/>
    <col min="36" max="37" width="9.109375" style="15" hidden="1" customWidth="1"/>
    <col min="38" max="38" width="7.5546875" style="15" hidden="1" customWidth="1"/>
    <col min="39" max="39" width="21.109375" style="16" customWidth="1"/>
    <col min="40" max="103" width="9.109375" style="16" hidden="1" customWidth="1"/>
    <col min="104" max="104" width="24.5546875" style="16" customWidth="1"/>
    <col min="105" max="120" width="9.109375" style="16" customWidth="1"/>
    <col min="121" max="16384" width="9.109375" style="16"/>
  </cols>
  <sheetData>
    <row r="1" spans="1:103" s="126" customFormat="1" ht="38.2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207"/>
      <c r="K1" s="66"/>
      <c r="L1" s="66"/>
      <c r="M1" s="66"/>
      <c r="N1" s="66"/>
      <c r="O1" s="66"/>
      <c r="P1" s="207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125"/>
      <c r="AK1" s="125"/>
      <c r="AL1" s="125"/>
      <c r="AY1" s="21" t="str">
        <f>CONCATENATE("Setup!O7:O",COUNTA(Setup!O:O)+3)</f>
        <v>Setup!O7:O247</v>
      </c>
      <c r="BB1" s="126" t="s">
        <v>62</v>
      </c>
      <c r="BC1" s="126" t="s">
        <v>63</v>
      </c>
      <c r="BD1" s="126" t="s">
        <v>64</v>
      </c>
      <c r="BE1" s="126" t="s">
        <v>65</v>
      </c>
      <c r="BF1" s="126" t="s">
        <v>66</v>
      </c>
      <c r="CC1" s="126">
        <v>15</v>
      </c>
    </row>
    <row r="2" spans="1:103" s="196" customFormat="1" ht="27" thickBot="1" x14ac:dyDescent="0.3">
      <c r="A2" s="197"/>
      <c r="B2" s="197" t="s">
        <v>107</v>
      </c>
      <c r="C2" s="197" t="s">
        <v>0</v>
      </c>
      <c r="D2" s="197" t="s">
        <v>1</v>
      </c>
      <c r="E2" s="197" t="s">
        <v>29</v>
      </c>
      <c r="F2" s="197" t="str">
        <f>Setup!K6</f>
        <v>BWt (Kg)</v>
      </c>
      <c r="G2" s="197" t="s">
        <v>103</v>
      </c>
      <c r="H2" s="197" t="s">
        <v>94</v>
      </c>
      <c r="I2" s="197"/>
      <c r="J2" s="208" t="s">
        <v>26</v>
      </c>
      <c r="K2" s="197" t="s">
        <v>22</v>
      </c>
      <c r="L2" s="197" t="s">
        <v>23</v>
      </c>
      <c r="M2" s="197" t="s">
        <v>24</v>
      </c>
      <c r="N2" s="197" t="s">
        <v>25</v>
      </c>
      <c r="O2" s="197" t="s">
        <v>11</v>
      </c>
      <c r="P2" s="208" t="s">
        <v>27</v>
      </c>
      <c r="Q2" s="197" t="s">
        <v>104</v>
      </c>
      <c r="R2" s="197" t="s">
        <v>13</v>
      </c>
      <c r="S2" s="197" t="s">
        <v>14</v>
      </c>
      <c r="T2" s="197" t="s">
        <v>28</v>
      </c>
      <c r="U2" s="197" t="s">
        <v>15</v>
      </c>
      <c r="V2" s="197" t="s">
        <v>16</v>
      </c>
      <c r="W2" s="197" t="s">
        <v>17</v>
      </c>
      <c r="X2" s="197" t="s">
        <v>18</v>
      </c>
      <c r="Y2" s="197" t="s">
        <v>19</v>
      </c>
      <c r="Z2" s="197" t="s">
        <v>20</v>
      </c>
      <c r="AA2" s="197" t="s">
        <v>21</v>
      </c>
      <c r="AB2" s="197"/>
      <c r="AC2" s="197" t="s">
        <v>90</v>
      </c>
      <c r="AD2" s="197" t="s">
        <v>95</v>
      </c>
      <c r="AE2" s="197" t="s">
        <v>100</v>
      </c>
      <c r="AF2" s="197" t="s">
        <v>30</v>
      </c>
      <c r="AG2" s="197" t="s">
        <v>37</v>
      </c>
      <c r="AH2" s="197" t="s">
        <v>44</v>
      </c>
      <c r="AI2" s="197" t="s">
        <v>106</v>
      </c>
      <c r="AJ2" s="195" t="s">
        <v>102</v>
      </c>
      <c r="AK2" s="195" t="s">
        <v>36</v>
      </c>
      <c r="AL2" s="195" t="s">
        <v>38</v>
      </c>
      <c r="AP2" s="196" t="s">
        <v>98</v>
      </c>
      <c r="AQ2" s="196" t="s">
        <v>99</v>
      </c>
      <c r="AR2" s="196">
        <v>-1</v>
      </c>
      <c r="CC2" s="196">
        <v>2</v>
      </c>
      <c r="CH2" s="196" t="s">
        <v>80</v>
      </c>
      <c r="CI2" s="196" t="s">
        <v>22</v>
      </c>
      <c r="CJ2" s="196" t="s">
        <v>23</v>
      </c>
      <c r="CK2" s="196" t="s">
        <v>24</v>
      </c>
      <c r="CL2" s="196" t="s">
        <v>25</v>
      </c>
      <c r="CM2" s="196" t="s">
        <v>11</v>
      </c>
      <c r="CN2" s="196" t="s">
        <v>27</v>
      </c>
      <c r="CO2" s="196" t="s">
        <v>12</v>
      </c>
      <c r="CP2" s="196" t="s">
        <v>13</v>
      </c>
      <c r="CQ2" s="196" t="s">
        <v>14</v>
      </c>
      <c r="CR2" s="196" t="s">
        <v>28</v>
      </c>
      <c r="CS2" s="196" t="s">
        <v>15</v>
      </c>
      <c r="CT2" s="196" t="s">
        <v>16</v>
      </c>
      <c r="CU2" s="196" t="s">
        <v>17</v>
      </c>
      <c r="CV2" s="196" t="s">
        <v>18</v>
      </c>
      <c r="CW2" s="196" t="s">
        <v>19</v>
      </c>
      <c r="CX2" s="196" t="s">
        <v>20</v>
      </c>
      <c r="CY2" s="196" t="s">
        <v>21</v>
      </c>
    </row>
    <row r="3" spans="1:103" ht="12.75" customHeight="1" x14ac:dyDescent="0.3">
      <c r="B3" s="239" t="s">
        <v>32</v>
      </c>
      <c r="C3" s="262" t="s">
        <v>654</v>
      </c>
      <c r="D3" s="263">
        <v>46</v>
      </c>
      <c r="E3" s="262" t="s">
        <v>355</v>
      </c>
      <c r="F3" s="263">
        <v>107.9</v>
      </c>
      <c r="K3" s="66">
        <v>227.5</v>
      </c>
      <c r="P3" s="225"/>
      <c r="Q3" s="66">
        <v>157.5</v>
      </c>
      <c r="W3" s="66">
        <v>227.5</v>
      </c>
      <c r="AH3" s="224"/>
      <c r="AI3" s="224" t="s">
        <v>653</v>
      </c>
    </row>
    <row r="4" spans="1:103" ht="12.75" customHeight="1" x14ac:dyDescent="0.3">
      <c r="B4" s="239" t="s">
        <v>32</v>
      </c>
      <c r="C4" s="262" t="s">
        <v>655</v>
      </c>
      <c r="D4" s="263">
        <v>34</v>
      </c>
      <c r="E4" s="262" t="s">
        <v>200</v>
      </c>
      <c r="F4" s="263">
        <v>90.8</v>
      </c>
      <c r="K4" s="66">
        <v>185</v>
      </c>
      <c r="P4" s="225"/>
      <c r="Q4" s="66">
        <v>125</v>
      </c>
      <c r="W4" s="66">
        <v>210</v>
      </c>
      <c r="AH4" s="224"/>
      <c r="AI4" s="224" t="s">
        <v>653</v>
      </c>
    </row>
    <row r="5" spans="1:103" ht="13.8" x14ac:dyDescent="0.3">
      <c r="B5" s="239" t="s">
        <v>32</v>
      </c>
      <c r="C5" s="262" t="s">
        <v>656</v>
      </c>
      <c r="D5" s="263">
        <v>25</v>
      </c>
      <c r="E5" s="262" t="s">
        <v>355</v>
      </c>
      <c r="F5" s="263">
        <v>155.4</v>
      </c>
      <c r="K5" s="66">
        <v>305</v>
      </c>
      <c r="P5" s="225"/>
      <c r="Q5" s="66">
        <v>182.5</v>
      </c>
      <c r="W5" s="66">
        <v>265</v>
      </c>
      <c r="AH5" s="224"/>
      <c r="AI5" s="224" t="s">
        <v>653</v>
      </c>
    </row>
    <row r="6" spans="1:103" ht="13.8" x14ac:dyDescent="0.3">
      <c r="B6" s="239" t="s">
        <v>32</v>
      </c>
      <c r="C6" s="262" t="s">
        <v>657</v>
      </c>
      <c r="D6" s="263">
        <v>25</v>
      </c>
      <c r="E6" s="262" t="s">
        <v>355</v>
      </c>
      <c r="F6" s="263">
        <v>87.8</v>
      </c>
      <c r="J6" s="225" t="s">
        <v>658</v>
      </c>
      <c r="K6" s="66">
        <v>170</v>
      </c>
      <c r="P6" s="225"/>
      <c r="Q6" s="66">
        <v>102.5</v>
      </c>
      <c r="W6" s="66">
        <v>162.5</v>
      </c>
      <c r="AH6" s="224"/>
      <c r="AI6" s="224" t="s">
        <v>653</v>
      </c>
    </row>
    <row r="7" spans="1:103" ht="13.8" x14ac:dyDescent="0.3">
      <c r="B7" s="239" t="s">
        <v>32</v>
      </c>
      <c r="C7" s="262" t="s">
        <v>659</v>
      </c>
      <c r="D7" s="263">
        <v>12</v>
      </c>
      <c r="E7" s="262" t="s">
        <v>515</v>
      </c>
      <c r="F7" s="263">
        <v>64</v>
      </c>
      <c r="K7" s="66">
        <v>47.5</v>
      </c>
      <c r="P7" s="225"/>
      <c r="Q7" s="66">
        <v>27.5</v>
      </c>
      <c r="W7" s="66">
        <v>67.5</v>
      </c>
      <c r="AH7" s="224"/>
      <c r="AI7" s="224" t="s">
        <v>653</v>
      </c>
    </row>
    <row r="8" spans="1:103" ht="13.8" x14ac:dyDescent="0.3">
      <c r="B8" s="239" t="s">
        <v>32</v>
      </c>
      <c r="C8" s="262" t="s">
        <v>660</v>
      </c>
      <c r="D8" s="263">
        <v>71</v>
      </c>
      <c r="E8" s="262" t="s">
        <v>246</v>
      </c>
      <c r="F8" s="263">
        <v>97</v>
      </c>
      <c r="K8" s="66">
        <v>115</v>
      </c>
      <c r="P8" s="225"/>
      <c r="Q8" s="66">
        <v>145</v>
      </c>
      <c r="W8" s="66">
        <v>160</v>
      </c>
      <c r="AH8" s="224"/>
      <c r="AI8" s="224" t="s">
        <v>653</v>
      </c>
    </row>
    <row r="9" spans="1:103" ht="12.75" customHeight="1" x14ac:dyDescent="0.3">
      <c r="B9" s="239" t="s">
        <v>32</v>
      </c>
      <c r="C9" s="262" t="s">
        <v>661</v>
      </c>
      <c r="D9" s="263">
        <v>49</v>
      </c>
      <c r="E9" s="262" t="s">
        <v>425</v>
      </c>
      <c r="F9" s="263">
        <v>109.8</v>
      </c>
      <c r="K9" s="66">
        <v>192.5</v>
      </c>
      <c r="P9" s="225"/>
      <c r="Q9" s="66">
        <v>102.5</v>
      </c>
      <c r="W9" s="66">
        <v>192.5</v>
      </c>
      <c r="AH9" s="224"/>
      <c r="AI9" s="224" t="s">
        <v>653</v>
      </c>
    </row>
    <row r="10" spans="1:103" ht="12.75" customHeight="1" x14ac:dyDescent="0.3">
      <c r="B10" s="239" t="s">
        <v>32</v>
      </c>
      <c r="C10" s="262" t="s">
        <v>662</v>
      </c>
      <c r="D10" s="263">
        <v>14</v>
      </c>
      <c r="E10" s="262" t="s">
        <v>515</v>
      </c>
      <c r="F10" s="263">
        <v>67.2</v>
      </c>
      <c r="K10" s="66">
        <v>97.5</v>
      </c>
      <c r="P10" s="225"/>
      <c r="Q10" s="66">
        <v>42.5</v>
      </c>
      <c r="W10" s="66">
        <v>97.5</v>
      </c>
      <c r="AH10" s="224"/>
      <c r="AI10" s="224" t="s">
        <v>653</v>
      </c>
    </row>
    <row r="11" spans="1:103" ht="12.75" customHeight="1" x14ac:dyDescent="0.3">
      <c r="B11" s="239" t="s">
        <v>32</v>
      </c>
      <c r="C11" s="262" t="s">
        <v>663</v>
      </c>
      <c r="D11" s="263">
        <v>48</v>
      </c>
      <c r="E11" s="262" t="s">
        <v>212</v>
      </c>
      <c r="F11" s="263">
        <v>119.8</v>
      </c>
      <c r="P11" s="225"/>
      <c r="W11" s="66">
        <v>307.5</v>
      </c>
      <c r="AH11" s="224"/>
      <c r="AI11" s="224" t="s">
        <v>351</v>
      </c>
    </row>
    <row r="12" spans="1:103" ht="12.75" customHeight="1" x14ac:dyDescent="0.3">
      <c r="B12" s="239" t="s">
        <v>32</v>
      </c>
      <c r="C12" s="262" t="s">
        <v>664</v>
      </c>
      <c r="D12" s="263">
        <v>69</v>
      </c>
      <c r="E12" s="262" t="s">
        <v>240</v>
      </c>
      <c r="F12" s="263">
        <v>98</v>
      </c>
      <c r="K12" s="66">
        <v>175</v>
      </c>
      <c r="P12" s="225"/>
      <c r="Q12" s="66">
        <v>92.5</v>
      </c>
      <c r="W12" s="66">
        <v>175</v>
      </c>
      <c r="AH12" s="224"/>
      <c r="AI12" s="224" t="s">
        <v>653</v>
      </c>
    </row>
    <row r="13" spans="1:103" ht="12.75" customHeight="1" x14ac:dyDescent="0.3">
      <c r="B13" s="239" t="s">
        <v>32</v>
      </c>
      <c r="C13" s="262" t="s">
        <v>665</v>
      </c>
      <c r="D13" s="263">
        <v>55</v>
      </c>
      <c r="E13" s="262" t="s">
        <v>228</v>
      </c>
      <c r="F13" s="263">
        <v>97.6</v>
      </c>
      <c r="K13" s="66">
        <v>275</v>
      </c>
      <c r="P13" s="225"/>
      <c r="Q13" s="66">
        <v>170</v>
      </c>
      <c r="W13" s="66">
        <v>227.5</v>
      </c>
      <c r="AH13" s="224"/>
      <c r="AI13" s="224" t="s">
        <v>653</v>
      </c>
    </row>
    <row r="14" spans="1:103" ht="12.75" customHeight="1" x14ac:dyDescent="0.3">
      <c r="B14" s="239" t="s">
        <v>32</v>
      </c>
      <c r="C14" s="262" t="s">
        <v>666</v>
      </c>
      <c r="D14" s="263">
        <v>55</v>
      </c>
      <c r="E14" s="262" t="s">
        <v>316</v>
      </c>
      <c r="F14" s="263">
        <v>81</v>
      </c>
      <c r="K14" s="66">
        <v>190</v>
      </c>
      <c r="P14" s="225"/>
      <c r="Q14" s="66">
        <v>105</v>
      </c>
      <c r="W14" s="66">
        <v>147.5</v>
      </c>
      <c r="AH14" s="224" t="s">
        <v>658</v>
      </c>
      <c r="AI14" s="224" t="s">
        <v>653</v>
      </c>
    </row>
    <row r="15" spans="1:103" ht="12.75" customHeight="1" x14ac:dyDescent="0.3">
      <c r="B15" s="239" t="s">
        <v>32</v>
      </c>
      <c r="C15" s="262"/>
      <c r="D15" s="263"/>
      <c r="E15" s="262"/>
      <c r="F15" s="263"/>
      <c r="P15" s="225"/>
      <c r="AH15" s="224"/>
      <c r="AI15" s="224" t="s">
        <v>658</v>
      </c>
    </row>
    <row r="16" spans="1:103" ht="12.75" customHeight="1" x14ac:dyDescent="0.3">
      <c r="B16" s="239"/>
      <c r="C16" s="262"/>
      <c r="D16" s="263"/>
      <c r="E16" s="262"/>
      <c r="F16" s="263"/>
      <c r="P16" s="225"/>
      <c r="AH16" s="224"/>
      <c r="AI16" s="224" t="s">
        <v>658</v>
      </c>
    </row>
    <row r="17" spans="2:39" ht="12.75" customHeight="1" x14ac:dyDescent="0.3">
      <c r="B17" s="239"/>
      <c r="C17" s="262"/>
      <c r="D17" s="263"/>
      <c r="E17" s="262"/>
      <c r="F17" s="263"/>
      <c r="J17" s="225"/>
      <c r="P17" s="225"/>
      <c r="AH17" s="224"/>
      <c r="AI17" s="224"/>
    </row>
    <row r="18" spans="2:39" ht="12.75" customHeight="1" x14ac:dyDescent="0.3">
      <c r="B18" s="239"/>
      <c r="C18" s="262"/>
      <c r="D18" s="263"/>
      <c r="E18" s="262"/>
      <c r="F18" s="263"/>
      <c r="J18" s="225"/>
      <c r="P18" s="225"/>
      <c r="AH18" s="224"/>
      <c r="AI18" s="224"/>
      <c r="AM18" s="244"/>
    </row>
    <row r="19" spans="2:39" ht="12.75" customHeight="1" x14ac:dyDescent="0.3">
      <c r="B19" s="239"/>
      <c r="C19" s="262"/>
      <c r="D19" s="263"/>
      <c r="E19" s="262"/>
      <c r="F19" s="263"/>
      <c r="P19" s="225"/>
      <c r="AH19" s="224"/>
      <c r="AI19" s="224"/>
    </row>
    <row r="20" spans="2:39" ht="13.8" x14ac:dyDescent="0.3">
      <c r="B20" s="239"/>
      <c r="C20" s="262"/>
      <c r="D20" s="263"/>
      <c r="E20" s="262"/>
      <c r="F20" s="263"/>
      <c r="P20" s="225"/>
      <c r="AH20" s="224"/>
      <c r="AI20" s="224"/>
    </row>
    <row r="21" spans="2:39" ht="12.75" customHeight="1" x14ac:dyDescent="0.3">
      <c r="B21" s="239"/>
      <c r="C21" s="262"/>
      <c r="D21" s="263"/>
      <c r="E21" s="262"/>
      <c r="F21" s="263"/>
      <c r="P21" s="225"/>
      <c r="AH21" s="224"/>
      <c r="AI21" s="224"/>
      <c r="AM21" s="244"/>
    </row>
    <row r="22" spans="2:39" ht="12.75" customHeight="1" x14ac:dyDescent="0.3">
      <c r="B22" s="239"/>
      <c r="C22" s="262"/>
      <c r="D22" s="263"/>
      <c r="E22" s="262"/>
      <c r="F22" s="263"/>
      <c r="P22" s="225"/>
      <c r="AH22" s="224"/>
      <c r="AI22" s="224"/>
    </row>
    <row r="23" spans="2:39" ht="12.75" customHeight="1" x14ac:dyDescent="0.3">
      <c r="B23" s="239"/>
      <c r="C23" s="262"/>
      <c r="D23" s="263"/>
      <c r="E23" s="262"/>
      <c r="F23" s="263"/>
      <c r="P23" s="225"/>
      <c r="AH23" s="224"/>
      <c r="AI23" s="224"/>
    </row>
    <row r="24" spans="2:39" ht="12.75" customHeight="1" x14ac:dyDescent="0.3">
      <c r="B24" s="239"/>
      <c r="C24" s="262"/>
      <c r="D24" s="263"/>
      <c r="E24" s="262"/>
      <c r="F24" s="263"/>
      <c r="P24" s="225"/>
      <c r="AH24" s="224"/>
      <c r="AI24" s="224"/>
    </row>
    <row r="25" spans="2:39" ht="12.75" customHeight="1" x14ac:dyDescent="0.3">
      <c r="B25" s="239"/>
      <c r="C25" s="262"/>
      <c r="D25" s="263"/>
      <c r="E25" s="262"/>
      <c r="F25" s="263"/>
      <c r="P25" s="225"/>
      <c r="AH25" s="224"/>
      <c r="AI25" s="224"/>
    </row>
    <row r="26" spans="2:39" ht="13.8" x14ac:dyDescent="0.3">
      <c r="B26" s="239"/>
      <c r="C26" s="262"/>
      <c r="D26" s="263"/>
      <c r="E26" s="262"/>
      <c r="F26" s="263"/>
      <c r="P26" s="225"/>
      <c r="AH26" s="224"/>
      <c r="AI26" s="224"/>
    </row>
    <row r="27" spans="2:39" ht="12.75" customHeight="1" x14ac:dyDescent="0.3">
      <c r="B27" s="239"/>
      <c r="C27" s="262"/>
      <c r="D27" s="263"/>
      <c r="E27" s="262"/>
      <c r="F27" s="263"/>
      <c r="P27" s="225"/>
      <c r="AH27" s="224"/>
      <c r="AI27" s="224"/>
      <c r="AM27" s="244"/>
    </row>
    <row r="28" spans="2:39" ht="12.75" customHeight="1" x14ac:dyDescent="0.3">
      <c r="B28" s="239"/>
      <c r="C28" s="262"/>
      <c r="D28" s="263"/>
      <c r="E28" s="262"/>
      <c r="F28" s="263"/>
      <c r="P28" s="225"/>
      <c r="AH28" s="224"/>
      <c r="AI28" s="224"/>
    </row>
    <row r="29" spans="2:39" ht="12.75" customHeight="1" x14ac:dyDescent="0.3">
      <c r="B29" s="239"/>
      <c r="C29" s="262"/>
      <c r="D29" s="263"/>
      <c r="E29" s="262"/>
      <c r="F29" s="263"/>
      <c r="P29" s="225"/>
      <c r="AH29" s="224"/>
      <c r="AI29" s="224"/>
    </row>
    <row r="30" spans="2:39" ht="12.75" customHeight="1" x14ac:dyDescent="0.3">
      <c r="B30" s="239"/>
      <c r="C30" s="262"/>
      <c r="D30" s="263"/>
      <c r="E30" s="262"/>
      <c r="F30" s="263"/>
      <c r="P30" s="225"/>
      <c r="AH30" s="224"/>
      <c r="AI30" s="224"/>
    </row>
    <row r="31" spans="2:39" ht="12.75" customHeight="1" x14ac:dyDescent="0.3">
      <c r="B31" s="239"/>
      <c r="C31" s="262"/>
      <c r="D31" s="263"/>
      <c r="E31" s="262"/>
      <c r="F31" s="263"/>
      <c r="P31" s="225"/>
      <c r="AH31" s="224"/>
      <c r="AI31" s="224"/>
    </row>
    <row r="32" spans="2:39" ht="12.75" customHeight="1" x14ac:dyDescent="0.3">
      <c r="B32" s="239"/>
      <c r="C32" s="262"/>
      <c r="D32" s="263"/>
      <c r="E32" s="262"/>
      <c r="F32" s="263"/>
      <c r="P32" s="225"/>
      <c r="AH32" s="224"/>
      <c r="AI32" s="224"/>
    </row>
    <row r="33" spans="2:104" ht="12.75" customHeight="1" x14ac:dyDescent="0.3">
      <c r="B33" s="239"/>
      <c r="C33" s="262"/>
      <c r="D33" s="263"/>
      <c r="E33" s="262"/>
      <c r="F33" s="263"/>
      <c r="P33" s="225"/>
      <c r="AH33" s="224"/>
      <c r="AI33" s="224"/>
    </row>
    <row r="34" spans="2:104" ht="12.75" customHeight="1" x14ac:dyDescent="0.3">
      <c r="B34" s="239"/>
      <c r="C34" s="262"/>
      <c r="D34" s="263"/>
      <c r="E34" s="262"/>
      <c r="F34" s="263"/>
      <c r="P34" s="225"/>
      <c r="AH34" s="224"/>
      <c r="AI34" s="224"/>
    </row>
    <row r="35" spans="2:104" ht="12.75" customHeight="1" x14ac:dyDescent="0.3">
      <c r="B35" s="239"/>
      <c r="C35" s="262"/>
      <c r="D35" s="263"/>
      <c r="E35" s="262"/>
      <c r="F35" s="263"/>
      <c r="P35" s="225"/>
      <c r="AH35" s="224"/>
      <c r="AI35" s="224"/>
    </row>
    <row r="36" spans="2:104" ht="12.75" customHeight="1" x14ac:dyDescent="0.3">
      <c r="B36" s="239"/>
      <c r="C36" s="262"/>
      <c r="D36" s="263"/>
      <c r="E36" s="262"/>
      <c r="F36" s="263"/>
      <c r="P36" s="225"/>
      <c r="AH36" s="224"/>
      <c r="AI36" s="224"/>
    </row>
    <row r="37" spans="2:104" ht="12.75" customHeight="1" x14ac:dyDescent="0.3">
      <c r="B37" s="239"/>
      <c r="C37" s="262"/>
      <c r="D37" s="263"/>
      <c r="E37" s="262"/>
      <c r="F37" s="263"/>
      <c r="P37" s="225"/>
      <c r="AH37" s="224"/>
      <c r="AI37" s="224"/>
    </row>
    <row r="38" spans="2:104" ht="12.75" customHeight="1" x14ac:dyDescent="0.3">
      <c r="B38" s="239"/>
      <c r="C38" s="262"/>
      <c r="D38" s="263"/>
      <c r="E38" s="262"/>
      <c r="F38" s="263"/>
      <c r="P38" s="225"/>
      <c r="AH38" s="224"/>
      <c r="AI38" s="224"/>
    </row>
    <row r="39" spans="2:104" ht="12.75" customHeight="1" x14ac:dyDescent="0.3">
      <c r="B39" s="239"/>
      <c r="C39" s="262"/>
      <c r="D39" s="263"/>
      <c r="E39" s="262"/>
      <c r="F39" s="263"/>
      <c r="P39" s="225"/>
      <c r="AH39" s="224"/>
      <c r="AI39" s="224"/>
    </row>
    <row r="40" spans="2:104" ht="12.75" customHeight="1" x14ac:dyDescent="0.3">
      <c r="B40" s="239"/>
      <c r="C40" s="262"/>
      <c r="D40" s="263"/>
      <c r="E40" s="262"/>
      <c r="F40" s="263"/>
      <c r="P40" s="225"/>
      <c r="AH40" s="224"/>
      <c r="AI40" s="224"/>
    </row>
    <row r="41" spans="2:104" ht="12.75" customHeight="1" x14ac:dyDescent="0.3">
      <c r="B41" s="239"/>
      <c r="C41" s="262"/>
      <c r="D41" s="263"/>
      <c r="E41" s="262"/>
      <c r="F41" s="263"/>
      <c r="P41" s="225"/>
      <c r="AH41" s="224"/>
      <c r="AI41" s="224"/>
    </row>
    <row r="42" spans="2:104" ht="12.75" customHeight="1" x14ac:dyDescent="0.3">
      <c r="B42" s="239"/>
      <c r="C42" s="262"/>
      <c r="D42" s="263"/>
      <c r="E42" s="262"/>
      <c r="F42" s="263"/>
      <c r="P42" s="225"/>
      <c r="AH42" s="224"/>
      <c r="AI42" s="224"/>
      <c r="CZ42" s="240"/>
    </row>
    <row r="43" spans="2:104" ht="12.75" customHeight="1" x14ac:dyDescent="0.3">
      <c r="B43" s="239"/>
      <c r="C43" s="262"/>
      <c r="D43" s="263"/>
      <c r="E43" s="262"/>
      <c r="F43" s="263"/>
      <c r="P43" s="225"/>
      <c r="AH43" s="224"/>
      <c r="AI43" s="224"/>
      <c r="CZ43" s="240"/>
    </row>
    <row r="44" spans="2:104" ht="12.75" customHeight="1" x14ac:dyDescent="0.3">
      <c r="B44" s="239"/>
      <c r="C44" s="262"/>
      <c r="D44" s="263"/>
      <c r="E44" s="262"/>
      <c r="F44" s="263"/>
      <c r="P44" s="225"/>
      <c r="AH44" s="224"/>
      <c r="AI44" s="224"/>
    </row>
    <row r="45" spans="2:104" ht="13.8" x14ac:dyDescent="0.3">
      <c r="B45" s="239"/>
      <c r="C45" s="262"/>
      <c r="D45" s="263"/>
      <c r="E45" s="262"/>
      <c r="F45" s="263"/>
      <c r="P45" s="225"/>
      <c r="AH45" s="224"/>
      <c r="AI45" s="224"/>
    </row>
    <row r="46" spans="2:104" ht="12.75" customHeight="1" x14ac:dyDescent="0.3">
      <c r="B46" s="239"/>
      <c r="C46" s="262"/>
      <c r="D46" s="263"/>
      <c r="E46" s="262"/>
      <c r="F46" s="263"/>
      <c r="P46" s="225"/>
      <c r="AH46" s="224"/>
      <c r="AI46" s="224"/>
    </row>
    <row r="47" spans="2:104" ht="12.75" customHeight="1" x14ac:dyDescent="0.3">
      <c r="B47" s="239"/>
      <c r="C47" s="262"/>
      <c r="D47" s="263"/>
      <c r="E47" s="262"/>
      <c r="F47" s="263"/>
      <c r="P47" s="225"/>
      <c r="AH47" s="224"/>
      <c r="AI47" s="224"/>
    </row>
    <row r="48" spans="2:104" ht="12.75" customHeight="1" x14ac:dyDescent="0.3">
      <c r="B48" s="239"/>
      <c r="C48" s="262"/>
      <c r="D48" s="263"/>
      <c r="E48" s="262"/>
      <c r="F48" s="263"/>
      <c r="P48" s="225"/>
      <c r="AH48" s="224"/>
      <c r="AI48" s="224"/>
    </row>
    <row r="49" spans="1:39" ht="12.75" customHeight="1" x14ac:dyDescent="0.3">
      <c r="B49" s="239"/>
      <c r="C49" s="262"/>
      <c r="D49" s="263"/>
      <c r="E49" s="262"/>
      <c r="F49" s="263"/>
      <c r="P49" s="225"/>
      <c r="AH49" s="224"/>
      <c r="AI49" s="224"/>
    </row>
    <row r="50" spans="1:39" ht="12.75" customHeight="1" x14ac:dyDescent="0.3">
      <c r="B50" s="239"/>
      <c r="C50" s="262"/>
      <c r="D50" s="263"/>
      <c r="E50" s="262"/>
      <c r="F50" s="263"/>
      <c r="P50" s="225"/>
      <c r="AH50" s="224"/>
      <c r="AI50" s="224"/>
    </row>
    <row r="51" spans="1:39" ht="12.75" customHeight="1" x14ac:dyDescent="0.3">
      <c r="B51" s="239"/>
      <c r="C51" s="262"/>
      <c r="D51" s="263"/>
      <c r="E51" s="262"/>
      <c r="F51" s="263"/>
      <c r="P51" s="225"/>
      <c r="AH51" s="224"/>
      <c r="AI51" s="224"/>
    </row>
    <row r="52" spans="1:39" ht="13.8" x14ac:dyDescent="0.3">
      <c r="B52" s="239"/>
      <c r="C52" s="262"/>
      <c r="D52" s="263"/>
      <c r="E52" s="262"/>
      <c r="F52" s="263"/>
      <c r="P52" s="225"/>
      <c r="AH52" s="224"/>
      <c r="AI52" s="224"/>
    </row>
    <row r="53" spans="1:39" ht="12.75" customHeight="1" x14ac:dyDescent="0.3">
      <c r="B53" s="239"/>
      <c r="C53" s="262"/>
      <c r="D53" s="263"/>
      <c r="E53" s="262"/>
      <c r="F53" s="263"/>
      <c r="P53" s="225"/>
      <c r="AH53" s="224"/>
      <c r="AI53" s="224"/>
    </row>
    <row r="54" spans="1:39" ht="12.75" customHeight="1" x14ac:dyDescent="0.3">
      <c r="B54" s="239"/>
      <c r="C54" s="262"/>
      <c r="D54" s="263"/>
      <c r="E54" s="262"/>
      <c r="F54" s="263"/>
      <c r="P54" s="225"/>
      <c r="AH54" s="224"/>
      <c r="AI54" s="224"/>
    </row>
    <row r="55" spans="1:39" ht="12.75" customHeight="1" x14ac:dyDescent="0.3">
      <c r="A55" s="265"/>
      <c r="B55" s="239"/>
      <c r="C55" s="262"/>
      <c r="D55" s="263"/>
      <c r="E55" s="262"/>
      <c r="F55" s="263"/>
      <c r="P55" s="225"/>
      <c r="AH55" s="224"/>
      <c r="AI55" s="224"/>
      <c r="AM55" s="244"/>
    </row>
    <row r="56" spans="1:39" ht="12.75" customHeight="1" x14ac:dyDescent="0.3">
      <c r="B56" s="239"/>
      <c r="C56" s="262"/>
      <c r="D56" s="263"/>
      <c r="E56" s="262"/>
      <c r="F56" s="263"/>
      <c r="P56" s="225"/>
      <c r="AH56" s="224"/>
      <c r="AI56" s="224"/>
    </row>
    <row r="57" spans="1:39" ht="12.75" customHeight="1" x14ac:dyDescent="0.3">
      <c r="B57" s="239"/>
      <c r="C57" s="262"/>
      <c r="D57" s="263"/>
      <c r="E57" s="262"/>
      <c r="F57" s="263"/>
      <c r="P57" s="225"/>
      <c r="AH57" s="224"/>
      <c r="AI57" s="224"/>
    </row>
    <row r="58" spans="1:39" ht="12.75" customHeight="1" x14ac:dyDescent="0.3">
      <c r="B58" s="239"/>
      <c r="C58" s="262"/>
      <c r="D58" s="263"/>
      <c r="E58" s="262"/>
      <c r="F58" s="263"/>
      <c r="P58" s="225"/>
      <c r="AH58" s="224"/>
      <c r="AI58" s="224"/>
    </row>
    <row r="59" spans="1:39" ht="12.75" customHeight="1" x14ac:dyDescent="0.3">
      <c r="B59" s="239"/>
      <c r="C59" s="262"/>
      <c r="D59" s="263"/>
      <c r="E59" s="262"/>
      <c r="F59" s="263"/>
      <c r="P59" s="225"/>
      <c r="AH59" s="224"/>
      <c r="AI59" s="224"/>
    </row>
    <row r="60" spans="1:39" ht="12.75" customHeight="1" x14ac:dyDescent="0.3">
      <c r="B60" s="239"/>
      <c r="C60" s="262"/>
      <c r="D60" s="263"/>
      <c r="E60" s="262"/>
      <c r="F60" s="263"/>
      <c r="P60" s="225"/>
      <c r="AH60" s="224"/>
      <c r="AI60" s="224"/>
    </row>
    <row r="61" spans="1:39" ht="13.8" x14ac:dyDescent="0.3">
      <c r="B61" s="239"/>
      <c r="C61" s="262"/>
      <c r="D61" s="263"/>
      <c r="E61" s="262"/>
      <c r="F61" s="263"/>
      <c r="P61" s="225"/>
      <c r="AH61" s="224"/>
      <c r="AI61" s="224"/>
    </row>
    <row r="62" spans="1:39" ht="12.75" customHeight="1" x14ac:dyDescent="0.25">
      <c r="B62" s="239"/>
      <c r="C62" s="245"/>
      <c r="D62" s="223"/>
      <c r="E62" s="245"/>
      <c r="P62" s="225"/>
      <c r="AH62" s="224"/>
      <c r="AI62" s="224"/>
    </row>
    <row r="63" spans="1:39" ht="12.75" customHeight="1" x14ac:dyDescent="0.25">
      <c r="B63" s="239"/>
      <c r="C63" s="245"/>
      <c r="D63" s="223"/>
      <c r="E63" s="245"/>
      <c r="P63" s="225"/>
      <c r="AH63" s="224"/>
      <c r="AI63" s="224"/>
    </row>
    <row r="64" spans="1:39" ht="12.75" customHeight="1" x14ac:dyDescent="0.25">
      <c r="B64" s="239"/>
      <c r="C64" s="245"/>
      <c r="D64" s="223"/>
      <c r="E64" s="245"/>
      <c r="P64" s="225"/>
      <c r="AH64" s="224"/>
      <c r="AI64" s="224"/>
    </row>
    <row r="65" spans="2:104" ht="12.75" customHeight="1" x14ac:dyDescent="0.25">
      <c r="B65" s="239"/>
      <c r="C65" s="245"/>
      <c r="D65" s="223"/>
      <c r="E65" s="245"/>
      <c r="P65" s="225"/>
      <c r="AH65" s="224"/>
      <c r="AI65" s="224"/>
    </row>
    <row r="66" spans="2:104" x14ac:dyDescent="0.25">
      <c r="B66" s="239"/>
      <c r="C66" s="245"/>
      <c r="D66" s="223"/>
      <c r="E66" s="245"/>
      <c r="P66" s="225"/>
      <c r="AH66" s="224"/>
      <c r="AI66" s="224"/>
    </row>
    <row r="67" spans="2:104" x14ac:dyDescent="0.25">
      <c r="B67" s="239"/>
      <c r="C67" s="245"/>
      <c r="D67" s="223"/>
      <c r="E67" s="245"/>
      <c r="P67" s="225"/>
      <c r="AH67" s="224"/>
      <c r="AI67" s="224"/>
    </row>
    <row r="68" spans="2:104" x14ac:dyDescent="0.25">
      <c r="B68" s="239"/>
      <c r="C68" s="245"/>
      <c r="D68" s="223"/>
      <c r="E68" s="245"/>
      <c r="P68" s="225"/>
      <c r="AH68" s="224"/>
      <c r="AI68" s="224"/>
    </row>
    <row r="69" spans="2:104" ht="12.75" customHeight="1" x14ac:dyDescent="0.25">
      <c r="B69" s="239"/>
      <c r="C69" s="245"/>
      <c r="D69" s="223"/>
      <c r="E69" s="245"/>
      <c r="P69" s="225"/>
      <c r="AH69" s="224"/>
      <c r="AI69" s="224"/>
    </row>
    <row r="70" spans="2:104" ht="12.75" customHeight="1" x14ac:dyDescent="0.25">
      <c r="B70" s="239"/>
      <c r="C70" s="245"/>
      <c r="D70" s="223"/>
      <c r="E70" s="245"/>
      <c r="P70" s="225"/>
      <c r="AH70" s="224"/>
      <c r="AI70" s="224"/>
    </row>
    <row r="71" spans="2:104" ht="12.75" customHeight="1" x14ac:dyDescent="0.25">
      <c r="B71" s="239"/>
      <c r="C71" s="245"/>
      <c r="D71" s="223"/>
      <c r="E71" s="245"/>
      <c r="P71" s="225"/>
      <c r="AH71" s="224"/>
      <c r="AI71" s="224"/>
    </row>
    <row r="72" spans="2:104" ht="12.75" customHeight="1" x14ac:dyDescent="0.25">
      <c r="B72" s="239"/>
      <c r="C72" s="245"/>
      <c r="D72" s="223"/>
      <c r="E72" s="245"/>
      <c r="P72" s="225"/>
      <c r="AH72" s="224"/>
      <c r="AI72" s="224"/>
    </row>
    <row r="73" spans="2:104" ht="15" customHeight="1" x14ac:dyDescent="0.25">
      <c r="B73" s="239"/>
      <c r="C73" s="245"/>
      <c r="D73" s="223"/>
      <c r="E73" s="245"/>
      <c r="P73" s="225"/>
      <c r="AH73" s="224"/>
      <c r="AI73" s="224"/>
    </row>
    <row r="74" spans="2:104" ht="12.75" customHeight="1" x14ac:dyDescent="0.25">
      <c r="B74" s="239"/>
      <c r="C74" s="245"/>
      <c r="D74" s="223"/>
      <c r="E74" s="245"/>
      <c r="P74" s="225"/>
      <c r="AH74" s="224"/>
      <c r="AI74" s="224"/>
      <c r="CZ74" s="240"/>
    </row>
    <row r="75" spans="2:104" ht="15" customHeight="1" x14ac:dyDescent="0.25">
      <c r="B75" s="239"/>
      <c r="C75" s="245"/>
      <c r="D75" s="223"/>
      <c r="E75" s="245"/>
      <c r="P75" s="225"/>
      <c r="AH75" s="224"/>
      <c r="AI75" s="224"/>
    </row>
    <row r="76" spans="2:104" ht="15" customHeight="1" x14ac:dyDescent="0.25">
      <c r="B76" s="239"/>
      <c r="C76" s="245"/>
      <c r="D76" s="223"/>
      <c r="E76" s="245"/>
      <c r="P76" s="225"/>
      <c r="AH76" s="224"/>
      <c r="AI76" s="224"/>
    </row>
    <row r="77" spans="2:104" ht="12.75" customHeight="1" x14ac:dyDescent="0.25">
      <c r="B77" s="239"/>
      <c r="C77" s="245"/>
      <c r="D77" s="223"/>
      <c r="E77" s="245"/>
      <c r="P77" s="225"/>
      <c r="AH77" s="224"/>
      <c r="AI77" s="224"/>
    </row>
    <row r="78" spans="2:104" ht="12.75" customHeight="1" x14ac:dyDescent="0.25">
      <c r="B78" s="239"/>
      <c r="C78" s="245"/>
      <c r="D78" s="223"/>
      <c r="E78" s="245"/>
      <c r="P78" s="225"/>
      <c r="AH78" s="224"/>
      <c r="AI78" s="224"/>
    </row>
    <row r="79" spans="2:104" ht="12.75" customHeight="1" x14ac:dyDescent="0.25">
      <c r="B79" s="239"/>
      <c r="C79" s="245"/>
      <c r="D79" s="223"/>
      <c r="E79" s="245"/>
      <c r="P79" s="225"/>
      <c r="AH79" s="224"/>
      <c r="AI79" s="224"/>
    </row>
    <row r="80" spans="2:104" ht="12.75" customHeight="1" x14ac:dyDescent="0.25">
      <c r="B80" s="239"/>
      <c r="C80" s="245"/>
      <c r="D80" s="223"/>
      <c r="E80" s="245"/>
      <c r="P80" s="225"/>
      <c r="AH80" s="224"/>
      <c r="AI80" s="224"/>
    </row>
    <row r="81" spans="2:35" x14ac:dyDescent="0.25">
      <c r="B81" s="239"/>
      <c r="C81" s="245"/>
      <c r="D81" s="223"/>
      <c r="E81" s="245"/>
      <c r="P81" s="225"/>
      <c r="AH81" s="224"/>
      <c r="AI81" s="224"/>
    </row>
    <row r="82" spans="2:35" x14ac:dyDescent="0.25">
      <c r="B82" s="239"/>
      <c r="C82" s="245"/>
      <c r="D82" s="223"/>
      <c r="E82" s="245"/>
      <c r="P82" s="225"/>
      <c r="AH82" s="224"/>
      <c r="AI82" s="224"/>
    </row>
    <row r="83" spans="2:35" ht="12.75" customHeight="1" x14ac:dyDescent="0.25">
      <c r="B83" s="239"/>
      <c r="C83" s="245"/>
      <c r="D83" s="223"/>
      <c r="E83" s="245"/>
      <c r="P83" s="225"/>
      <c r="AH83" s="224"/>
      <c r="AI83" s="224"/>
    </row>
    <row r="84" spans="2:35" ht="12.75" customHeight="1" x14ac:dyDescent="0.25">
      <c r="B84" s="239"/>
      <c r="C84" s="245"/>
      <c r="D84" s="223"/>
      <c r="E84" s="245"/>
      <c r="P84" s="225"/>
      <c r="AH84" s="224"/>
      <c r="AI84" s="224"/>
    </row>
    <row r="85" spans="2:35" x14ac:dyDescent="0.25">
      <c r="B85" s="239"/>
      <c r="C85" s="245"/>
      <c r="D85" s="223"/>
      <c r="E85" s="245"/>
      <c r="P85" s="225"/>
      <c r="AH85" s="224"/>
      <c r="AI85" s="224"/>
    </row>
    <row r="86" spans="2:35" x14ac:dyDescent="0.25">
      <c r="B86" s="239"/>
      <c r="C86" s="245"/>
      <c r="D86" s="223"/>
      <c r="E86" s="245"/>
      <c r="P86" s="225"/>
      <c r="AH86" s="224"/>
      <c r="AI86" s="224"/>
    </row>
    <row r="87" spans="2:35" x14ac:dyDescent="0.25">
      <c r="B87" s="239"/>
      <c r="C87" s="245"/>
      <c r="D87" s="223"/>
      <c r="E87" s="245"/>
      <c r="P87" s="225"/>
      <c r="AH87" s="224"/>
      <c r="AI87" s="224"/>
    </row>
    <row r="88" spans="2:35" x14ac:dyDescent="0.25">
      <c r="B88" s="239"/>
      <c r="C88" s="245"/>
      <c r="D88" s="223"/>
      <c r="E88" s="245"/>
      <c r="P88" s="225"/>
      <c r="AH88" s="224"/>
      <c r="AI88" s="224"/>
    </row>
    <row r="89" spans="2:35" x14ac:dyDescent="0.25">
      <c r="B89" s="239"/>
      <c r="C89" s="245"/>
      <c r="D89" s="223"/>
      <c r="E89" s="245"/>
      <c r="P89" s="225"/>
      <c r="AH89" s="224"/>
      <c r="AI89" s="224"/>
    </row>
    <row r="90" spans="2:35" x14ac:dyDescent="0.25">
      <c r="B90" s="239"/>
      <c r="C90" s="245"/>
      <c r="D90" s="223"/>
      <c r="E90" s="245"/>
      <c r="P90" s="225"/>
      <c r="AH90" s="224"/>
      <c r="AI90" s="224"/>
    </row>
    <row r="91" spans="2:35" x14ac:dyDescent="0.25">
      <c r="B91" s="239"/>
      <c r="C91" s="245"/>
      <c r="D91" s="223"/>
      <c r="E91" s="245"/>
      <c r="P91" s="225"/>
      <c r="AH91" s="224"/>
      <c r="AI91" s="224"/>
    </row>
    <row r="92" spans="2:35" x14ac:dyDescent="0.25">
      <c r="B92" s="239"/>
      <c r="C92" s="245"/>
      <c r="D92" s="223"/>
      <c r="E92" s="245"/>
      <c r="P92" s="225"/>
      <c r="AH92" s="224"/>
      <c r="AI92" s="224"/>
    </row>
    <row r="93" spans="2:35" x14ac:dyDescent="0.25">
      <c r="B93" s="239"/>
      <c r="C93" s="245"/>
      <c r="D93" s="223"/>
      <c r="E93" s="245"/>
      <c r="P93" s="225"/>
      <c r="AH93" s="224"/>
      <c r="AI93" s="224"/>
    </row>
    <row r="94" spans="2:35" x14ac:dyDescent="0.25">
      <c r="B94" s="239"/>
      <c r="C94" s="245"/>
      <c r="D94" s="223"/>
      <c r="E94" s="245"/>
      <c r="P94" s="225"/>
      <c r="AH94" s="224"/>
      <c r="AI94" s="224"/>
    </row>
    <row r="95" spans="2:35" x14ac:dyDescent="0.25">
      <c r="B95" s="239"/>
      <c r="C95" s="245"/>
      <c r="D95" s="223"/>
      <c r="E95" s="245"/>
      <c r="P95" s="225"/>
      <c r="AH95" s="224"/>
      <c r="AI95" s="224"/>
    </row>
    <row r="96" spans="2:35" x14ac:dyDescent="0.25">
      <c r="B96" s="239"/>
      <c r="C96" s="245"/>
      <c r="D96" s="223"/>
      <c r="E96" s="245"/>
      <c r="P96" s="225"/>
      <c r="AH96" s="224"/>
      <c r="AI96" s="224"/>
    </row>
    <row r="97" spans="2:35" x14ac:dyDescent="0.25">
      <c r="B97" s="239"/>
      <c r="C97" s="245"/>
      <c r="D97" s="223"/>
      <c r="E97" s="245"/>
      <c r="P97" s="225"/>
      <c r="AH97" s="224"/>
      <c r="AI97" s="224"/>
    </row>
    <row r="98" spans="2:35" x14ac:dyDescent="0.25">
      <c r="B98" s="239"/>
      <c r="C98" s="245"/>
      <c r="D98" s="223"/>
      <c r="E98" s="245"/>
      <c r="P98" s="225"/>
      <c r="AH98" s="224"/>
      <c r="AI98" s="224"/>
    </row>
    <row r="99" spans="2:35" x14ac:dyDescent="0.25">
      <c r="B99" s="239"/>
      <c r="C99" s="245"/>
      <c r="D99" s="223"/>
      <c r="E99" s="245"/>
      <c r="P99" s="225"/>
      <c r="AH99" s="224"/>
      <c r="AI99" s="224"/>
    </row>
    <row r="100" spans="2:35" x14ac:dyDescent="0.25">
      <c r="B100" s="239"/>
      <c r="C100" s="245"/>
      <c r="D100" s="223"/>
      <c r="E100" s="245"/>
      <c r="P100" s="225"/>
      <c r="AH100" s="224"/>
      <c r="AI100" s="224"/>
    </row>
    <row r="101" spans="2:35" x14ac:dyDescent="0.25">
      <c r="B101" s="239"/>
      <c r="C101" s="245"/>
      <c r="D101" s="223"/>
      <c r="E101" s="245"/>
      <c r="P101" s="225"/>
      <c r="AH101" s="224"/>
      <c r="AI101" s="224"/>
    </row>
    <row r="102" spans="2:35" x14ac:dyDescent="0.25">
      <c r="B102" s="239"/>
      <c r="C102" s="245"/>
      <c r="D102" s="223"/>
      <c r="E102" s="245"/>
      <c r="P102" s="225"/>
      <c r="AH102" s="224"/>
      <c r="AI102" s="224"/>
    </row>
    <row r="103" spans="2:35" x14ac:dyDescent="0.25">
      <c r="B103" s="239"/>
      <c r="C103" s="245"/>
      <c r="D103" s="223"/>
      <c r="E103" s="245"/>
      <c r="P103" s="225"/>
      <c r="AH103" s="224"/>
      <c r="AI103" s="224"/>
    </row>
    <row r="104" spans="2:35" x14ac:dyDescent="0.25">
      <c r="B104" s="239"/>
      <c r="C104" s="245"/>
      <c r="D104" s="223"/>
      <c r="E104" s="245"/>
      <c r="P104" s="225"/>
      <c r="AH104" s="224"/>
      <c r="AI104" s="224"/>
    </row>
    <row r="105" spans="2:35" x14ac:dyDescent="0.25">
      <c r="B105" s="239"/>
      <c r="C105" s="245"/>
      <c r="D105" s="223"/>
      <c r="E105" s="245"/>
      <c r="P105" s="225"/>
      <c r="AH105" s="224"/>
      <c r="AI105" s="224"/>
    </row>
    <row r="106" spans="2:35" x14ac:dyDescent="0.25">
      <c r="B106" s="239"/>
      <c r="C106" s="245"/>
      <c r="D106" s="223"/>
      <c r="E106" s="245"/>
      <c r="P106" s="225"/>
      <c r="AH106" s="224"/>
      <c r="AI106" s="224"/>
    </row>
    <row r="107" spans="2:35" x14ac:dyDescent="0.25">
      <c r="B107" s="239"/>
      <c r="C107" s="245"/>
      <c r="D107" s="223"/>
      <c r="E107" s="245"/>
      <c r="P107" s="225"/>
      <c r="AH107" s="224"/>
      <c r="AI107" s="224"/>
    </row>
    <row r="108" spans="2:35" x14ac:dyDescent="0.25">
      <c r="B108" s="239"/>
      <c r="C108" s="245"/>
      <c r="D108" s="223"/>
      <c r="E108" s="245"/>
      <c r="P108" s="225"/>
      <c r="AH108" s="224"/>
      <c r="AI108" s="224"/>
    </row>
    <row r="109" spans="2:35" x14ac:dyDescent="0.25">
      <c r="B109" s="239"/>
      <c r="C109" s="245"/>
      <c r="D109" s="223"/>
      <c r="E109" s="245"/>
      <c r="P109" s="225"/>
      <c r="AH109" s="224"/>
      <c r="AI109" s="224"/>
    </row>
    <row r="110" spans="2:35" x14ac:dyDescent="0.25">
      <c r="B110" s="239"/>
      <c r="C110" s="245"/>
      <c r="D110" s="223"/>
      <c r="E110" s="245"/>
      <c r="P110" s="225"/>
      <c r="AH110" s="224"/>
      <c r="AI110" s="224"/>
    </row>
    <row r="111" spans="2:35" x14ac:dyDescent="0.25">
      <c r="B111" s="239"/>
      <c r="C111" s="245"/>
      <c r="D111" s="223"/>
      <c r="E111" s="245"/>
      <c r="P111" s="225"/>
      <c r="AH111" s="224"/>
      <c r="AI111" s="224"/>
    </row>
    <row r="112" spans="2:35" x14ac:dyDescent="0.25">
      <c r="B112" s="239"/>
      <c r="C112" s="245"/>
      <c r="D112" s="223"/>
      <c r="E112" s="245"/>
      <c r="P112" s="225"/>
      <c r="AH112" s="224"/>
      <c r="AI112" s="224"/>
    </row>
    <row r="113" spans="2:35" x14ac:dyDescent="0.25">
      <c r="B113" s="239"/>
      <c r="C113" s="245"/>
      <c r="D113" s="223"/>
      <c r="E113" s="245"/>
      <c r="P113" s="225"/>
      <c r="AH113" s="224"/>
      <c r="AI113" s="224"/>
    </row>
    <row r="114" spans="2:35" x14ac:dyDescent="0.25">
      <c r="B114" s="239"/>
      <c r="C114" s="245"/>
      <c r="D114" s="223"/>
      <c r="E114" s="245"/>
      <c r="P114" s="225"/>
      <c r="AH114" s="224"/>
      <c r="AI114" s="224"/>
    </row>
    <row r="115" spans="2:35" x14ac:dyDescent="0.25">
      <c r="B115" s="239"/>
      <c r="C115" s="245"/>
      <c r="D115" s="223"/>
      <c r="E115" s="245"/>
      <c r="P115" s="225"/>
      <c r="AH115" s="224"/>
      <c r="AI115" s="224"/>
    </row>
    <row r="116" spans="2:35" x14ac:dyDescent="0.25">
      <c r="B116" s="239"/>
      <c r="C116" s="245"/>
      <c r="D116" s="223"/>
      <c r="E116" s="245"/>
      <c r="P116" s="225"/>
      <c r="AH116" s="224"/>
      <c r="AI116" s="224"/>
    </row>
    <row r="117" spans="2:35" x14ac:dyDescent="0.25">
      <c r="B117" s="239"/>
      <c r="C117" s="245"/>
      <c r="D117" s="223"/>
      <c r="E117" s="245"/>
      <c r="P117" s="225"/>
      <c r="AH117" s="224"/>
      <c r="AI117" s="224"/>
    </row>
    <row r="118" spans="2:35" x14ac:dyDescent="0.25">
      <c r="B118" s="239"/>
      <c r="C118" s="245"/>
      <c r="D118" s="223"/>
      <c r="E118" s="245"/>
      <c r="P118" s="225"/>
      <c r="AH118" s="224"/>
      <c r="AI118" s="224"/>
    </row>
    <row r="119" spans="2:35" x14ac:dyDescent="0.25">
      <c r="B119" s="239"/>
      <c r="C119" s="245"/>
      <c r="D119" s="223"/>
      <c r="E119" s="245"/>
      <c r="P119" s="225"/>
      <c r="AH119" s="224"/>
      <c r="AI119" s="224"/>
    </row>
    <row r="120" spans="2:35" x14ac:dyDescent="0.25">
      <c r="B120" s="239"/>
      <c r="C120" s="245"/>
      <c r="D120" s="223"/>
      <c r="E120" s="245"/>
      <c r="P120" s="225"/>
      <c r="AH120" s="224"/>
      <c r="AI120" s="224"/>
    </row>
    <row r="121" spans="2:35" x14ac:dyDescent="0.25">
      <c r="B121" s="239"/>
      <c r="C121" s="245"/>
      <c r="D121" s="223"/>
      <c r="E121" s="245"/>
      <c r="P121" s="225"/>
      <c r="AH121" s="224"/>
      <c r="AI121" s="224"/>
    </row>
    <row r="122" spans="2:35" x14ac:dyDescent="0.25">
      <c r="B122" s="239"/>
      <c r="C122" s="245"/>
      <c r="D122" s="223"/>
      <c r="E122" s="245"/>
      <c r="P122" s="225"/>
      <c r="AH122" s="224"/>
      <c r="AI122" s="224"/>
    </row>
    <row r="123" spans="2:35" x14ac:dyDescent="0.25">
      <c r="B123" s="239"/>
      <c r="C123" s="245"/>
      <c r="D123" s="223"/>
      <c r="E123" s="245"/>
      <c r="P123" s="225"/>
      <c r="AH123" s="224"/>
      <c r="AI123" s="224"/>
    </row>
    <row r="124" spans="2:35" x14ac:dyDescent="0.25">
      <c r="B124" s="239"/>
      <c r="C124" s="245"/>
      <c r="D124" s="223"/>
      <c r="E124" s="245"/>
      <c r="P124" s="225"/>
      <c r="AH124" s="224"/>
      <c r="AI124" s="224"/>
    </row>
    <row r="125" spans="2:35" x14ac:dyDescent="0.25">
      <c r="B125" s="239"/>
      <c r="C125" s="245"/>
      <c r="D125" s="223"/>
      <c r="E125" s="245"/>
      <c r="P125" s="225"/>
      <c r="AH125" s="224"/>
      <c r="AI125" s="224"/>
    </row>
    <row r="126" spans="2:35" x14ac:dyDescent="0.25">
      <c r="B126" s="239"/>
      <c r="C126" s="245"/>
      <c r="D126" s="223"/>
      <c r="E126" s="245"/>
      <c r="P126" s="225"/>
      <c r="AH126" s="224"/>
      <c r="AI126" s="224"/>
    </row>
    <row r="127" spans="2:35" x14ac:dyDescent="0.25">
      <c r="B127" s="239"/>
      <c r="C127" s="245"/>
      <c r="D127" s="223"/>
      <c r="E127" s="245"/>
      <c r="P127" s="225"/>
      <c r="AH127" s="224"/>
      <c r="AI127" s="224"/>
    </row>
    <row r="128" spans="2:35" x14ac:dyDescent="0.25">
      <c r="B128" s="239"/>
      <c r="C128" s="245"/>
      <c r="D128" s="223"/>
      <c r="E128" s="245"/>
      <c r="P128" s="225"/>
      <c r="AH128" s="224"/>
      <c r="AI128" s="224"/>
    </row>
    <row r="129" spans="2:35" x14ac:dyDescent="0.25">
      <c r="B129" s="239"/>
      <c r="C129" s="245"/>
      <c r="D129" s="223"/>
      <c r="E129" s="245"/>
      <c r="P129" s="225"/>
      <c r="AH129" s="224"/>
      <c r="AI129" s="224"/>
    </row>
    <row r="130" spans="2:35" x14ac:dyDescent="0.25">
      <c r="B130" s="239"/>
      <c r="C130" s="245"/>
      <c r="D130" s="223"/>
      <c r="E130" s="245"/>
      <c r="P130" s="225"/>
      <c r="AH130" s="224"/>
      <c r="AI130" s="224"/>
    </row>
    <row r="131" spans="2:35" x14ac:dyDescent="0.25">
      <c r="B131" s="239"/>
      <c r="C131" s="245"/>
      <c r="D131" s="223"/>
      <c r="E131" s="245"/>
      <c r="P131" s="225"/>
      <c r="AH131" s="224"/>
      <c r="AI131" s="224"/>
    </row>
    <row r="132" spans="2:35" x14ac:dyDescent="0.25">
      <c r="B132" s="239"/>
      <c r="C132" s="245"/>
      <c r="D132" s="223"/>
      <c r="E132" s="245"/>
      <c r="P132" s="225"/>
      <c r="AH132" s="224"/>
      <c r="AI132" s="224"/>
    </row>
    <row r="133" spans="2:35" x14ac:dyDescent="0.25">
      <c r="B133" s="239"/>
      <c r="C133" s="245"/>
      <c r="D133" s="223"/>
      <c r="E133" s="245"/>
      <c r="P133" s="225"/>
      <c r="AH133" s="224"/>
      <c r="AI133" s="224"/>
    </row>
    <row r="134" spans="2:35" x14ac:dyDescent="0.25">
      <c r="B134" s="239"/>
      <c r="C134" s="245"/>
      <c r="D134" s="223"/>
      <c r="E134" s="245"/>
      <c r="P134" s="225"/>
      <c r="AH134" s="224"/>
      <c r="AI134" s="224"/>
    </row>
    <row r="135" spans="2:35" x14ac:dyDescent="0.25">
      <c r="B135" s="239"/>
      <c r="C135" s="245"/>
      <c r="D135" s="223"/>
      <c r="E135" s="245"/>
      <c r="P135" s="225"/>
      <c r="AH135" s="224"/>
      <c r="AI135" s="224"/>
    </row>
    <row r="136" spans="2:35" x14ac:dyDescent="0.25">
      <c r="B136" s="239"/>
      <c r="C136" s="245"/>
      <c r="D136" s="223"/>
      <c r="E136" s="245"/>
      <c r="P136" s="225"/>
      <c r="AH136" s="224"/>
      <c r="AI136" s="224"/>
    </row>
    <row r="137" spans="2:35" x14ac:dyDescent="0.25">
      <c r="B137" s="239"/>
      <c r="C137" s="245"/>
      <c r="D137" s="223"/>
      <c r="E137" s="245"/>
      <c r="P137" s="225"/>
      <c r="AH137" s="224"/>
      <c r="AI137" s="224"/>
    </row>
    <row r="138" spans="2:35" x14ac:dyDescent="0.25">
      <c r="B138" s="239"/>
      <c r="C138" s="245"/>
      <c r="D138" s="223"/>
      <c r="E138" s="245"/>
      <c r="P138" s="225"/>
      <c r="AH138" s="224"/>
      <c r="AI138" s="224"/>
    </row>
    <row r="139" spans="2:35" x14ac:dyDescent="0.25">
      <c r="B139" s="239"/>
      <c r="C139" s="245"/>
      <c r="D139" s="223"/>
      <c r="E139" s="245"/>
      <c r="P139" s="225"/>
      <c r="AH139" s="224"/>
      <c r="AI139" s="224"/>
    </row>
    <row r="140" spans="2:35" x14ac:dyDescent="0.25">
      <c r="B140" s="239"/>
      <c r="C140" s="245"/>
      <c r="D140" s="223"/>
      <c r="E140" s="245"/>
      <c r="P140" s="225"/>
      <c r="AH140" s="224"/>
      <c r="AI140" s="224"/>
    </row>
    <row r="141" spans="2:35" x14ac:dyDescent="0.25">
      <c r="B141" s="239"/>
      <c r="C141" s="245"/>
      <c r="D141" s="223"/>
      <c r="E141" s="245"/>
      <c r="P141" s="225"/>
      <c r="AH141" s="224"/>
      <c r="AI141" s="224"/>
    </row>
    <row r="142" spans="2:35" x14ac:dyDescent="0.25">
      <c r="B142" s="239"/>
      <c r="C142" s="245"/>
      <c r="D142" s="223"/>
      <c r="E142" s="245"/>
      <c r="P142" s="225"/>
      <c r="AH142" s="224"/>
      <c r="AI142" s="224"/>
    </row>
    <row r="143" spans="2:35" x14ac:dyDescent="0.25">
      <c r="B143" s="239"/>
      <c r="C143" s="245"/>
      <c r="D143" s="223"/>
      <c r="E143" s="245"/>
      <c r="P143" s="225"/>
      <c r="AH143" s="224"/>
      <c r="AI143" s="224"/>
    </row>
    <row r="144" spans="2:35" x14ac:dyDescent="0.25">
      <c r="B144" s="239"/>
      <c r="C144" s="245"/>
      <c r="D144" s="223"/>
      <c r="E144" s="245"/>
      <c r="P144" s="225"/>
      <c r="AH144" s="224"/>
      <c r="AI144" s="224"/>
    </row>
    <row r="145" spans="2:35" x14ac:dyDescent="0.25">
      <c r="B145" s="239"/>
      <c r="C145" s="245"/>
      <c r="D145" s="223"/>
      <c r="E145" s="245"/>
      <c r="P145" s="225"/>
      <c r="AH145" s="224"/>
      <c r="AI145" s="224"/>
    </row>
    <row r="146" spans="2:35" x14ac:dyDescent="0.25">
      <c r="B146" s="239"/>
      <c r="C146" s="245"/>
      <c r="D146" s="223"/>
      <c r="E146" s="245"/>
      <c r="P146" s="225"/>
      <c r="AH146" s="224"/>
      <c r="AI146" s="224"/>
    </row>
    <row r="147" spans="2:35" x14ac:dyDescent="0.25">
      <c r="B147" s="239"/>
      <c r="C147" s="245"/>
      <c r="D147" s="223"/>
      <c r="E147" s="245"/>
      <c r="P147" s="225"/>
      <c r="AH147" s="224"/>
      <c r="AI147" s="224"/>
    </row>
    <row r="148" spans="2:35" x14ac:dyDescent="0.25">
      <c r="B148" s="239"/>
      <c r="C148" s="245"/>
      <c r="D148" s="223"/>
      <c r="E148" s="245"/>
      <c r="P148" s="225"/>
      <c r="AH148" s="224"/>
      <c r="AI148" s="224"/>
    </row>
    <row r="149" spans="2:35" x14ac:dyDescent="0.25">
      <c r="B149" s="239"/>
      <c r="C149" s="245"/>
      <c r="D149" s="223"/>
      <c r="E149" s="245"/>
      <c r="P149" s="225"/>
      <c r="AH149" s="224"/>
      <c r="AI149" s="224"/>
    </row>
    <row r="150" spans="2:35" x14ac:dyDescent="0.25">
      <c r="B150" s="239"/>
      <c r="C150" s="245"/>
      <c r="D150" s="223"/>
      <c r="E150" s="245"/>
      <c r="P150" s="225"/>
      <c r="AH150" s="224"/>
      <c r="AI150" s="224"/>
    </row>
    <row r="151" spans="2:35" x14ac:dyDescent="0.25">
      <c r="B151" s="239"/>
      <c r="C151" s="245"/>
      <c r="D151" s="223"/>
      <c r="E151" s="245"/>
      <c r="P151" s="225"/>
      <c r="AH151" s="224"/>
      <c r="AI151" s="224"/>
    </row>
    <row r="152" spans="2:35" x14ac:dyDescent="0.25">
      <c r="B152" s="239"/>
      <c r="C152" s="245"/>
      <c r="D152" s="223"/>
      <c r="E152" s="245"/>
      <c r="P152" s="225"/>
      <c r="AH152" s="224"/>
      <c r="AI152" s="224"/>
    </row>
    <row r="153" spans="2:35" x14ac:dyDescent="0.25">
      <c r="B153" s="239"/>
      <c r="C153" s="245"/>
      <c r="D153" s="223"/>
      <c r="E153" s="245"/>
      <c r="P153" s="225"/>
      <c r="AH153" s="224"/>
      <c r="AI153" s="224"/>
    </row>
    <row r="154" spans="2:35" x14ac:dyDescent="0.25">
      <c r="B154" s="239"/>
      <c r="C154" s="245"/>
      <c r="D154" s="223"/>
      <c r="E154" s="245"/>
      <c r="P154" s="225"/>
      <c r="AH154" s="224"/>
      <c r="AI154" s="224"/>
    </row>
    <row r="155" spans="2:35" x14ac:dyDescent="0.25">
      <c r="B155" s="239"/>
      <c r="C155" s="245"/>
      <c r="D155" s="223"/>
      <c r="E155" s="245"/>
      <c r="P155" s="225"/>
      <c r="AH155" s="224"/>
      <c r="AI155" s="224"/>
    </row>
    <row r="156" spans="2:35" x14ac:dyDescent="0.25">
      <c r="B156" s="239"/>
      <c r="C156" s="245"/>
      <c r="D156" s="223"/>
      <c r="E156" s="245"/>
      <c r="P156" s="225"/>
      <c r="AH156" s="224"/>
      <c r="AI156" s="224"/>
    </row>
    <row r="157" spans="2:35" x14ac:dyDescent="0.25">
      <c r="B157" s="239"/>
      <c r="C157" s="245"/>
      <c r="D157" s="223"/>
      <c r="E157" s="245"/>
      <c r="P157" s="225"/>
      <c r="AH157" s="224"/>
      <c r="AI157" s="224"/>
    </row>
    <row r="158" spans="2:35" x14ac:dyDescent="0.25">
      <c r="B158" s="239"/>
      <c r="C158" s="245"/>
      <c r="D158" s="223"/>
      <c r="E158" s="245"/>
      <c r="P158" s="225"/>
      <c r="AH158" s="224"/>
      <c r="AI158" s="224"/>
    </row>
    <row r="159" spans="2:35" x14ac:dyDescent="0.25">
      <c r="B159" s="239"/>
      <c r="C159" s="245"/>
      <c r="D159" s="223"/>
      <c r="E159" s="245"/>
      <c r="P159" s="225"/>
      <c r="AH159" s="224"/>
      <c r="AI159" s="224"/>
    </row>
    <row r="160" spans="2:35" x14ac:dyDescent="0.25">
      <c r="B160" s="239"/>
      <c r="C160" s="245"/>
      <c r="D160" s="223"/>
      <c r="E160" s="245"/>
      <c r="P160" s="225"/>
      <c r="AH160" s="224"/>
      <c r="AI160" s="224"/>
    </row>
    <row r="161" spans="2:35" x14ac:dyDescent="0.25">
      <c r="B161" s="239"/>
      <c r="C161" s="245"/>
      <c r="D161" s="223"/>
      <c r="E161" s="245"/>
      <c r="P161" s="225"/>
      <c r="AH161" s="224"/>
      <c r="AI161" s="224"/>
    </row>
    <row r="162" spans="2:35" x14ac:dyDescent="0.25">
      <c r="B162" s="239"/>
      <c r="C162" s="245"/>
      <c r="D162" s="223"/>
      <c r="E162" s="245"/>
      <c r="P162" s="225"/>
      <c r="AH162" s="224"/>
      <c r="AI162" s="224"/>
    </row>
    <row r="163" spans="2:35" x14ac:dyDescent="0.25">
      <c r="B163" s="239"/>
      <c r="C163" s="245"/>
      <c r="D163" s="223"/>
      <c r="E163" s="245"/>
      <c r="P163" s="225"/>
      <c r="AH163" s="224"/>
      <c r="AI163" s="224"/>
    </row>
    <row r="164" spans="2:35" x14ac:dyDescent="0.25">
      <c r="B164" s="239"/>
      <c r="C164" s="245"/>
      <c r="D164" s="223"/>
      <c r="E164" s="245"/>
      <c r="P164" s="225"/>
      <c r="AH164" s="224"/>
      <c r="AI164" s="224"/>
    </row>
    <row r="165" spans="2:35" x14ac:dyDescent="0.25">
      <c r="B165" s="239"/>
      <c r="C165" s="245"/>
      <c r="D165" s="223"/>
      <c r="E165" s="245"/>
      <c r="P165" s="225"/>
      <c r="AH165" s="224"/>
      <c r="AI165" s="224"/>
    </row>
    <row r="166" spans="2:35" x14ac:dyDescent="0.25">
      <c r="B166" s="239"/>
      <c r="C166" s="245"/>
      <c r="D166" s="223"/>
      <c r="E166" s="245"/>
      <c r="P166" s="225"/>
      <c r="AH166" s="224"/>
      <c r="AI166" s="224"/>
    </row>
    <row r="167" spans="2:35" x14ac:dyDescent="0.25">
      <c r="B167" s="239"/>
      <c r="C167" s="245"/>
      <c r="D167" s="223"/>
      <c r="E167" s="245"/>
      <c r="P167" s="225"/>
      <c r="AH167" s="224"/>
      <c r="AI167" s="224"/>
    </row>
    <row r="168" spans="2:35" x14ac:dyDescent="0.25">
      <c r="B168" s="239"/>
      <c r="C168" s="245"/>
      <c r="D168" s="223"/>
      <c r="E168" s="245"/>
      <c r="P168" s="225"/>
      <c r="AH168" s="224"/>
      <c r="AI168" s="224"/>
    </row>
    <row r="169" spans="2:35" x14ac:dyDescent="0.25">
      <c r="B169" s="239"/>
      <c r="C169" s="245"/>
      <c r="D169" s="223"/>
      <c r="E169" s="245"/>
      <c r="P169" s="225"/>
      <c r="AH169" s="224"/>
      <c r="AI169" s="224"/>
    </row>
    <row r="170" spans="2:35" x14ac:dyDescent="0.25">
      <c r="B170" s="239"/>
      <c r="C170" s="245"/>
      <c r="D170" s="223"/>
      <c r="E170" s="245"/>
      <c r="P170" s="225"/>
      <c r="AH170" s="224"/>
      <c r="AI170" s="224"/>
    </row>
    <row r="171" spans="2:35" x14ac:dyDescent="0.25">
      <c r="B171" s="239"/>
      <c r="C171" s="245"/>
      <c r="D171" s="223"/>
      <c r="E171" s="245"/>
      <c r="P171" s="225"/>
      <c r="AH171" s="224"/>
      <c r="AI171" s="224"/>
    </row>
    <row r="172" spans="2:35" x14ac:dyDescent="0.25">
      <c r="B172" s="239"/>
      <c r="C172" s="245"/>
      <c r="D172" s="223"/>
      <c r="E172" s="245"/>
      <c r="P172" s="225"/>
      <c r="AH172" s="224"/>
      <c r="AI172" s="224"/>
    </row>
    <row r="173" spans="2:35" x14ac:dyDescent="0.25">
      <c r="B173" s="239"/>
      <c r="C173" s="245"/>
      <c r="D173" s="223"/>
      <c r="E173" s="245"/>
      <c r="P173" s="225"/>
      <c r="AH173" s="224"/>
      <c r="AI173" s="224"/>
    </row>
    <row r="174" spans="2:35" x14ac:dyDescent="0.25">
      <c r="B174" s="239"/>
      <c r="C174" s="245"/>
      <c r="D174" s="223"/>
      <c r="E174" s="245"/>
      <c r="P174" s="225"/>
      <c r="AH174" s="224"/>
      <c r="AI174" s="224"/>
    </row>
    <row r="175" spans="2:35" x14ac:dyDescent="0.25">
      <c r="B175" s="239"/>
      <c r="C175" s="245"/>
      <c r="D175" s="223"/>
      <c r="E175" s="245"/>
      <c r="P175" s="225"/>
      <c r="AH175" s="224"/>
      <c r="AI175" s="224"/>
    </row>
    <row r="176" spans="2:35" x14ac:dyDescent="0.25">
      <c r="B176" s="239"/>
      <c r="C176" s="245"/>
      <c r="D176" s="223"/>
      <c r="E176" s="245"/>
      <c r="P176" s="225"/>
      <c r="AH176" s="224"/>
      <c r="AI176" s="224"/>
    </row>
    <row r="177" spans="2:35" x14ac:dyDescent="0.25">
      <c r="B177" s="239"/>
      <c r="C177" s="245"/>
      <c r="D177" s="223"/>
      <c r="E177" s="245"/>
      <c r="P177" s="225"/>
      <c r="AH177" s="224"/>
      <c r="AI177" s="224"/>
    </row>
    <row r="178" spans="2:35" x14ac:dyDescent="0.25">
      <c r="B178" s="239"/>
      <c r="C178" s="245"/>
      <c r="D178" s="223"/>
      <c r="E178" s="245"/>
      <c r="P178" s="225"/>
      <c r="AH178" s="224"/>
      <c r="AI178" s="224"/>
    </row>
    <row r="179" spans="2:35" x14ac:dyDescent="0.25">
      <c r="B179" s="239"/>
      <c r="C179" s="245"/>
      <c r="D179" s="223"/>
      <c r="E179" s="245"/>
      <c r="P179" s="225"/>
      <c r="AH179" s="224"/>
      <c r="AI179" s="224"/>
    </row>
    <row r="180" spans="2:35" x14ac:dyDescent="0.25">
      <c r="B180" s="239"/>
      <c r="C180" s="245"/>
      <c r="D180" s="223"/>
      <c r="E180" s="245"/>
      <c r="P180" s="225"/>
      <c r="AH180" s="224"/>
      <c r="AI180" s="224"/>
    </row>
    <row r="181" spans="2:35" x14ac:dyDescent="0.25">
      <c r="B181" s="239"/>
      <c r="C181" s="245"/>
      <c r="D181" s="223"/>
      <c r="E181" s="245"/>
      <c r="P181" s="225"/>
      <c r="AH181" s="224"/>
      <c r="AI181" s="224"/>
    </row>
    <row r="182" spans="2:35" x14ac:dyDescent="0.25">
      <c r="B182" s="239"/>
      <c r="C182" s="245"/>
      <c r="D182" s="223"/>
      <c r="E182" s="245"/>
      <c r="P182" s="225"/>
      <c r="AH182" s="224"/>
      <c r="AI182" s="224"/>
    </row>
    <row r="183" spans="2:35" x14ac:dyDescent="0.25">
      <c r="B183" s="239"/>
      <c r="C183" s="245"/>
      <c r="D183" s="223"/>
      <c r="E183" s="245"/>
      <c r="P183" s="225"/>
      <c r="AH183" s="224"/>
      <c r="AI183" s="224"/>
    </row>
    <row r="184" spans="2:35" x14ac:dyDescent="0.25">
      <c r="B184" s="239"/>
      <c r="C184" s="245"/>
      <c r="D184" s="223"/>
      <c r="E184" s="245"/>
      <c r="P184" s="225"/>
      <c r="AH184" s="224"/>
      <c r="AI184" s="224"/>
    </row>
    <row r="185" spans="2:35" x14ac:dyDescent="0.25">
      <c r="B185" s="239"/>
      <c r="C185" s="245"/>
      <c r="D185" s="223"/>
      <c r="E185" s="245"/>
      <c r="P185" s="225"/>
      <c r="AH185" s="224"/>
      <c r="AI185" s="224"/>
    </row>
    <row r="186" spans="2:35" x14ac:dyDescent="0.25">
      <c r="B186" s="239"/>
      <c r="C186" s="245"/>
      <c r="D186" s="223"/>
      <c r="E186" s="245"/>
      <c r="P186" s="225"/>
      <c r="AH186" s="224"/>
      <c r="AI186" s="224"/>
    </row>
    <row r="187" spans="2:35" x14ac:dyDescent="0.25">
      <c r="B187" s="239"/>
      <c r="C187" s="245"/>
      <c r="D187" s="223"/>
      <c r="E187" s="245"/>
      <c r="P187" s="225"/>
      <c r="AH187" s="224"/>
      <c r="AI187" s="224"/>
    </row>
    <row r="188" spans="2:35" x14ac:dyDescent="0.25">
      <c r="B188" s="239"/>
      <c r="C188" s="245"/>
      <c r="D188" s="223"/>
      <c r="E188" s="245"/>
      <c r="P188" s="225"/>
      <c r="AH188" s="224"/>
      <c r="AI188" s="224"/>
    </row>
    <row r="189" spans="2:35" x14ac:dyDescent="0.25">
      <c r="B189" s="239"/>
      <c r="C189" s="245"/>
      <c r="D189" s="223"/>
      <c r="E189" s="245"/>
      <c r="P189" s="225"/>
      <c r="AH189" s="224"/>
      <c r="AI189" s="224"/>
    </row>
    <row r="190" spans="2:35" x14ac:dyDescent="0.25">
      <c r="B190" s="239"/>
      <c r="C190" s="245"/>
      <c r="D190" s="223"/>
      <c r="E190" s="245"/>
      <c r="P190" s="225"/>
      <c r="AH190" s="224"/>
      <c r="AI190" s="224"/>
    </row>
    <row r="191" spans="2:35" x14ac:dyDescent="0.25">
      <c r="B191" s="239"/>
      <c r="C191" s="245"/>
      <c r="D191" s="223"/>
      <c r="E191" s="245"/>
      <c r="P191" s="225"/>
      <c r="AH191" s="224"/>
      <c r="AI191" s="224"/>
    </row>
    <row r="192" spans="2:35" x14ac:dyDescent="0.25">
      <c r="B192" s="239"/>
      <c r="C192" s="245"/>
      <c r="D192" s="223"/>
      <c r="E192" s="245"/>
      <c r="P192" s="225"/>
      <c r="AH192" s="224"/>
      <c r="AI192" s="224"/>
    </row>
    <row r="193" spans="2:35" x14ac:dyDescent="0.25">
      <c r="B193" s="239"/>
      <c r="C193" s="245"/>
      <c r="D193" s="223"/>
      <c r="E193" s="245"/>
      <c r="P193" s="225"/>
      <c r="AH193" s="224"/>
      <c r="AI193" s="224"/>
    </row>
    <row r="194" spans="2:35" x14ac:dyDescent="0.25">
      <c r="B194" s="239"/>
      <c r="C194" s="245"/>
      <c r="D194" s="223"/>
      <c r="E194" s="245"/>
      <c r="P194" s="225"/>
      <c r="AH194" s="224"/>
      <c r="AI194" s="224"/>
    </row>
    <row r="195" spans="2:35" x14ac:dyDescent="0.25">
      <c r="B195" s="239"/>
      <c r="C195" s="245"/>
      <c r="D195" s="223"/>
      <c r="E195" s="245"/>
      <c r="P195" s="225"/>
      <c r="AH195" s="224"/>
      <c r="AI195" s="224"/>
    </row>
    <row r="196" spans="2:35" x14ac:dyDescent="0.25">
      <c r="B196" s="239"/>
      <c r="C196" s="245"/>
      <c r="D196" s="223"/>
      <c r="E196" s="245"/>
      <c r="P196" s="225"/>
      <c r="AH196" s="224"/>
      <c r="AI196" s="224"/>
    </row>
    <row r="197" spans="2:35" x14ac:dyDescent="0.25">
      <c r="B197" s="239"/>
      <c r="C197" s="245"/>
      <c r="D197" s="223"/>
      <c r="E197" s="245"/>
      <c r="P197" s="225"/>
      <c r="AH197" s="224"/>
      <c r="AI197" s="224"/>
    </row>
    <row r="198" spans="2:35" x14ac:dyDescent="0.25">
      <c r="B198" s="239"/>
      <c r="C198" s="245"/>
      <c r="D198" s="223"/>
      <c r="E198" s="245"/>
      <c r="P198" s="225"/>
      <c r="AH198" s="224"/>
      <c r="AI198" s="224"/>
    </row>
    <row r="199" spans="2:35" x14ac:dyDescent="0.25">
      <c r="B199" s="239"/>
      <c r="C199" s="245"/>
      <c r="D199" s="223"/>
      <c r="E199" s="245"/>
      <c r="P199" s="225"/>
      <c r="AH199" s="224"/>
      <c r="AI199" s="224"/>
    </row>
    <row r="200" spans="2:35" x14ac:dyDescent="0.25">
      <c r="B200" s="239"/>
      <c r="C200" s="245"/>
      <c r="D200" s="223"/>
      <c r="E200" s="245"/>
      <c r="P200" s="225"/>
      <c r="AH200" s="224"/>
      <c r="AI200" s="224"/>
    </row>
    <row r="201" spans="2:35" x14ac:dyDescent="0.25">
      <c r="B201" s="239"/>
      <c r="C201" s="245"/>
      <c r="D201" s="223"/>
      <c r="E201" s="245"/>
      <c r="P201" s="225"/>
      <c r="AH201" s="224"/>
      <c r="AI201" s="224"/>
    </row>
    <row r="202" spans="2:35" x14ac:dyDescent="0.25">
      <c r="B202" s="239"/>
      <c r="C202" s="245"/>
      <c r="D202" s="223"/>
      <c r="E202" s="245"/>
      <c r="P202" s="225"/>
      <c r="AH202" s="224"/>
      <c r="AI202" s="224"/>
    </row>
    <row r="203" spans="2:35" x14ac:dyDescent="0.25">
      <c r="B203" s="239"/>
      <c r="C203" s="245"/>
      <c r="D203" s="223"/>
      <c r="E203" s="245"/>
      <c r="P203" s="225"/>
      <c r="AH203" s="224"/>
      <c r="AI203" s="224"/>
    </row>
    <row r="204" spans="2:35" x14ac:dyDescent="0.25">
      <c r="B204" s="239"/>
      <c r="C204" s="245"/>
      <c r="D204" s="223"/>
      <c r="E204" s="245"/>
      <c r="P204" s="225"/>
      <c r="AH204" s="224"/>
      <c r="AI204" s="224"/>
    </row>
    <row r="205" spans="2:35" x14ac:dyDescent="0.25">
      <c r="B205" s="239"/>
      <c r="C205" s="245"/>
      <c r="D205" s="223"/>
      <c r="E205" s="245"/>
      <c r="P205" s="225"/>
      <c r="AH205" s="224"/>
      <c r="AI205" s="224"/>
    </row>
    <row r="206" spans="2:35" x14ac:dyDescent="0.25">
      <c r="B206" s="239"/>
      <c r="C206" s="245"/>
      <c r="D206" s="223"/>
      <c r="E206" s="245"/>
      <c r="P206" s="225"/>
      <c r="AH206" s="224"/>
      <c r="AI206" s="224"/>
    </row>
    <row r="207" spans="2:35" x14ac:dyDescent="0.25">
      <c r="B207" s="239"/>
      <c r="C207" s="245"/>
      <c r="D207" s="223"/>
      <c r="E207" s="245"/>
      <c r="P207" s="225"/>
      <c r="AH207" s="224"/>
      <c r="AI207" s="224"/>
    </row>
    <row r="208" spans="2:35" x14ac:dyDescent="0.25">
      <c r="B208" s="239"/>
      <c r="C208" s="245"/>
      <c r="D208" s="223"/>
      <c r="E208" s="245"/>
      <c r="P208" s="225"/>
      <c r="AH208" s="224"/>
      <c r="AI208" s="224"/>
    </row>
    <row r="209" spans="2:35" x14ac:dyDescent="0.25">
      <c r="B209" s="239"/>
      <c r="C209" s="245"/>
      <c r="D209" s="223"/>
      <c r="E209" s="245"/>
      <c r="P209" s="225"/>
      <c r="AH209" s="224"/>
      <c r="AI209" s="224"/>
    </row>
    <row r="210" spans="2:35" x14ac:dyDescent="0.25">
      <c r="B210" s="239"/>
      <c r="C210" s="245"/>
      <c r="D210" s="223"/>
      <c r="E210" s="245"/>
      <c r="P210" s="225"/>
      <c r="AH210" s="224"/>
      <c r="AI210" s="224"/>
    </row>
    <row r="211" spans="2:35" x14ac:dyDescent="0.25">
      <c r="B211" s="239"/>
      <c r="C211" s="245"/>
      <c r="D211" s="223"/>
      <c r="E211" s="245"/>
      <c r="P211" s="225"/>
      <c r="AH211" s="224"/>
      <c r="AI211" s="224"/>
    </row>
    <row r="212" spans="2:35" x14ac:dyDescent="0.25">
      <c r="B212" s="239"/>
      <c r="C212" s="245"/>
      <c r="D212" s="223"/>
      <c r="E212" s="245"/>
      <c r="P212" s="225"/>
      <c r="AH212" s="224"/>
      <c r="AI212" s="224"/>
    </row>
    <row r="213" spans="2:35" x14ac:dyDescent="0.25">
      <c r="B213" s="239"/>
      <c r="C213" s="245"/>
      <c r="D213" s="223"/>
      <c r="E213" s="245"/>
      <c r="P213" s="225"/>
      <c r="AH213" s="224"/>
      <c r="AI213" s="224"/>
    </row>
    <row r="214" spans="2:35" x14ac:dyDescent="0.25">
      <c r="B214" s="239"/>
      <c r="C214" s="245"/>
      <c r="D214" s="223"/>
      <c r="E214" s="245"/>
      <c r="P214" s="225"/>
      <c r="AH214" s="224"/>
      <c r="AI214" s="224"/>
    </row>
    <row r="215" spans="2:35" x14ac:dyDescent="0.25">
      <c r="B215" s="239"/>
      <c r="C215" s="245"/>
      <c r="D215" s="223"/>
      <c r="E215" s="245"/>
      <c r="P215" s="225"/>
      <c r="AH215" s="224"/>
      <c r="AI215" s="224"/>
    </row>
    <row r="216" spans="2:35" x14ac:dyDescent="0.25">
      <c r="B216" s="239"/>
      <c r="C216" s="245"/>
      <c r="D216" s="223"/>
      <c r="E216" s="245"/>
      <c r="P216" s="225"/>
      <c r="AH216" s="224"/>
      <c r="AI216" s="224"/>
    </row>
    <row r="217" spans="2:35" x14ac:dyDescent="0.25">
      <c r="B217" s="239"/>
      <c r="C217" s="245"/>
      <c r="D217" s="223"/>
      <c r="E217" s="245"/>
      <c r="P217" s="225"/>
      <c r="AH217" s="224"/>
      <c r="AI217" s="224"/>
    </row>
    <row r="218" spans="2:35" x14ac:dyDescent="0.25">
      <c r="B218" s="239"/>
      <c r="C218" s="245"/>
      <c r="D218" s="223"/>
      <c r="E218" s="245"/>
      <c r="P218" s="225"/>
      <c r="AH218" s="224"/>
      <c r="AI218" s="224"/>
    </row>
    <row r="219" spans="2:35" x14ac:dyDescent="0.25">
      <c r="B219" s="239"/>
      <c r="C219" s="245"/>
      <c r="D219" s="223"/>
      <c r="E219" s="245"/>
      <c r="P219" s="225"/>
      <c r="AH219" s="224"/>
      <c r="AI219" s="224"/>
    </row>
    <row r="220" spans="2:35" x14ac:dyDescent="0.25">
      <c r="B220" s="239"/>
      <c r="C220" s="245"/>
      <c r="D220" s="223"/>
      <c r="E220" s="245"/>
      <c r="P220" s="225"/>
      <c r="AH220" s="224"/>
      <c r="AI220" s="224"/>
    </row>
    <row r="221" spans="2:35" x14ac:dyDescent="0.25">
      <c r="B221" s="239"/>
      <c r="C221" s="245"/>
      <c r="D221" s="223"/>
      <c r="E221" s="245"/>
      <c r="P221" s="225"/>
      <c r="AH221" s="224"/>
      <c r="AI221" s="224"/>
    </row>
    <row r="222" spans="2:35" x14ac:dyDescent="0.25">
      <c r="B222" s="239"/>
      <c r="C222" s="245"/>
      <c r="D222" s="223"/>
      <c r="E222" s="245"/>
      <c r="P222" s="225"/>
      <c r="AH222" s="224"/>
      <c r="AI222" s="224"/>
    </row>
    <row r="223" spans="2:35" x14ac:dyDescent="0.25">
      <c r="B223" s="239"/>
      <c r="C223" s="245"/>
      <c r="D223" s="223"/>
      <c r="E223" s="245"/>
      <c r="P223" s="225"/>
      <c r="AH223" s="224"/>
      <c r="AI223" s="224"/>
    </row>
    <row r="224" spans="2:35" x14ac:dyDescent="0.25">
      <c r="B224" s="239"/>
      <c r="C224" s="245"/>
      <c r="D224" s="223"/>
      <c r="E224" s="245"/>
      <c r="P224" s="225"/>
      <c r="AH224" s="224"/>
      <c r="AI224" s="224"/>
    </row>
    <row r="225" spans="2:35" x14ac:dyDescent="0.25">
      <c r="B225" s="239"/>
      <c r="C225" s="245"/>
      <c r="D225" s="223"/>
      <c r="E225" s="245"/>
      <c r="P225" s="225"/>
      <c r="AH225" s="224"/>
      <c r="AI225" s="224"/>
    </row>
    <row r="226" spans="2:35" x14ac:dyDescent="0.25">
      <c r="B226" s="239"/>
      <c r="C226" s="245"/>
      <c r="D226" s="223"/>
      <c r="E226" s="245"/>
      <c r="P226" s="225"/>
      <c r="AH226" s="224"/>
      <c r="AI226" s="224"/>
    </row>
    <row r="227" spans="2:35" x14ac:dyDescent="0.25">
      <c r="B227" s="239"/>
      <c r="C227" s="245"/>
      <c r="D227" s="223"/>
      <c r="E227" s="245"/>
      <c r="P227" s="225"/>
      <c r="AH227" s="224"/>
      <c r="AI227" s="224"/>
    </row>
    <row r="228" spans="2:35" x14ac:dyDescent="0.25">
      <c r="B228" s="239"/>
      <c r="C228" s="245"/>
      <c r="D228" s="223"/>
      <c r="E228" s="245"/>
      <c r="P228" s="225"/>
      <c r="AH228" s="224"/>
      <c r="AI228" s="224"/>
    </row>
    <row r="229" spans="2:35" x14ac:dyDescent="0.25">
      <c r="B229" s="239"/>
      <c r="C229" s="245"/>
      <c r="D229" s="223"/>
      <c r="E229" s="245"/>
      <c r="P229" s="225"/>
      <c r="AH229" s="224"/>
      <c r="AI229" s="224"/>
    </row>
    <row r="230" spans="2:35" x14ac:dyDescent="0.25">
      <c r="B230" s="239"/>
      <c r="C230" s="245"/>
      <c r="D230" s="223"/>
      <c r="E230" s="245"/>
      <c r="P230" s="225"/>
      <c r="AH230" s="224"/>
      <c r="AI230" s="224"/>
    </row>
    <row r="231" spans="2:35" x14ac:dyDescent="0.25">
      <c r="B231" s="239"/>
      <c r="C231" s="245"/>
      <c r="D231" s="223"/>
      <c r="E231" s="245"/>
      <c r="P231" s="225"/>
      <c r="AH231" s="224"/>
      <c r="AI231" s="224"/>
    </row>
    <row r="232" spans="2:35" x14ac:dyDescent="0.25">
      <c r="B232" s="239"/>
      <c r="C232" s="245"/>
      <c r="D232" s="223"/>
      <c r="E232" s="245"/>
      <c r="P232" s="225"/>
      <c r="AH232" s="224"/>
      <c r="AI232" s="224"/>
    </row>
    <row r="233" spans="2:35" x14ac:dyDescent="0.25">
      <c r="B233" s="239"/>
      <c r="C233" s="245"/>
      <c r="D233" s="223"/>
      <c r="E233" s="245"/>
      <c r="P233" s="225"/>
      <c r="AH233" s="224"/>
      <c r="AI233" s="224"/>
    </row>
    <row r="234" spans="2:35" x14ac:dyDescent="0.25">
      <c r="B234" s="239"/>
      <c r="C234" s="245"/>
      <c r="D234" s="223"/>
      <c r="E234" s="245"/>
      <c r="P234" s="225"/>
      <c r="AH234" s="224"/>
      <c r="AI234" s="224"/>
    </row>
    <row r="235" spans="2:35" x14ac:dyDescent="0.25">
      <c r="B235" s="239"/>
      <c r="C235" s="245"/>
      <c r="D235" s="223"/>
      <c r="E235" s="245"/>
      <c r="P235" s="225"/>
      <c r="AH235" s="224"/>
      <c r="AI235" s="224"/>
    </row>
    <row r="236" spans="2:35" x14ac:dyDescent="0.25">
      <c r="B236" s="239"/>
      <c r="C236" s="245"/>
      <c r="D236" s="223"/>
      <c r="E236" s="245"/>
      <c r="P236" s="225"/>
      <c r="AH236" s="224"/>
      <c r="AI236" s="224"/>
    </row>
    <row r="237" spans="2:35" x14ac:dyDescent="0.25">
      <c r="B237" s="239"/>
      <c r="C237" s="245"/>
      <c r="D237" s="223"/>
      <c r="E237" s="245"/>
      <c r="P237" s="225"/>
      <c r="AH237" s="224"/>
      <c r="AI237" s="224"/>
    </row>
    <row r="238" spans="2:35" x14ac:dyDescent="0.25">
      <c r="B238" s="239"/>
      <c r="C238" s="245"/>
      <c r="D238" s="223"/>
      <c r="E238" s="245"/>
      <c r="P238" s="225"/>
      <c r="AH238" s="224"/>
      <c r="AI238" s="224"/>
    </row>
    <row r="239" spans="2:35" x14ac:dyDescent="0.25">
      <c r="B239" s="239"/>
      <c r="C239" s="245"/>
      <c r="D239" s="223"/>
      <c r="E239" s="245"/>
      <c r="P239" s="225"/>
      <c r="AH239" s="224"/>
      <c r="AI239" s="224"/>
    </row>
    <row r="240" spans="2:35" x14ac:dyDescent="0.25">
      <c r="B240" s="239"/>
      <c r="C240" s="245"/>
      <c r="D240" s="223"/>
      <c r="E240" s="245"/>
      <c r="P240" s="225"/>
      <c r="AH240" s="224"/>
      <c r="AI240" s="224"/>
    </row>
    <row r="241" spans="2:35" x14ac:dyDescent="0.25">
      <c r="B241" s="239"/>
      <c r="C241" s="245"/>
      <c r="D241" s="223"/>
      <c r="E241" s="245"/>
      <c r="P241" s="225"/>
      <c r="AH241" s="224"/>
      <c r="AI241" s="224"/>
    </row>
    <row r="242" spans="2:35" x14ac:dyDescent="0.25">
      <c r="B242" s="239"/>
      <c r="C242" s="245"/>
      <c r="D242" s="223"/>
      <c r="E242" s="245"/>
      <c r="P242" s="225"/>
      <c r="AH242" s="224"/>
      <c r="AI242" s="224"/>
    </row>
    <row r="243" spans="2:35" x14ac:dyDescent="0.25">
      <c r="B243" s="239"/>
      <c r="C243" s="245"/>
      <c r="D243" s="223"/>
      <c r="E243" s="245"/>
      <c r="P243" s="225"/>
      <c r="AH243" s="224"/>
      <c r="AI243" s="224"/>
    </row>
    <row r="244" spans="2:35" x14ac:dyDescent="0.25">
      <c r="B244" s="239"/>
      <c r="C244" s="245"/>
      <c r="D244" s="223"/>
      <c r="E244" s="245"/>
      <c r="P244" s="225"/>
      <c r="AH244" s="224"/>
      <c r="AI244" s="224"/>
    </row>
    <row r="245" spans="2:35" x14ac:dyDescent="0.25">
      <c r="B245" s="239"/>
      <c r="C245" s="245"/>
      <c r="D245" s="223"/>
      <c r="E245" s="245"/>
      <c r="P245" s="225"/>
      <c r="AH245" s="224"/>
      <c r="AI245" s="224"/>
    </row>
    <row r="246" spans="2:35" x14ac:dyDescent="0.25">
      <c r="B246" s="239"/>
      <c r="C246" s="245"/>
      <c r="D246" s="223"/>
      <c r="E246" s="245"/>
      <c r="P246" s="225"/>
      <c r="AH246" s="224"/>
      <c r="AI246" s="224"/>
    </row>
    <row r="247" spans="2:35" x14ac:dyDescent="0.25">
      <c r="B247" s="239"/>
      <c r="C247" s="245"/>
      <c r="D247" s="223"/>
      <c r="E247" s="245"/>
      <c r="P247" s="225"/>
      <c r="AH247" s="224"/>
      <c r="AI247" s="224"/>
    </row>
    <row r="248" spans="2:35" x14ac:dyDescent="0.25">
      <c r="B248" s="239"/>
      <c r="C248" s="245"/>
      <c r="D248" s="223"/>
      <c r="E248" s="245"/>
      <c r="P248" s="225"/>
      <c r="AH248" s="224"/>
      <c r="AI248" s="224"/>
    </row>
    <row r="249" spans="2:35" x14ac:dyDescent="0.25">
      <c r="B249" s="239"/>
      <c r="C249" s="245"/>
      <c r="D249" s="223"/>
      <c r="E249" s="245"/>
      <c r="P249" s="225"/>
      <c r="AH249" s="224"/>
      <c r="AI249" s="224"/>
    </row>
    <row r="250" spans="2:35" x14ac:dyDescent="0.25">
      <c r="B250" s="239"/>
      <c r="C250" s="245"/>
      <c r="D250" s="223"/>
      <c r="E250" s="245"/>
      <c r="P250" s="225"/>
      <c r="AH250" s="224"/>
      <c r="AI250" s="224"/>
    </row>
    <row r="251" spans="2:35" x14ac:dyDescent="0.25">
      <c r="B251" s="239"/>
      <c r="C251" s="245"/>
      <c r="D251" s="223"/>
      <c r="E251" s="245"/>
      <c r="P251" s="225"/>
      <c r="AH251" s="224"/>
      <c r="AI251" s="224"/>
    </row>
    <row r="252" spans="2:35" x14ac:dyDescent="0.25">
      <c r="B252" s="239"/>
      <c r="C252" s="245"/>
      <c r="D252" s="223"/>
      <c r="E252" s="245"/>
      <c r="P252" s="225"/>
      <c r="AH252" s="224"/>
      <c r="AI252" s="224"/>
    </row>
    <row r="253" spans="2:35" x14ac:dyDescent="0.25">
      <c r="B253" s="239"/>
      <c r="C253" s="245"/>
      <c r="D253" s="223"/>
      <c r="E253" s="245"/>
      <c r="P253" s="225"/>
      <c r="AH253" s="224"/>
      <c r="AI253" s="224"/>
    </row>
    <row r="254" spans="2:35" x14ac:dyDescent="0.25">
      <c r="B254" s="239"/>
      <c r="C254" s="245"/>
      <c r="D254" s="223"/>
      <c r="E254" s="245"/>
      <c r="P254" s="225"/>
      <c r="AH254" s="224"/>
      <c r="AI254" s="224"/>
    </row>
    <row r="255" spans="2:35" x14ac:dyDescent="0.25">
      <c r="B255" s="239"/>
      <c r="C255" s="245"/>
      <c r="D255" s="223"/>
      <c r="E255" s="245"/>
      <c r="P255" s="225"/>
      <c r="AH255" s="224"/>
      <c r="AI255" s="224"/>
    </row>
    <row r="256" spans="2:35" x14ac:dyDescent="0.25">
      <c r="B256" s="239"/>
      <c r="C256" s="245"/>
      <c r="D256" s="223"/>
      <c r="E256" s="245"/>
      <c r="P256" s="225"/>
      <c r="AH256" s="224"/>
      <c r="AI256" s="224"/>
    </row>
    <row r="257" spans="2:35" x14ac:dyDescent="0.25">
      <c r="B257" s="239"/>
      <c r="C257" s="245"/>
      <c r="D257" s="223"/>
      <c r="E257" s="245"/>
      <c r="P257" s="225"/>
      <c r="AH257" s="224"/>
      <c r="AI257" s="224"/>
    </row>
    <row r="258" spans="2:35" x14ac:dyDescent="0.25">
      <c r="B258" s="239"/>
      <c r="C258" s="245"/>
      <c r="D258" s="223"/>
      <c r="E258" s="245"/>
      <c r="P258" s="225"/>
      <c r="AH258" s="224"/>
      <c r="AI258" s="224"/>
    </row>
    <row r="259" spans="2:35" x14ac:dyDescent="0.25">
      <c r="B259" s="239"/>
      <c r="C259" s="245"/>
      <c r="D259" s="223"/>
      <c r="E259" s="245"/>
      <c r="P259" s="225"/>
      <c r="AH259" s="224"/>
      <c r="AI259" s="224"/>
    </row>
    <row r="260" spans="2:35" x14ac:dyDescent="0.25">
      <c r="B260" s="239"/>
      <c r="C260" s="245"/>
      <c r="D260" s="223"/>
      <c r="E260" s="245"/>
      <c r="P260" s="225"/>
      <c r="AH260" s="224"/>
      <c r="AI260" s="224"/>
    </row>
    <row r="261" spans="2:35" x14ac:dyDescent="0.25">
      <c r="B261" s="239"/>
      <c r="C261" s="245"/>
      <c r="D261" s="223"/>
      <c r="E261" s="245"/>
      <c r="P261" s="225"/>
      <c r="AH261" s="224"/>
      <c r="AI261" s="224"/>
    </row>
    <row r="262" spans="2:35" x14ac:dyDescent="0.25">
      <c r="B262" s="239"/>
      <c r="C262" s="245"/>
      <c r="D262" s="223"/>
      <c r="E262" s="245"/>
      <c r="P262" s="225"/>
      <c r="AH262" s="224"/>
      <c r="AI262" s="224"/>
    </row>
    <row r="263" spans="2:35" x14ac:dyDescent="0.25">
      <c r="B263" s="239"/>
      <c r="C263" s="245"/>
      <c r="D263" s="223"/>
      <c r="E263" s="245"/>
      <c r="P263" s="225"/>
      <c r="AH263" s="224"/>
      <c r="AI263" s="224"/>
    </row>
    <row r="264" spans="2:35" x14ac:dyDescent="0.25">
      <c r="B264" s="239"/>
      <c r="C264" s="245"/>
      <c r="D264" s="223"/>
      <c r="E264" s="245"/>
      <c r="P264" s="225"/>
      <c r="AH264" s="224"/>
      <c r="AI264" s="224"/>
    </row>
    <row r="265" spans="2:35" x14ac:dyDescent="0.25">
      <c r="B265" s="239"/>
      <c r="C265" s="245"/>
      <c r="D265" s="223"/>
      <c r="E265" s="245"/>
      <c r="P265" s="225"/>
      <c r="AH265" s="224"/>
      <c r="AI265" s="224"/>
    </row>
    <row r="266" spans="2:35" x14ac:dyDescent="0.25">
      <c r="B266" s="239"/>
      <c r="C266" s="245"/>
      <c r="D266" s="223"/>
      <c r="E266" s="245"/>
      <c r="P266" s="225"/>
      <c r="AH266" s="224"/>
      <c r="AI266" s="224"/>
    </row>
    <row r="267" spans="2:35" x14ac:dyDescent="0.25">
      <c r="B267" s="239"/>
      <c r="C267" s="245"/>
      <c r="D267" s="223"/>
      <c r="E267" s="245"/>
      <c r="P267" s="225"/>
      <c r="AH267" s="224"/>
      <c r="AI267" s="224"/>
    </row>
    <row r="268" spans="2:35" x14ac:dyDescent="0.25">
      <c r="B268" s="239"/>
      <c r="C268" s="245"/>
      <c r="D268" s="223"/>
      <c r="E268" s="245"/>
      <c r="P268" s="225"/>
      <c r="AH268" s="224"/>
      <c r="AI268" s="224"/>
    </row>
    <row r="269" spans="2:35" x14ac:dyDescent="0.25">
      <c r="B269" s="239"/>
      <c r="C269" s="245"/>
      <c r="D269" s="223"/>
      <c r="E269" s="245"/>
      <c r="P269" s="225"/>
      <c r="AH269" s="224"/>
      <c r="AI269" s="224"/>
    </row>
    <row r="270" spans="2:35" x14ac:dyDescent="0.25">
      <c r="B270" s="239"/>
      <c r="C270" s="245"/>
      <c r="D270" s="223"/>
      <c r="E270" s="245"/>
      <c r="P270" s="225"/>
      <c r="AH270" s="224"/>
      <c r="AI270" s="224"/>
    </row>
    <row r="271" spans="2:35" x14ac:dyDescent="0.25">
      <c r="B271" s="239"/>
      <c r="C271" s="245"/>
      <c r="D271" s="223"/>
      <c r="E271" s="245"/>
      <c r="P271" s="225"/>
      <c r="AH271" s="224"/>
      <c r="AI271" s="224"/>
    </row>
    <row r="272" spans="2:35" x14ac:dyDescent="0.25">
      <c r="B272" s="239"/>
      <c r="C272" s="245"/>
      <c r="D272" s="223"/>
      <c r="E272" s="245"/>
      <c r="P272" s="225"/>
      <c r="AH272" s="224"/>
      <c r="AI272" s="224"/>
    </row>
    <row r="273" spans="2:35" x14ac:dyDescent="0.25">
      <c r="B273" s="239"/>
      <c r="C273" s="245"/>
      <c r="D273" s="223"/>
      <c r="E273" s="245"/>
      <c r="P273" s="225"/>
      <c r="AH273" s="224"/>
      <c r="AI273" s="224"/>
    </row>
    <row r="274" spans="2:35" x14ac:dyDescent="0.25">
      <c r="B274" s="239"/>
      <c r="C274" s="245"/>
      <c r="D274" s="223"/>
      <c r="E274" s="245"/>
      <c r="P274" s="225"/>
      <c r="AH274" s="224"/>
      <c r="AI274" s="224"/>
    </row>
    <row r="275" spans="2:35" x14ac:dyDescent="0.25">
      <c r="B275" s="239"/>
      <c r="C275" s="245"/>
      <c r="D275" s="223"/>
      <c r="E275" s="245"/>
      <c r="P275" s="225"/>
      <c r="AH275" s="224"/>
      <c r="AI275" s="224"/>
    </row>
    <row r="276" spans="2:35" x14ac:dyDescent="0.25">
      <c r="B276" s="239"/>
      <c r="C276" s="245"/>
      <c r="D276" s="223"/>
      <c r="E276" s="245"/>
      <c r="P276" s="225"/>
      <c r="AH276" s="224"/>
      <c r="AI276" s="224"/>
    </row>
    <row r="277" spans="2:35" x14ac:dyDescent="0.25">
      <c r="B277" s="239"/>
      <c r="C277" s="245"/>
      <c r="D277" s="223"/>
      <c r="E277" s="245"/>
      <c r="P277" s="225"/>
      <c r="AH277" s="224"/>
      <c r="AI277" s="224"/>
    </row>
    <row r="278" spans="2:35" x14ac:dyDescent="0.25">
      <c r="B278" s="239"/>
      <c r="C278" s="245"/>
      <c r="D278" s="223"/>
      <c r="E278" s="245"/>
      <c r="P278" s="225"/>
      <c r="AH278" s="224"/>
      <c r="AI278" s="224"/>
    </row>
    <row r="279" spans="2:35" x14ac:dyDescent="0.25">
      <c r="B279" s="239"/>
      <c r="C279" s="245"/>
      <c r="D279" s="223"/>
      <c r="E279" s="245"/>
      <c r="P279" s="225"/>
      <c r="AH279" s="224"/>
      <c r="AI279" s="224"/>
    </row>
    <row r="280" spans="2:35" x14ac:dyDescent="0.25">
      <c r="B280" s="239"/>
      <c r="C280" s="245"/>
      <c r="D280" s="223"/>
      <c r="E280" s="245"/>
      <c r="P280" s="225"/>
      <c r="AH280" s="224"/>
      <c r="AI280" s="224"/>
    </row>
    <row r="281" spans="2:35" x14ac:dyDescent="0.25">
      <c r="B281" s="239"/>
      <c r="C281" s="245"/>
      <c r="D281" s="223"/>
      <c r="E281" s="245"/>
      <c r="P281" s="225"/>
      <c r="AH281" s="224"/>
      <c r="AI281" s="224"/>
    </row>
    <row r="282" spans="2:35" x14ac:dyDescent="0.25">
      <c r="B282" s="239"/>
      <c r="C282" s="245"/>
      <c r="D282" s="223"/>
      <c r="E282" s="245"/>
      <c r="P282" s="225"/>
      <c r="AH282" s="224"/>
      <c r="AI282" s="224"/>
    </row>
    <row r="283" spans="2:35" x14ac:dyDescent="0.25">
      <c r="B283" s="239"/>
      <c r="C283" s="245"/>
      <c r="D283" s="223"/>
      <c r="E283" s="245"/>
      <c r="P283" s="225"/>
      <c r="AH283" s="224"/>
      <c r="AI283" s="224"/>
    </row>
    <row r="284" spans="2:35" x14ac:dyDescent="0.25">
      <c r="B284" s="239"/>
      <c r="C284" s="245"/>
      <c r="D284" s="223"/>
      <c r="E284" s="245"/>
      <c r="P284" s="225"/>
      <c r="AH284" s="224"/>
      <c r="AI284" s="224"/>
    </row>
    <row r="285" spans="2:35" x14ac:dyDescent="0.25">
      <c r="B285" s="239"/>
      <c r="C285" s="245"/>
      <c r="D285" s="223"/>
      <c r="E285" s="245"/>
      <c r="P285" s="225"/>
      <c r="AH285" s="224"/>
      <c r="AI285" s="224"/>
    </row>
    <row r="286" spans="2:35" x14ac:dyDescent="0.25">
      <c r="B286" s="239"/>
      <c r="C286" s="245"/>
      <c r="D286" s="223"/>
      <c r="E286" s="245"/>
      <c r="P286" s="225"/>
      <c r="AH286" s="224"/>
      <c r="AI286" s="224"/>
    </row>
    <row r="287" spans="2:35" x14ac:dyDescent="0.25">
      <c r="B287" s="239"/>
      <c r="C287" s="245"/>
      <c r="D287" s="223"/>
      <c r="E287" s="245"/>
      <c r="P287" s="225"/>
      <c r="AH287" s="224"/>
      <c r="AI287" s="224"/>
    </row>
    <row r="288" spans="2:35" x14ac:dyDescent="0.25">
      <c r="B288" s="239"/>
      <c r="C288" s="245"/>
      <c r="D288" s="223"/>
      <c r="E288" s="245"/>
      <c r="P288" s="225"/>
      <c r="AH288" s="224"/>
      <c r="AI288" s="224"/>
    </row>
    <row r="289" spans="2:35" x14ac:dyDescent="0.25">
      <c r="B289" s="239"/>
      <c r="C289" s="245"/>
      <c r="D289" s="223"/>
      <c r="E289" s="245"/>
      <c r="P289" s="225"/>
      <c r="AH289" s="224"/>
      <c r="AI289" s="224"/>
    </row>
    <row r="290" spans="2:35" x14ac:dyDescent="0.25">
      <c r="B290" s="239"/>
      <c r="C290" s="245"/>
      <c r="D290" s="223"/>
      <c r="E290" s="245"/>
      <c r="P290" s="225"/>
      <c r="AH290" s="224"/>
      <c r="AI290" s="224"/>
    </row>
    <row r="291" spans="2:35" x14ac:dyDescent="0.25">
      <c r="B291" s="239"/>
      <c r="C291" s="245"/>
      <c r="D291" s="223"/>
      <c r="E291" s="245"/>
      <c r="P291" s="225"/>
      <c r="AH291" s="224"/>
      <c r="AI291" s="224"/>
    </row>
    <row r="292" spans="2:35" x14ac:dyDescent="0.25">
      <c r="B292" s="239"/>
      <c r="C292" s="245"/>
      <c r="D292" s="223"/>
      <c r="E292" s="245"/>
      <c r="P292" s="225"/>
      <c r="AH292" s="224"/>
      <c r="AI292" s="224"/>
    </row>
    <row r="293" spans="2:35" x14ac:dyDescent="0.25">
      <c r="B293" s="239"/>
      <c r="C293" s="245"/>
      <c r="D293" s="223"/>
      <c r="E293" s="245"/>
      <c r="P293" s="225"/>
      <c r="AH293" s="224"/>
      <c r="AI293" s="224"/>
    </row>
    <row r="294" spans="2:35" x14ac:dyDescent="0.25">
      <c r="B294" s="239"/>
      <c r="C294" s="245"/>
      <c r="D294" s="223"/>
      <c r="E294" s="245"/>
      <c r="P294" s="225"/>
      <c r="AH294" s="224"/>
      <c r="AI294" s="224"/>
    </row>
    <row r="295" spans="2:35" x14ac:dyDescent="0.25">
      <c r="B295" s="239"/>
      <c r="C295" s="245"/>
      <c r="D295" s="223"/>
      <c r="E295" s="245"/>
      <c r="P295" s="225"/>
      <c r="AH295" s="224"/>
      <c r="AI295" s="224"/>
    </row>
    <row r="296" spans="2:35" x14ac:dyDescent="0.25">
      <c r="B296" s="239"/>
      <c r="C296" s="245"/>
      <c r="D296" s="223"/>
      <c r="E296" s="245"/>
      <c r="P296" s="225"/>
      <c r="AH296" s="224"/>
      <c r="AI296" s="224"/>
    </row>
    <row r="297" spans="2:35" x14ac:dyDescent="0.25">
      <c r="B297" s="239"/>
      <c r="C297" s="245"/>
      <c r="D297" s="223"/>
      <c r="E297" s="245"/>
      <c r="P297" s="225"/>
      <c r="AH297" s="224"/>
      <c r="AI297" s="224"/>
    </row>
    <row r="298" spans="2:35" x14ac:dyDescent="0.25">
      <c r="B298" s="239"/>
      <c r="C298" s="245"/>
      <c r="D298" s="223"/>
      <c r="E298" s="245"/>
      <c r="P298" s="225"/>
      <c r="AH298" s="224"/>
      <c r="AI298" s="224"/>
    </row>
    <row r="299" spans="2:35" x14ac:dyDescent="0.25">
      <c r="B299" s="239"/>
      <c r="C299" s="245"/>
      <c r="D299" s="223"/>
      <c r="E299" s="245"/>
      <c r="P299" s="225"/>
      <c r="AH299" s="224"/>
      <c r="AI299" s="224"/>
    </row>
    <row r="300" spans="2:35" x14ac:dyDescent="0.25">
      <c r="B300" s="239"/>
      <c r="C300" s="245"/>
      <c r="D300" s="223"/>
      <c r="E300" s="245"/>
      <c r="P300" s="225"/>
      <c r="AH300" s="224"/>
      <c r="AI300" s="224"/>
    </row>
    <row r="301" spans="2:35" x14ac:dyDescent="0.25">
      <c r="B301" s="239"/>
      <c r="C301" s="245"/>
      <c r="D301" s="223"/>
      <c r="E301" s="245"/>
      <c r="P301" s="225"/>
      <c r="AH301" s="224"/>
      <c r="AI301" s="224"/>
    </row>
    <row r="302" spans="2:35" x14ac:dyDescent="0.25">
      <c r="B302" s="239"/>
      <c r="C302" s="245"/>
      <c r="D302" s="223"/>
      <c r="E302" s="245"/>
      <c r="P302" s="225"/>
      <c r="AH302" s="224"/>
      <c r="AI302" s="224"/>
    </row>
    <row r="303" spans="2:35" x14ac:dyDescent="0.25">
      <c r="B303" s="239"/>
      <c r="C303" s="245"/>
      <c r="D303" s="223"/>
      <c r="E303" s="245"/>
      <c r="P303" s="225"/>
      <c r="AH303" s="224"/>
      <c r="AI303" s="224"/>
    </row>
    <row r="304" spans="2:35" x14ac:dyDescent="0.25">
      <c r="B304" s="239"/>
      <c r="C304" s="245"/>
      <c r="D304" s="223"/>
      <c r="E304" s="245"/>
      <c r="P304" s="225"/>
      <c r="AH304" s="224"/>
      <c r="AI304" s="224"/>
    </row>
    <row r="305" spans="2:35" x14ac:dyDescent="0.25">
      <c r="B305" s="239"/>
      <c r="C305" s="245"/>
      <c r="D305" s="223"/>
      <c r="E305" s="245"/>
      <c r="P305" s="225"/>
      <c r="AH305" s="224"/>
      <c r="AI305" s="224"/>
    </row>
    <row r="306" spans="2:35" x14ac:dyDescent="0.25">
      <c r="B306" s="239"/>
      <c r="C306" s="245"/>
      <c r="D306" s="223"/>
      <c r="E306" s="245"/>
      <c r="P306" s="225"/>
      <c r="AH306" s="224"/>
      <c r="AI306" s="224"/>
    </row>
    <row r="307" spans="2:35" x14ac:dyDescent="0.25">
      <c r="B307" s="239"/>
      <c r="C307" s="245"/>
      <c r="D307" s="223"/>
      <c r="E307" s="245"/>
      <c r="P307" s="225"/>
      <c r="AH307" s="224"/>
      <c r="AI307" s="224"/>
    </row>
    <row r="308" spans="2:35" x14ac:dyDescent="0.25">
      <c r="B308" s="239"/>
      <c r="C308" s="245"/>
      <c r="D308" s="223"/>
      <c r="E308" s="245"/>
      <c r="P308" s="225"/>
      <c r="AH308" s="224"/>
      <c r="AI308" s="224"/>
    </row>
    <row r="309" spans="2:35" x14ac:dyDescent="0.25">
      <c r="B309" s="239"/>
      <c r="C309" s="245"/>
      <c r="D309" s="223"/>
      <c r="E309" s="245"/>
      <c r="P309" s="225"/>
      <c r="AH309" s="224"/>
      <c r="AI309" s="224"/>
    </row>
    <row r="310" spans="2:35" x14ac:dyDescent="0.25">
      <c r="B310" s="239"/>
      <c r="C310" s="245"/>
      <c r="D310" s="223"/>
      <c r="E310" s="245"/>
      <c r="P310" s="225"/>
      <c r="AH310" s="224"/>
      <c r="AI310" s="224"/>
    </row>
    <row r="311" spans="2:35" x14ac:dyDescent="0.25">
      <c r="B311" s="239"/>
      <c r="C311" s="245"/>
      <c r="D311" s="223"/>
      <c r="E311" s="245"/>
      <c r="P311" s="225"/>
      <c r="AH311" s="224"/>
      <c r="AI311" s="224"/>
    </row>
    <row r="312" spans="2:35" x14ac:dyDescent="0.25">
      <c r="B312" s="239"/>
      <c r="C312" s="245"/>
      <c r="D312" s="223"/>
      <c r="E312" s="245"/>
      <c r="P312" s="225"/>
      <c r="AH312" s="224"/>
      <c r="AI312" s="224"/>
    </row>
    <row r="313" spans="2:35" x14ac:dyDescent="0.25">
      <c r="B313" s="239"/>
      <c r="C313" s="245"/>
      <c r="D313" s="223"/>
      <c r="E313" s="245"/>
      <c r="P313" s="225"/>
      <c r="AH313" s="224"/>
      <c r="AI313" s="224"/>
    </row>
    <row r="314" spans="2:35" x14ac:dyDescent="0.25">
      <c r="B314" s="239"/>
      <c r="C314" s="245"/>
      <c r="D314" s="223"/>
      <c r="E314" s="245"/>
      <c r="P314" s="225"/>
      <c r="AH314" s="224"/>
      <c r="AI314" s="224"/>
    </row>
    <row r="315" spans="2:35" x14ac:dyDescent="0.25">
      <c r="B315" s="239"/>
      <c r="C315" s="245"/>
      <c r="D315" s="223"/>
      <c r="E315" s="245"/>
      <c r="P315" s="225"/>
      <c r="AH315" s="224"/>
      <c r="AI315" s="224"/>
    </row>
    <row r="316" spans="2:35" x14ac:dyDescent="0.25">
      <c r="B316" s="239"/>
      <c r="C316" s="245"/>
      <c r="D316" s="223"/>
      <c r="E316" s="245"/>
      <c r="P316" s="225"/>
      <c r="AH316" s="224"/>
      <c r="AI316" s="224"/>
    </row>
    <row r="317" spans="2:35" x14ac:dyDescent="0.25">
      <c r="B317" s="239"/>
      <c r="C317" s="245"/>
      <c r="D317" s="223"/>
      <c r="E317" s="245"/>
      <c r="P317" s="225"/>
      <c r="AH317" s="224"/>
      <c r="AI317" s="224"/>
    </row>
    <row r="318" spans="2:35" x14ac:dyDescent="0.25">
      <c r="B318" s="239"/>
      <c r="C318" s="245"/>
      <c r="D318" s="223"/>
      <c r="E318" s="245"/>
      <c r="P318" s="225"/>
      <c r="AH318" s="224"/>
      <c r="AI318" s="224"/>
    </row>
    <row r="319" spans="2:35" x14ac:dyDescent="0.25">
      <c r="B319" s="239"/>
      <c r="C319" s="245"/>
      <c r="D319" s="223"/>
      <c r="E319" s="245"/>
      <c r="P319" s="225"/>
      <c r="AH319" s="224"/>
      <c r="AI319" s="224"/>
    </row>
    <row r="320" spans="2:35" x14ac:dyDescent="0.25">
      <c r="B320" s="239"/>
      <c r="C320" s="245"/>
      <c r="D320" s="223"/>
      <c r="E320" s="245"/>
      <c r="P320" s="225"/>
      <c r="AH320" s="224"/>
      <c r="AI320" s="224"/>
    </row>
    <row r="321" spans="2:35" x14ac:dyDescent="0.25">
      <c r="B321" s="239"/>
      <c r="C321" s="245"/>
      <c r="D321" s="223"/>
      <c r="E321" s="245"/>
      <c r="P321" s="225"/>
      <c r="AH321" s="224"/>
      <c r="AI321" s="224"/>
    </row>
    <row r="322" spans="2:35" x14ac:dyDescent="0.25">
      <c r="B322" s="239"/>
      <c r="C322" s="245"/>
      <c r="D322" s="223"/>
      <c r="E322" s="245"/>
      <c r="P322" s="225"/>
      <c r="AH322" s="224"/>
      <c r="AI322" s="224"/>
    </row>
    <row r="323" spans="2:35" x14ac:dyDescent="0.25">
      <c r="B323" s="239"/>
      <c r="C323" s="245"/>
      <c r="D323" s="223"/>
      <c r="E323" s="245"/>
      <c r="P323" s="225"/>
      <c r="AH323" s="224"/>
      <c r="AI323" s="224"/>
    </row>
    <row r="324" spans="2:35" x14ac:dyDescent="0.25">
      <c r="B324" s="239"/>
      <c r="C324" s="245"/>
      <c r="D324" s="223"/>
      <c r="E324" s="245"/>
      <c r="P324" s="225"/>
      <c r="AH324" s="224"/>
      <c r="AI324" s="224"/>
    </row>
    <row r="325" spans="2:35" x14ac:dyDescent="0.25">
      <c r="B325" s="239"/>
      <c r="C325" s="245"/>
      <c r="D325" s="223"/>
      <c r="E325" s="245"/>
      <c r="P325" s="225"/>
      <c r="AH325" s="224"/>
      <c r="AI325" s="224"/>
    </row>
    <row r="326" spans="2:35" x14ac:dyDescent="0.25">
      <c r="B326" s="239"/>
      <c r="C326" s="245"/>
      <c r="D326" s="223"/>
      <c r="E326" s="245"/>
      <c r="P326" s="225"/>
      <c r="AH326" s="224"/>
      <c r="AI326" s="224"/>
    </row>
    <row r="327" spans="2:35" x14ac:dyDescent="0.25">
      <c r="B327" s="239"/>
      <c r="C327" s="245"/>
      <c r="D327" s="223"/>
      <c r="E327" s="245"/>
      <c r="P327" s="225"/>
      <c r="AH327" s="224"/>
      <c r="AI327" s="224"/>
    </row>
    <row r="328" spans="2:35" x14ac:dyDescent="0.25">
      <c r="B328" s="239"/>
      <c r="C328" s="245"/>
      <c r="D328" s="223"/>
      <c r="E328" s="245"/>
      <c r="P328" s="225"/>
      <c r="AH328" s="224"/>
      <c r="AI328" s="224"/>
    </row>
    <row r="329" spans="2:35" x14ac:dyDescent="0.25">
      <c r="B329" s="239"/>
      <c r="C329" s="245"/>
      <c r="D329" s="223"/>
      <c r="E329" s="245"/>
      <c r="P329" s="225"/>
      <c r="AH329" s="224"/>
      <c r="AI329" s="224"/>
    </row>
    <row r="330" spans="2:35" x14ac:dyDescent="0.25">
      <c r="B330" s="239"/>
      <c r="C330" s="245"/>
      <c r="D330" s="223"/>
      <c r="E330" s="245"/>
      <c r="P330" s="225"/>
      <c r="AH330" s="224"/>
      <c r="AI330" s="224"/>
    </row>
    <row r="331" spans="2:35" x14ac:dyDescent="0.25">
      <c r="B331" s="239"/>
      <c r="C331" s="245"/>
      <c r="D331" s="223"/>
      <c r="E331" s="245"/>
      <c r="P331" s="225"/>
      <c r="AH331" s="224"/>
      <c r="AI331" s="224"/>
    </row>
    <row r="332" spans="2:35" x14ac:dyDescent="0.25">
      <c r="B332" s="239"/>
      <c r="C332" s="245"/>
      <c r="D332" s="223"/>
      <c r="E332" s="245"/>
      <c r="P332" s="225"/>
      <c r="AH332" s="224"/>
      <c r="AI332" s="224"/>
    </row>
    <row r="333" spans="2:35" x14ac:dyDescent="0.25">
      <c r="B333" s="239"/>
      <c r="C333" s="245"/>
      <c r="D333" s="223"/>
      <c r="E333" s="245"/>
      <c r="P333" s="225"/>
      <c r="AH333" s="224"/>
      <c r="AI333" s="224"/>
    </row>
    <row r="334" spans="2:35" x14ac:dyDescent="0.25">
      <c r="B334" s="239"/>
      <c r="C334" s="245"/>
      <c r="D334" s="223"/>
      <c r="E334" s="245"/>
      <c r="P334" s="225"/>
      <c r="AH334" s="224"/>
      <c r="AI334" s="224"/>
    </row>
    <row r="335" spans="2:35" x14ac:dyDescent="0.25">
      <c r="B335" s="239"/>
      <c r="C335" s="245"/>
      <c r="D335" s="223"/>
      <c r="E335" s="245"/>
      <c r="P335" s="225"/>
      <c r="AH335" s="224"/>
      <c r="AI335" s="224"/>
    </row>
    <row r="336" spans="2:35" x14ac:dyDescent="0.25">
      <c r="B336" s="239"/>
      <c r="C336" s="245"/>
      <c r="D336" s="223"/>
      <c r="E336" s="245"/>
      <c r="P336" s="225"/>
      <c r="AH336" s="224"/>
      <c r="AI336" s="224"/>
    </row>
    <row r="337" spans="2:35" x14ac:dyDescent="0.25">
      <c r="B337" s="239"/>
      <c r="C337" s="245"/>
      <c r="D337" s="223"/>
      <c r="E337" s="245"/>
      <c r="P337" s="225"/>
      <c r="AH337" s="224"/>
      <c r="AI337" s="224"/>
    </row>
    <row r="338" spans="2:35" x14ac:dyDescent="0.25">
      <c r="B338" s="239"/>
      <c r="C338" s="245"/>
      <c r="D338" s="223"/>
      <c r="E338" s="245"/>
      <c r="P338" s="225"/>
      <c r="AH338" s="224"/>
      <c r="AI338" s="224"/>
    </row>
    <row r="339" spans="2:35" x14ac:dyDescent="0.25">
      <c r="B339" s="239"/>
      <c r="C339" s="245"/>
      <c r="D339" s="223"/>
      <c r="E339" s="245"/>
      <c r="P339" s="225"/>
      <c r="AH339" s="224"/>
      <c r="AI339" s="224"/>
    </row>
    <row r="340" spans="2:35" x14ac:dyDescent="0.25">
      <c r="B340" s="239"/>
      <c r="C340" s="245"/>
      <c r="D340" s="223"/>
      <c r="E340" s="245"/>
      <c r="P340" s="225"/>
      <c r="AH340" s="224"/>
      <c r="AI340" s="224"/>
    </row>
    <row r="341" spans="2:35" x14ac:dyDescent="0.25">
      <c r="B341" s="239"/>
      <c r="C341" s="245"/>
      <c r="D341" s="223"/>
      <c r="E341" s="245"/>
      <c r="P341" s="225"/>
      <c r="AH341" s="224"/>
      <c r="AI341" s="224"/>
    </row>
    <row r="342" spans="2:35" x14ac:dyDescent="0.25">
      <c r="B342" s="239"/>
      <c r="C342" s="245"/>
      <c r="D342" s="223"/>
      <c r="E342" s="245"/>
      <c r="P342" s="225"/>
      <c r="AH342" s="224"/>
      <c r="AI342" s="224"/>
    </row>
    <row r="343" spans="2:35" x14ac:dyDescent="0.25">
      <c r="B343" s="239"/>
      <c r="C343" s="245"/>
      <c r="D343" s="223"/>
      <c r="E343" s="245"/>
      <c r="P343" s="225"/>
      <c r="AH343" s="224"/>
      <c r="AI343" s="224"/>
    </row>
    <row r="344" spans="2:35" x14ac:dyDescent="0.25">
      <c r="B344" s="239"/>
      <c r="C344" s="245"/>
      <c r="D344" s="223"/>
      <c r="E344" s="245"/>
      <c r="P344" s="225"/>
      <c r="AH344" s="224"/>
      <c r="AI344" s="224"/>
    </row>
    <row r="345" spans="2:35" x14ac:dyDescent="0.25">
      <c r="B345" s="239"/>
      <c r="C345" s="245"/>
      <c r="D345" s="223"/>
      <c r="E345" s="245"/>
      <c r="P345" s="225"/>
      <c r="AH345" s="224"/>
      <c r="AI345" s="224"/>
    </row>
    <row r="346" spans="2:35" x14ac:dyDescent="0.25">
      <c r="B346" s="239"/>
      <c r="C346" s="245"/>
      <c r="D346" s="223"/>
      <c r="E346" s="245"/>
      <c r="P346" s="225"/>
      <c r="AH346" s="224"/>
      <c r="AI346" s="224"/>
    </row>
    <row r="347" spans="2:35" x14ac:dyDescent="0.25">
      <c r="B347" s="239"/>
      <c r="C347" s="245"/>
      <c r="D347" s="223"/>
      <c r="E347" s="245"/>
      <c r="P347" s="225"/>
      <c r="AH347" s="224"/>
      <c r="AI347" s="224"/>
    </row>
    <row r="348" spans="2:35" x14ac:dyDescent="0.25">
      <c r="B348" s="239"/>
      <c r="C348" s="245"/>
      <c r="D348" s="223"/>
      <c r="E348" s="245"/>
      <c r="P348" s="225"/>
      <c r="AH348" s="224"/>
      <c r="AI348" s="224"/>
    </row>
    <row r="349" spans="2:35" x14ac:dyDescent="0.25">
      <c r="B349" s="239"/>
      <c r="C349" s="245"/>
      <c r="D349" s="223"/>
      <c r="E349" s="245"/>
      <c r="P349" s="225"/>
      <c r="AH349" s="224"/>
      <c r="AI349" s="224"/>
    </row>
    <row r="350" spans="2:35" x14ac:dyDescent="0.25">
      <c r="B350" s="239"/>
      <c r="C350" s="245"/>
      <c r="D350" s="223"/>
      <c r="E350" s="245"/>
      <c r="P350" s="225"/>
      <c r="AH350" s="224"/>
      <c r="AI350" s="224"/>
    </row>
    <row r="351" spans="2:35" x14ac:dyDescent="0.25">
      <c r="B351" s="239"/>
      <c r="C351" s="245"/>
      <c r="D351" s="223"/>
      <c r="E351" s="245"/>
      <c r="P351" s="225"/>
      <c r="AH351" s="224"/>
      <c r="AI351" s="224"/>
    </row>
    <row r="352" spans="2:35" x14ac:dyDescent="0.25">
      <c r="B352" s="239"/>
      <c r="C352" s="245"/>
      <c r="D352" s="223"/>
      <c r="E352" s="245"/>
      <c r="P352" s="225"/>
      <c r="AH352" s="224"/>
      <c r="AI352" s="224"/>
    </row>
    <row r="353" spans="2:35" x14ac:dyDescent="0.25">
      <c r="B353" s="239"/>
      <c r="C353" s="245"/>
      <c r="D353" s="223"/>
      <c r="E353" s="245"/>
      <c r="P353" s="225"/>
      <c r="AH353" s="224"/>
      <c r="AI353" s="224"/>
    </row>
    <row r="354" spans="2:35" x14ac:dyDescent="0.25">
      <c r="B354" s="239"/>
      <c r="C354" s="245"/>
      <c r="D354" s="223"/>
      <c r="E354" s="245"/>
      <c r="P354" s="225"/>
      <c r="AH354" s="224"/>
      <c r="AI354" s="224"/>
    </row>
    <row r="355" spans="2:35" x14ac:dyDescent="0.25">
      <c r="B355" s="239"/>
      <c r="C355" s="245"/>
      <c r="D355" s="223"/>
      <c r="E355" s="245"/>
      <c r="P355" s="225"/>
      <c r="AH355" s="224"/>
      <c r="AI355" s="224"/>
    </row>
    <row r="356" spans="2:35" x14ac:dyDescent="0.25">
      <c r="B356" s="239"/>
      <c r="C356" s="245"/>
      <c r="D356" s="223"/>
      <c r="E356" s="245"/>
      <c r="P356" s="225"/>
      <c r="AH356" s="224"/>
      <c r="AI356" s="224"/>
    </row>
    <row r="357" spans="2:35" x14ac:dyDescent="0.25">
      <c r="B357" s="239"/>
      <c r="C357" s="245"/>
      <c r="D357" s="223"/>
      <c r="E357" s="245"/>
      <c r="P357" s="225"/>
      <c r="AH357" s="224"/>
      <c r="AI357" s="224"/>
    </row>
    <row r="358" spans="2:35" x14ac:dyDescent="0.25">
      <c r="B358" s="239"/>
      <c r="C358" s="245"/>
      <c r="D358" s="223"/>
      <c r="E358" s="245"/>
      <c r="P358" s="225"/>
      <c r="AH358" s="224"/>
      <c r="AI358" s="224"/>
    </row>
    <row r="359" spans="2:35" x14ac:dyDescent="0.25">
      <c r="B359" s="239"/>
      <c r="C359" s="245"/>
      <c r="D359" s="223"/>
      <c r="E359" s="245"/>
      <c r="P359" s="225"/>
      <c r="AH359" s="224"/>
      <c r="AI359" s="224"/>
    </row>
    <row r="360" spans="2:35" x14ac:dyDescent="0.25">
      <c r="B360" s="239"/>
      <c r="C360" s="245"/>
      <c r="D360" s="223"/>
      <c r="E360" s="245"/>
      <c r="P360" s="225"/>
      <c r="AH360" s="224"/>
      <c r="AI360" s="224"/>
    </row>
    <row r="361" spans="2:35" x14ac:dyDescent="0.25">
      <c r="B361" s="239"/>
      <c r="C361" s="245"/>
      <c r="D361" s="223"/>
      <c r="E361" s="245"/>
      <c r="P361" s="225"/>
      <c r="AH361" s="224"/>
      <c r="AI361" s="224"/>
    </row>
    <row r="362" spans="2:35" x14ac:dyDescent="0.25">
      <c r="B362" s="239"/>
      <c r="C362" s="245"/>
      <c r="D362" s="223"/>
      <c r="E362" s="245"/>
      <c r="P362" s="225"/>
      <c r="AH362" s="224"/>
      <c r="AI362" s="224"/>
    </row>
    <row r="363" spans="2:35" x14ac:dyDescent="0.25">
      <c r="B363" s="239"/>
      <c r="C363" s="245"/>
      <c r="D363" s="223"/>
      <c r="E363" s="245"/>
      <c r="P363" s="225"/>
      <c r="AH363" s="224"/>
      <c r="AI363" s="224"/>
    </row>
    <row r="364" spans="2:35" x14ac:dyDescent="0.25">
      <c r="B364" s="239"/>
      <c r="C364" s="245"/>
      <c r="D364" s="223"/>
      <c r="E364" s="245"/>
      <c r="P364" s="225"/>
      <c r="AH364" s="224"/>
      <c r="AI364" s="224"/>
    </row>
    <row r="365" spans="2:35" x14ac:dyDescent="0.25">
      <c r="B365" s="239"/>
      <c r="C365" s="245"/>
      <c r="D365" s="223"/>
      <c r="E365" s="245"/>
      <c r="P365" s="225"/>
      <c r="AH365" s="224"/>
      <c r="AI365" s="224"/>
    </row>
    <row r="366" spans="2:35" x14ac:dyDescent="0.25">
      <c r="B366" s="239"/>
      <c r="C366" s="245"/>
      <c r="D366" s="223"/>
      <c r="E366" s="245"/>
      <c r="P366" s="225"/>
      <c r="AH366" s="224"/>
      <c r="AI366" s="224"/>
    </row>
    <row r="367" spans="2:35" x14ac:dyDescent="0.25">
      <c r="B367" s="239"/>
      <c r="C367" s="245"/>
      <c r="D367" s="223"/>
      <c r="E367" s="245"/>
      <c r="P367" s="225"/>
      <c r="AH367" s="224"/>
      <c r="AI367" s="224"/>
    </row>
    <row r="368" spans="2:35" x14ac:dyDescent="0.25">
      <c r="B368" s="239"/>
      <c r="C368" s="245"/>
      <c r="D368" s="223"/>
      <c r="E368" s="245"/>
      <c r="P368" s="225"/>
      <c r="AH368" s="224"/>
      <c r="AI368" s="224"/>
    </row>
    <row r="369" spans="2:35" x14ac:dyDescent="0.25">
      <c r="B369" s="239"/>
      <c r="C369" s="245"/>
      <c r="D369" s="223"/>
      <c r="E369" s="245"/>
      <c r="P369" s="225"/>
      <c r="AH369" s="224"/>
      <c r="AI369" s="224"/>
    </row>
    <row r="370" spans="2:35" x14ac:dyDescent="0.25">
      <c r="B370" s="239"/>
      <c r="C370" s="245"/>
      <c r="D370" s="223"/>
      <c r="E370" s="245"/>
      <c r="P370" s="225"/>
      <c r="AH370" s="224"/>
      <c r="AI370" s="224"/>
    </row>
    <row r="371" spans="2:35" x14ac:dyDescent="0.25">
      <c r="B371" s="239"/>
      <c r="C371" s="245"/>
      <c r="D371" s="223"/>
      <c r="E371" s="245"/>
      <c r="P371" s="225"/>
      <c r="AH371" s="224"/>
      <c r="AI371" s="224"/>
    </row>
    <row r="372" spans="2:35" x14ac:dyDescent="0.25">
      <c r="B372" s="239"/>
      <c r="C372" s="245"/>
      <c r="D372" s="223"/>
      <c r="E372" s="245"/>
      <c r="P372" s="225"/>
      <c r="AH372" s="224"/>
      <c r="AI372" s="224"/>
    </row>
    <row r="373" spans="2:35" x14ac:dyDescent="0.25">
      <c r="B373" s="239"/>
      <c r="C373" s="245"/>
      <c r="D373" s="223"/>
      <c r="E373" s="245"/>
      <c r="P373" s="225"/>
      <c r="AH373" s="224"/>
      <c r="AI373" s="224"/>
    </row>
    <row r="374" spans="2:35" x14ac:dyDescent="0.25">
      <c r="B374" s="239"/>
      <c r="C374" s="245"/>
      <c r="D374" s="223"/>
      <c r="E374" s="245"/>
      <c r="P374" s="225"/>
      <c r="AH374" s="224"/>
      <c r="AI374" s="224"/>
    </row>
    <row r="375" spans="2:35" x14ac:dyDescent="0.25">
      <c r="B375" s="239"/>
      <c r="C375" s="245"/>
      <c r="D375" s="223"/>
      <c r="E375" s="245"/>
      <c r="P375" s="225"/>
      <c r="AH375" s="224"/>
      <c r="AI375" s="224"/>
    </row>
    <row r="376" spans="2:35" x14ac:dyDescent="0.25">
      <c r="B376" s="239"/>
      <c r="C376" s="245"/>
      <c r="D376" s="223"/>
      <c r="E376" s="245"/>
      <c r="P376" s="225"/>
      <c r="AH376" s="224"/>
      <c r="AI376" s="224"/>
    </row>
    <row r="377" spans="2:35" x14ac:dyDescent="0.25">
      <c r="B377" s="239"/>
      <c r="C377" s="245"/>
      <c r="D377" s="223"/>
      <c r="E377" s="245"/>
      <c r="P377" s="225"/>
      <c r="AH377" s="224"/>
      <c r="AI377" s="224"/>
    </row>
    <row r="378" spans="2:35" x14ac:dyDescent="0.25">
      <c r="B378" s="239"/>
      <c r="C378" s="245"/>
      <c r="D378" s="223"/>
      <c r="E378" s="245"/>
      <c r="P378" s="225"/>
      <c r="AH378" s="224"/>
      <c r="AI378" s="224"/>
    </row>
    <row r="379" spans="2:35" x14ac:dyDescent="0.25">
      <c r="B379" s="239"/>
      <c r="C379" s="245"/>
      <c r="D379" s="223"/>
      <c r="E379" s="245"/>
      <c r="P379" s="225"/>
      <c r="AH379" s="224"/>
      <c r="AI379" s="224"/>
    </row>
    <row r="380" spans="2:35" x14ac:dyDescent="0.25">
      <c r="B380" s="239"/>
      <c r="C380" s="245"/>
      <c r="D380" s="223"/>
      <c r="E380" s="245"/>
      <c r="P380" s="225"/>
      <c r="AH380" s="224"/>
      <c r="AI380" s="224"/>
    </row>
    <row r="381" spans="2:35" x14ac:dyDescent="0.25">
      <c r="B381" s="239"/>
      <c r="C381" s="245"/>
      <c r="D381" s="223"/>
      <c r="E381" s="245"/>
      <c r="P381" s="225"/>
      <c r="AH381" s="224"/>
      <c r="AI381" s="224"/>
    </row>
    <row r="382" spans="2:35" x14ac:dyDescent="0.25">
      <c r="B382" s="239"/>
      <c r="C382" s="245"/>
      <c r="D382" s="223"/>
      <c r="E382" s="245"/>
      <c r="P382" s="225"/>
      <c r="AH382" s="224"/>
      <c r="AI382" s="224"/>
    </row>
    <row r="383" spans="2:35" x14ac:dyDescent="0.25">
      <c r="B383" s="239"/>
      <c r="C383" s="245"/>
      <c r="D383" s="223"/>
      <c r="E383" s="245"/>
      <c r="P383" s="225"/>
      <c r="AH383" s="224"/>
      <c r="AI383" s="224"/>
    </row>
    <row r="384" spans="2:35" x14ac:dyDescent="0.25">
      <c r="B384" s="239"/>
      <c r="C384" s="245"/>
      <c r="D384" s="223"/>
      <c r="E384" s="245"/>
      <c r="P384" s="225"/>
      <c r="AH384" s="224"/>
      <c r="AI384" s="224"/>
    </row>
    <row r="385" spans="2:35" x14ac:dyDescent="0.25">
      <c r="B385" s="239"/>
      <c r="C385" s="245"/>
      <c r="D385" s="223"/>
      <c r="E385" s="245"/>
      <c r="P385" s="225"/>
      <c r="AH385" s="224"/>
      <c r="AI385" s="224"/>
    </row>
    <row r="386" spans="2:35" x14ac:dyDescent="0.25">
      <c r="B386" s="239"/>
      <c r="C386" s="245"/>
      <c r="D386" s="223"/>
      <c r="E386" s="245"/>
      <c r="P386" s="225"/>
      <c r="AH386" s="224"/>
      <c r="AI386" s="224"/>
    </row>
    <row r="387" spans="2:35" x14ac:dyDescent="0.25">
      <c r="B387" s="239"/>
      <c r="C387" s="245"/>
      <c r="D387" s="223"/>
      <c r="E387" s="245"/>
      <c r="P387" s="225"/>
      <c r="AH387" s="224"/>
      <c r="AI387" s="224"/>
    </row>
    <row r="388" spans="2:35" x14ac:dyDescent="0.25">
      <c r="B388" s="239"/>
      <c r="C388" s="245"/>
      <c r="D388" s="223"/>
      <c r="E388" s="245"/>
      <c r="P388" s="225"/>
      <c r="AH388" s="224"/>
      <c r="AI388" s="224"/>
    </row>
    <row r="389" spans="2:35" x14ac:dyDescent="0.25">
      <c r="B389" s="239"/>
      <c r="C389" s="245"/>
      <c r="D389" s="223"/>
      <c r="E389" s="245"/>
      <c r="P389" s="225"/>
      <c r="AH389" s="224"/>
      <c r="AI389" s="224"/>
    </row>
    <row r="390" spans="2:35" x14ac:dyDescent="0.25">
      <c r="B390" s="239"/>
      <c r="C390" s="245"/>
      <c r="D390" s="223"/>
      <c r="E390" s="245"/>
      <c r="P390" s="225"/>
      <c r="AH390" s="224"/>
      <c r="AI390" s="224"/>
    </row>
    <row r="391" spans="2:35" x14ac:dyDescent="0.25">
      <c r="B391" s="239"/>
      <c r="C391" s="245"/>
      <c r="D391" s="223"/>
      <c r="E391" s="245"/>
      <c r="P391" s="225"/>
      <c r="AH391" s="224"/>
      <c r="AI391" s="224"/>
    </row>
    <row r="392" spans="2:35" x14ac:dyDescent="0.25">
      <c r="B392" s="239"/>
      <c r="C392" s="245"/>
      <c r="D392" s="223"/>
      <c r="E392" s="245"/>
      <c r="P392" s="225"/>
      <c r="AH392" s="224"/>
      <c r="AI392" s="224"/>
    </row>
    <row r="393" spans="2:35" x14ac:dyDescent="0.25">
      <c r="B393" s="239"/>
      <c r="C393" s="245"/>
      <c r="D393" s="223"/>
      <c r="E393" s="245"/>
      <c r="P393" s="225"/>
      <c r="AH393" s="224"/>
      <c r="AI393" s="224"/>
    </row>
    <row r="394" spans="2:35" x14ac:dyDescent="0.25">
      <c r="B394" s="239"/>
      <c r="C394" s="245"/>
      <c r="D394" s="223"/>
      <c r="E394" s="245"/>
      <c r="P394" s="225"/>
      <c r="AH394" s="224"/>
      <c r="AI394" s="224"/>
    </row>
    <row r="395" spans="2:35" x14ac:dyDescent="0.25">
      <c r="B395" s="239"/>
      <c r="C395" s="245"/>
      <c r="D395" s="223"/>
      <c r="E395" s="245"/>
      <c r="P395" s="225"/>
      <c r="AH395" s="224"/>
      <c r="AI395" s="224"/>
    </row>
    <row r="396" spans="2:35" x14ac:dyDescent="0.25">
      <c r="B396" s="239"/>
      <c r="C396" s="245"/>
      <c r="D396" s="223"/>
      <c r="E396" s="245"/>
      <c r="P396" s="225"/>
      <c r="AH396" s="224"/>
      <c r="AI396" s="224"/>
    </row>
    <row r="397" spans="2:35" x14ac:dyDescent="0.25">
      <c r="B397" s="239"/>
      <c r="C397" s="245"/>
      <c r="D397" s="223"/>
      <c r="E397" s="245"/>
      <c r="P397" s="225"/>
      <c r="AH397" s="224"/>
      <c r="AI397" s="224"/>
    </row>
    <row r="398" spans="2:35" x14ac:dyDescent="0.25">
      <c r="B398" s="239"/>
      <c r="C398" s="245"/>
      <c r="D398" s="223"/>
      <c r="E398" s="245"/>
      <c r="P398" s="225"/>
      <c r="AH398" s="224"/>
      <c r="AI398" s="224"/>
    </row>
    <row r="399" spans="2:35" x14ac:dyDescent="0.25">
      <c r="B399" s="239"/>
      <c r="C399" s="245"/>
      <c r="D399" s="223"/>
      <c r="E399" s="245"/>
      <c r="P399" s="225"/>
      <c r="AH399" s="224"/>
      <c r="AI399" s="224"/>
    </row>
    <row r="400" spans="2:35" x14ac:dyDescent="0.25">
      <c r="B400" s="239"/>
      <c r="C400" s="245"/>
      <c r="D400" s="223"/>
      <c r="E400" s="245"/>
      <c r="P400" s="225"/>
      <c r="AH400" s="224"/>
      <c r="AI400" s="224"/>
    </row>
    <row r="401" spans="2:35" x14ac:dyDescent="0.25">
      <c r="B401" s="239"/>
      <c r="C401" s="245"/>
      <c r="D401" s="223"/>
      <c r="E401" s="245"/>
      <c r="P401" s="225"/>
      <c r="AH401" s="224"/>
      <c r="AI401" s="224"/>
    </row>
    <row r="402" spans="2:35" x14ac:dyDescent="0.25">
      <c r="B402" s="239"/>
      <c r="C402" s="245"/>
      <c r="D402" s="223"/>
      <c r="E402" s="245"/>
      <c r="P402" s="225"/>
      <c r="AH402" s="224"/>
      <c r="AI402" s="224"/>
    </row>
    <row r="403" spans="2:35" x14ac:dyDescent="0.25">
      <c r="B403" s="239"/>
      <c r="C403" s="245"/>
      <c r="D403" s="223"/>
      <c r="E403" s="245"/>
      <c r="P403" s="225"/>
      <c r="AH403" s="224"/>
      <c r="AI403" s="224"/>
    </row>
    <row r="404" spans="2:35" x14ac:dyDescent="0.25">
      <c r="B404" s="239"/>
      <c r="C404" s="245"/>
      <c r="D404" s="223"/>
      <c r="E404" s="245"/>
      <c r="P404" s="225"/>
      <c r="AH404" s="224"/>
      <c r="AI404" s="224"/>
    </row>
    <row r="405" spans="2:35" x14ac:dyDescent="0.25">
      <c r="B405" s="239"/>
      <c r="C405" s="245"/>
      <c r="D405" s="223"/>
      <c r="E405" s="245"/>
      <c r="P405" s="225"/>
      <c r="AH405" s="224"/>
      <c r="AI405" s="224"/>
    </row>
    <row r="406" spans="2:35" x14ac:dyDescent="0.25">
      <c r="B406" s="239"/>
      <c r="C406" s="245"/>
      <c r="D406" s="223"/>
      <c r="E406" s="245"/>
      <c r="P406" s="225"/>
      <c r="AH406" s="224"/>
      <c r="AI406" s="224"/>
    </row>
    <row r="407" spans="2:35" x14ac:dyDescent="0.25">
      <c r="B407" s="239"/>
      <c r="C407" s="245"/>
      <c r="D407" s="223"/>
      <c r="E407" s="245"/>
      <c r="P407" s="225"/>
      <c r="AH407" s="224"/>
      <c r="AI407" s="224"/>
    </row>
    <row r="408" spans="2:35" x14ac:dyDescent="0.25">
      <c r="B408" s="239"/>
      <c r="C408" s="245"/>
      <c r="D408" s="223"/>
      <c r="E408" s="245"/>
      <c r="P408" s="225"/>
      <c r="AH408" s="224"/>
      <c r="AI408" s="224"/>
    </row>
    <row r="409" spans="2:35" x14ac:dyDescent="0.25">
      <c r="B409" s="239"/>
      <c r="C409" s="245"/>
      <c r="D409" s="223"/>
      <c r="E409" s="245"/>
      <c r="P409" s="225"/>
      <c r="AH409" s="224"/>
      <c r="AI409" s="224"/>
    </row>
    <row r="410" spans="2:35" x14ac:dyDescent="0.25">
      <c r="B410" s="239"/>
      <c r="C410" s="245"/>
      <c r="D410" s="223"/>
      <c r="E410" s="245"/>
      <c r="P410" s="225"/>
      <c r="AH410" s="224"/>
      <c r="AI410" s="224"/>
    </row>
    <row r="411" spans="2:35" x14ac:dyDescent="0.25">
      <c r="B411" s="239"/>
      <c r="C411" s="245"/>
      <c r="D411" s="223"/>
      <c r="E411" s="245"/>
      <c r="P411" s="225"/>
      <c r="AH411" s="224"/>
      <c r="AI411" s="224"/>
    </row>
    <row r="412" spans="2:35" x14ac:dyDescent="0.25">
      <c r="B412" s="239"/>
      <c r="C412" s="245"/>
      <c r="D412" s="223"/>
      <c r="E412" s="245"/>
      <c r="P412" s="225"/>
      <c r="AH412" s="224"/>
      <c r="AI412" s="224"/>
    </row>
    <row r="413" spans="2:35" x14ac:dyDescent="0.25">
      <c r="B413" s="239"/>
      <c r="C413" s="245"/>
      <c r="D413" s="223"/>
      <c r="E413" s="245"/>
      <c r="P413" s="225"/>
      <c r="AH413" s="224"/>
      <c r="AI413" s="224"/>
    </row>
    <row r="414" spans="2:35" x14ac:dyDescent="0.25">
      <c r="B414" s="239"/>
      <c r="C414" s="245"/>
      <c r="D414" s="223"/>
      <c r="E414" s="245"/>
      <c r="P414" s="225"/>
      <c r="AH414" s="224"/>
      <c r="AI414" s="224"/>
    </row>
    <row r="415" spans="2:35" x14ac:dyDescent="0.25">
      <c r="B415" s="239"/>
      <c r="C415" s="245"/>
      <c r="D415" s="223"/>
      <c r="E415" s="245"/>
      <c r="P415" s="225"/>
      <c r="AH415" s="224"/>
      <c r="AI415" s="224"/>
    </row>
    <row r="416" spans="2:35" x14ac:dyDescent="0.25">
      <c r="B416" s="239"/>
      <c r="C416" s="245"/>
      <c r="D416" s="223"/>
      <c r="E416" s="245"/>
      <c r="P416" s="225"/>
      <c r="AH416" s="224"/>
      <c r="AI416" s="224"/>
    </row>
    <row r="417" spans="2:35" x14ac:dyDescent="0.25">
      <c r="B417" s="239"/>
      <c r="C417" s="245"/>
      <c r="D417" s="223"/>
      <c r="E417" s="245"/>
      <c r="P417" s="225"/>
      <c r="AH417" s="224"/>
      <c r="AI417" s="224"/>
    </row>
    <row r="418" spans="2:35" x14ac:dyDescent="0.25">
      <c r="B418" s="239"/>
      <c r="C418" s="245"/>
      <c r="D418" s="223"/>
      <c r="E418" s="245"/>
      <c r="P418" s="225"/>
      <c r="AH418" s="224"/>
      <c r="AI418" s="224"/>
    </row>
    <row r="419" spans="2:35" x14ac:dyDescent="0.25">
      <c r="B419" s="239"/>
      <c r="C419" s="245"/>
      <c r="D419" s="223"/>
      <c r="E419" s="245"/>
      <c r="P419" s="225"/>
      <c r="AH419" s="224"/>
      <c r="AI419" s="224"/>
    </row>
    <row r="420" spans="2:35" x14ac:dyDescent="0.25">
      <c r="B420" s="239"/>
      <c r="C420" s="245"/>
      <c r="D420" s="223"/>
      <c r="E420" s="245"/>
      <c r="P420" s="225"/>
      <c r="AH420" s="224"/>
      <c r="AI420" s="224"/>
    </row>
    <row r="421" spans="2:35" x14ac:dyDescent="0.25">
      <c r="B421" s="239"/>
      <c r="C421" s="245"/>
      <c r="D421" s="223"/>
      <c r="E421" s="245"/>
      <c r="P421" s="225"/>
      <c r="AH421" s="224"/>
      <c r="AI421" s="224"/>
    </row>
    <row r="422" spans="2:35" x14ac:dyDescent="0.25">
      <c r="B422" s="239"/>
      <c r="C422" s="245"/>
      <c r="D422" s="223"/>
      <c r="E422" s="245"/>
      <c r="P422" s="225"/>
      <c r="AH422" s="224"/>
      <c r="AI422" s="224"/>
    </row>
    <row r="423" spans="2:35" x14ac:dyDescent="0.25">
      <c r="B423" s="239"/>
      <c r="C423" s="245"/>
      <c r="D423" s="223"/>
      <c r="E423" s="245"/>
      <c r="P423" s="225"/>
      <c r="AH423" s="224"/>
      <c r="AI423" s="224"/>
    </row>
    <row r="424" spans="2:35" x14ac:dyDescent="0.25">
      <c r="B424" s="239"/>
      <c r="C424" s="245"/>
      <c r="D424" s="223"/>
      <c r="E424" s="245"/>
      <c r="P424" s="225"/>
      <c r="AH424" s="224"/>
      <c r="AI424" s="224"/>
    </row>
    <row r="425" spans="2:35" x14ac:dyDescent="0.25">
      <c r="B425" s="239"/>
      <c r="C425" s="245"/>
      <c r="D425" s="223"/>
      <c r="E425" s="245"/>
      <c r="P425" s="225"/>
      <c r="AH425" s="224"/>
      <c r="AI425" s="224"/>
    </row>
    <row r="426" spans="2:35" x14ac:dyDescent="0.25">
      <c r="B426" s="239"/>
      <c r="C426" s="245"/>
      <c r="D426" s="223"/>
      <c r="E426" s="245"/>
      <c r="P426" s="225"/>
      <c r="AH426" s="224"/>
      <c r="AI426" s="224"/>
    </row>
    <row r="427" spans="2:35" x14ac:dyDescent="0.25">
      <c r="B427" s="239"/>
      <c r="C427" s="245"/>
      <c r="D427" s="223"/>
      <c r="E427" s="245"/>
      <c r="P427" s="225"/>
      <c r="AH427" s="224"/>
      <c r="AI427" s="224"/>
    </row>
    <row r="428" spans="2:35" x14ac:dyDescent="0.25">
      <c r="B428" s="239"/>
      <c r="C428" s="245"/>
      <c r="D428" s="223"/>
      <c r="E428" s="245"/>
      <c r="P428" s="225"/>
      <c r="AH428" s="224"/>
      <c r="AI428" s="224"/>
    </row>
    <row r="429" spans="2:35" x14ac:dyDescent="0.25">
      <c r="B429" s="239"/>
      <c r="C429" s="245"/>
      <c r="D429" s="223"/>
      <c r="E429" s="245"/>
      <c r="P429" s="225"/>
      <c r="AH429" s="224"/>
      <c r="AI429" s="224"/>
    </row>
    <row r="430" spans="2:35" x14ac:dyDescent="0.25">
      <c r="B430" s="239"/>
      <c r="C430" s="245"/>
      <c r="D430" s="223"/>
      <c r="E430" s="245"/>
      <c r="P430" s="225"/>
      <c r="AH430" s="224"/>
      <c r="AI430" s="224"/>
    </row>
    <row r="431" spans="2:35" x14ac:dyDescent="0.25">
      <c r="B431" s="239"/>
      <c r="C431" s="245"/>
      <c r="D431" s="223"/>
      <c r="E431" s="245"/>
      <c r="P431" s="225"/>
      <c r="AH431" s="224"/>
      <c r="AI431" s="224"/>
    </row>
    <row r="432" spans="2:35" x14ac:dyDescent="0.25">
      <c r="B432" s="239"/>
      <c r="C432" s="245"/>
      <c r="D432" s="223"/>
      <c r="E432" s="245"/>
      <c r="P432" s="225"/>
      <c r="AH432" s="224"/>
      <c r="AI432" s="224"/>
    </row>
    <row r="433" spans="2:35" x14ac:dyDescent="0.25">
      <c r="B433" s="239"/>
      <c r="C433" s="245"/>
      <c r="D433" s="223"/>
      <c r="E433" s="245"/>
      <c r="P433" s="225"/>
      <c r="AH433" s="224"/>
      <c r="AI433" s="224"/>
    </row>
    <row r="434" spans="2:35" x14ac:dyDescent="0.25">
      <c r="B434" s="239"/>
      <c r="C434" s="245"/>
      <c r="D434" s="223"/>
      <c r="E434" s="245"/>
      <c r="P434" s="225"/>
      <c r="AH434" s="224"/>
      <c r="AI434" s="224"/>
    </row>
    <row r="435" spans="2:35" x14ac:dyDescent="0.25">
      <c r="B435" s="239"/>
      <c r="C435" s="245"/>
      <c r="D435" s="223"/>
      <c r="E435" s="245"/>
      <c r="P435" s="225"/>
      <c r="AH435" s="224"/>
      <c r="AI435" s="224"/>
    </row>
    <row r="436" spans="2:35" x14ac:dyDescent="0.25">
      <c r="B436" s="239"/>
      <c r="C436" s="245"/>
      <c r="D436" s="223"/>
      <c r="E436" s="245"/>
      <c r="P436" s="225"/>
      <c r="AH436" s="224"/>
      <c r="AI436" s="224"/>
    </row>
    <row r="437" spans="2:35" x14ac:dyDescent="0.25">
      <c r="B437" s="239"/>
      <c r="C437" s="245"/>
      <c r="D437" s="223"/>
      <c r="E437" s="245"/>
      <c r="P437" s="225"/>
      <c r="AH437" s="224"/>
      <c r="AI437" s="224"/>
    </row>
    <row r="438" spans="2:35" x14ac:dyDescent="0.25">
      <c r="B438" s="239"/>
      <c r="C438" s="245"/>
      <c r="D438" s="223"/>
      <c r="E438" s="245"/>
      <c r="P438" s="225"/>
      <c r="AH438" s="224"/>
      <c r="AI438" s="224"/>
    </row>
    <row r="439" spans="2:35" x14ac:dyDescent="0.25">
      <c r="B439" s="239"/>
      <c r="C439" s="245"/>
      <c r="D439" s="223"/>
      <c r="E439" s="245"/>
      <c r="P439" s="225"/>
      <c r="AH439" s="224"/>
      <c r="AI439" s="224"/>
    </row>
    <row r="440" spans="2:35" x14ac:dyDescent="0.25">
      <c r="B440" s="239"/>
      <c r="C440" s="245"/>
      <c r="D440" s="223"/>
      <c r="E440" s="245"/>
      <c r="P440" s="225"/>
      <c r="AH440" s="224"/>
      <c r="AI440" s="224"/>
    </row>
    <row r="441" spans="2:35" x14ac:dyDescent="0.25">
      <c r="B441" s="239"/>
      <c r="C441" s="245"/>
      <c r="D441" s="223"/>
      <c r="E441" s="245"/>
      <c r="P441" s="225"/>
      <c r="AH441" s="224"/>
      <c r="AI441" s="224"/>
    </row>
    <row r="442" spans="2:35" x14ac:dyDescent="0.25">
      <c r="B442" s="239"/>
      <c r="C442" s="245"/>
      <c r="D442" s="223"/>
      <c r="E442" s="245"/>
      <c r="P442" s="225"/>
      <c r="AH442" s="224"/>
      <c r="AI442" s="224"/>
    </row>
    <row r="443" spans="2:35" x14ac:dyDescent="0.25">
      <c r="B443" s="239"/>
      <c r="C443" s="245"/>
      <c r="D443" s="223"/>
      <c r="E443" s="245"/>
      <c r="P443" s="225"/>
      <c r="AH443" s="224"/>
      <c r="AI443" s="224"/>
    </row>
    <row r="444" spans="2:35" x14ac:dyDescent="0.25">
      <c r="B444" s="239"/>
      <c r="C444" s="245"/>
      <c r="D444" s="223"/>
      <c r="E444" s="245"/>
      <c r="P444" s="225"/>
      <c r="AH444" s="224"/>
      <c r="AI444" s="224"/>
    </row>
    <row r="445" spans="2:35" x14ac:dyDescent="0.25">
      <c r="B445" s="239"/>
      <c r="C445" s="245"/>
      <c r="D445" s="223"/>
      <c r="E445" s="245"/>
      <c r="P445" s="225"/>
      <c r="AH445" s="224"/>
      <c r="AI445" s="224"/>
    </row>
    <row r="446" spans="2:35" x14ac:dyDescent="0.25">
      <c r="B446" s="239"/>
      <c r="C446" s="245"/>
      <c r="D446" s="223"/>
      <c r="E446" s="245"/>
      <c r="P446" s="225"/>
      <c r="AH446" s="224"/>
      <c r="AI446" s="224"/>
    </row>
    <row r="447" spans="2:35" x14ac:dyDescent="0.25">
      <c r="B447" s="239"/>
      <c r="C447" s="245"/>
      <c r="D447" s="223"/>
      <c r="E447" s="245"/>
      <c r="P447" s="225"/>
      <c r="AH447" s="224"/>
      <c r="AI447" s="224"/>
    </row>
    <row r="448" spans="2:35" x14ac:dyDescent="0.25">
      <c r="B448" s="239"/>
      <c r="C448" s="245"/>
      <c r="D448" s="223"/>
      <c r="E448" s="245"/>
      <c r="P448" s="225"/>
      <c r="AH448" s="224"/>
      <c r="AI448" s="224"/>
    </row>
    <row r="449" spans="2:35" x14ac:dyDescent="0.25">
      <c r="B449" s="239"/>
      <c r="C449" s="245"/>
      <c r="D449" s="223"/>
      <c r="E449" s="245"/>
      <c r="P449" s="225"/>
      <c r="AH449" s="224"/>
      <c r="AI449" s="224"/>
    </row>
    <row r="450" spans="2:35" x14ac:dyDescent="0.25">
      <c r="B450" s="239"/>
      <c r="C450" s="245"/>
      <c r="D450" s="223"/>
      <c r="E450" s="245"/>
      <c r="P450" s="225"/>
      <c r="AH450" s="224"/>
      <c r="AI450" s="224"/>
    </row>
    <row r="451" spans="2:35" x14ac:dyDescent="0.25">
      <c r="B451" s="239"/>
      <c r="C451" s="245"/>
      <c r="D451" s="223"/>
      <c r="E451" s="245"/>
      <c r="P451" s="225"/>
      <c r="AH451" s="224"/>
      <c r="AI451" s="224"/>
    </row>
    <row r="452" spans="2:35" x14ac:dyDescent="0.25">
      <c r="B452" s="239"/>
      <c r="C452" s="245"/>
      <c r="D452" s="223"/>
      <c r="E452" s="245"/>
      <c r="P452" s="225"/>
      <c r="AH452" s="224"/>
      <c r="AI452" s="224"/>
    </row>
    <row r="453" spans="2:35" x14ac:dyDescent="0.25">
      <c r="B453" s="239"/>
      <c r="C453" s="245"/>
      <c r="D453" s="223"/>
      <c r="E453" s="245"/>
      <c r="P453" s="225"/>
      <c r="AH453" s="224"/>
      <c r="AI453" s="224"/>
    </row>
    <row r="454" spans="2:35" x14ac:dyDescent="0.25">
      <c r="B454" s="239"/>
      <c r="C454" s="245"/>
      <c r="D454" s="223"/>
      <c r="E454" s="245"/>
      <c r="P454" s="225"/>
      <c r="AH454" s="224"/>
      <c r="AI454" s="224"/>
    </row>
    <row r="455" spans="2:35" x14ac:dyDescent="0.25">
      <c r="B455" s="239"/>
      <c r="C455" s="245"/>
      <c r="D455" s="223"/>
      <c r="E455" s="245"/>
      <c r="P455" s="225"/>
      <c r="AH455" s="224"/>
      <c r="AI455" s="224"/>
    </row>
    <row r="456" spans="2:35" x14ac:dyDescent="0.25">
      <c r="B456" s="239"/>
      <c r="C456" s="245"/>
      <c r="D456" s="223"/>
      <c r="E456" s="245"/>
      <c r="P456" s="225"/>
      <c r="AH456" s="224"/>
      <c r="AI456" s="224"/>
    </row>
    <row r="457" spans="2:35" x14ac:dyDescent="0.25">
      <c r="B457" s="239"/>
      <c r="C457" s="245"/>
      <c r="D457" s="223"/>
      <c r="E457" s="245"/>
      <c r="P457" s="225"/>
      <c r="AH457" s="224"/>
      <c r="AI457" s="224"/>
    </row>
    <row r="458" spans="2:35" x14ac:dyDescent="0.25">
      <c r="B458" s="239"/>
      <c r="C458" s="245"/>
      <c r="D458" s="223"/>
      <c r="E458" s="245"/>
      <c r="P458" s="225"/>
      <c r="AH458" s="224"/>
      <c r="AI458" s="224"/>
    </row>
    <row r="459" spans="2:35" x14ac:dyDescent="0.25">
      <c r="B459" s="239"/>
      <c r="C459" s="245"/>
      <c r="D459" s="223"/>
      <c r="E459" s="245"/>
      <c r="P459" s="225"/>
      <c r="AH459" s="224"/>
      <c r="AI459" s="224"/>
    </row>
    <row r="460" spans="2:35" x14ac:dyDescent="0.25">
      <c r="B460" s="239"/>
      <c r="C460" s="245"/>
      <c r="D460" s="223"/>
      <c r="E460" s="245"/>
      <c r="P460" s="225"/>
      <c r="AH460" s="224"/>
      <c r="AI460" s="224"/>
    </row>
    <row r="461" spans="2:35" x14ac:dyDescent="0.25">
      <c r="B461" s="239"/>
      <c r="C461" s="245"/>
      <c r="D461" s="223"/>
      <c r="E461" s="245"/>
      <c r="P461" s="225"/>
      <c r="AH461" s="224"/>
      <c r="AI461" s="224"/>
    </row>
    <row r="462" spans="2:35" x14ac:dyDescent="0.25">
      <c r="B462" s="239"/>
      <c r="C462" s="245"/>
      <c r="D462" s="223"/>
      <c r="E462" s="245"/>
      <c r="P462" s="225"/>
      <c r="AH462" s="224"/>
      <c r="AI462" s="224"/>
    </row>
    <row r="463" spans="2:35" x14ac:dyDescent="0.25">
      <c r="B463" s="239"/>
      <c r="C463" s="245"/>
      <c r="D463" s="223"/>
      <c r="E463" s="245"/>
      <c r="P463" s="225"/>
      <c r="AH463" s="224"/>
      <c r="AI463" s="224"/>
    </row>
    <row r="464" spans="2:35" x14ac:dyDescent="0.25">
      <c r="B464" s="239"/>
      <c r="C464" s="245"/>
      <c r="D464" s="223"/>
      <c r="E464" s="245"/>
      <c r="P464" s="225"/>
      <c r="AH464" s="224"/>
      <c r="AI464" s="224"/>
    </row>
    <row r="465" spans="2:35" x14ac:dyDescent="0.25">
      <c r="B465" s="239"/>
      <c r="C465" s="245"/>
      <c r="D465" s="223"/>
      <c r="E465" s="245"/>
      <c r="P465" s="225"/>
      <c r="AH465" s="224"/>
      <c r="AI465" s="224"/>
    </row>
    <row r="466" spans="2:35" x14ac:dyDescent="0.25">
      <c r="B466" s="239"/>
      <c r="C466" s="245"/>
      <c r="D466" s="223"/>
      <c r="E466" s="245"/>
      <c r="P466" s="225"/>
      <c r="AH466" s="224"/>
      <c r="AI466" s="224"/>
    </row>
    <row r="467" spans="2:35" x14ac:dyDescent="0.25">
      <c r="B467" s="239"/>
      <c r="C467" s="245"/>
      <c r="D467" s="223"/>
      <c r="E467" s="245"/>
      <c r="P467" s="225"/>
      <c r="AH467" s="224"/>
      <c r="AI467" s="224"/>
    </row>
    <row r="468" spans="2:35" x14ac:dyDescent="0.25">
      <c r="B468" s="239"/>
      <c r="C468" s="245"/>
      <c r="D468" s="223"/>
      <c r="E468" s="245"/>
      <c r="P468" s="225"/>
      <c r="AH468" s="224"/>
      <c r="AI468" s="224"/>
    </row>
    <row r="469" spans="2:35" x14ac:dyDescent="0.25">
      <c r="B469" s="239"/>
      <c r="C469" s="245"/>
      <c r="D469" s="223"/>
      <c r="E469" s="245"/>
      <c r="P469" s="225"/>
      <c r="AH469" s="224"/>
      <c r="AI469" s="224"/>
    </row>
    <row r="470" spans="2:35" x14ac:dyDescent="0.25">
      <c r="B470" s="239"/>
      <c r="C470" s="245"/>
      <c r="D470" s="223"/>
      <c r="E470" s="245"/>
      <c r="P470" s="225"/>
      <c r="AH470" s="224"/>
      <c r="AI470" s="224"/>
    </row>
    <row r="471" spans="2:35" x14ac:dyDescent="0.25">
      <c r="B471" s="239"/>
      <c r="C471" s="245"/>
      <c r="D471" s="223"/>
      <c r="E471" s="245"/>
      <c r="P471" s="225"/>
      <c r="AH471" s="224"/>
      <c r="AI471" s="224"/>
    </row>
    <row r="472" spans="2:35" x14ac:dyDescent="0.25">
      <c r="B472" s="239"/>
      <c r="C472" s="245"/>
      <c r="D472" s="223"/>
      <c r="E472" s="245"/>
      <c r="P472" s="225"/>
      <c r="AH472" s="224"/>
      <c r="AI472" s="224"/>
    </row>
    <row r="473" spans="2:35" x14ac:dyDescent="0.25">
      <c r="B473" s="239"/>
      <c r="C473" s="245"/>
      <c r="D473" s="223"/>
      <c r="E473" s="245"/>
      <c r="P473" s="225"/>
      <c r="AH473" s="224"/>
      <c r="AI473" s="224"/>
    </row>
    <row r="474" spans="2:35" x14ac:dyDescent="0.25">
      <c r="B474" s="239"/>
      <c r="C474" s="245"/>
      <c r="D474" s="223"/>
      <c r="E474" s="245"/>
      <c r="P474" s="225"/>
      <c r="AH474" s="224"/>
      <c r="AI474" s="224"/>
    </row>
    <row r="475" spans="2:35" x14ac:dyDescent="0.25">
      <c r="B475" s="239"/>
      <c r="C475" s="245"/>
      <c r="D475" s="223"/>
      <c r="E475" s="245"/>
      <c r="P475" s="225"/>
      <c r="AH475" s="224"/>
      <c r="AI475" s="224"/>
    </row>
    <row r="476" spans="2:35" x14ac:dyDescent="0.25">
      <c r="B476" s="239"/>
      <c r="C476" s="245"/>
      <c r="D476" s="223"/>
      <c r="E476" s="245"/>
      <c r="P476" s="225"/>
      <c r="AH476" s="224"/>
      <c r="AI476" s="224"/>
    </row>
    <row r="477" spans="2:35" x14ac:dyDescent="0.25">
      <c r="B477" s="239"/>
      <c r="C477" s="245"/>
      <c r="D477" s="223"/>
      <c r="E477" s="245"/>
      <c r="P477" s="225"/>
      <c r="AH477" s="224"/>
      <c r="AI477" s="224"/>
    </row>
    <row r="478" spans="2:35" x14ac:dyDescent="0.25">
      <c r="B478" s="239"/>
      <c r="C478" s="245"/>
      <c r="D478" s="223"/>
      <c r="E478" s="245"/>
      <c r="P478" s="225"/>
      <c r="AH478" s="224"/>
      <c r="AI478" s="224"/>
    </row>
    <row r="479" spans="2:35" x14ac:dyDescent="0.25">
      <c r="B479" s="239"/>
      <c r="C479" s="245"/>
      <c r="D479" s="223"/>
      <c r="E479" s="245"/>
      <c r="P479" s="225"/>
      <c r="AH479" s="224"/>
      <c r="AI479" s="224"/>
    </row>
    <row r="480" spans="2:35" x14ac:dyDescent="0.25">
      <c r="B480" s="239"/>
      <c r="C480" s="245"/>
      <c r="D480" s="223"/>
      <c r="E480" s="245"/>
      <c r="P480" s="225"/>
      <c r="AH480" s="224"/>
      <c r="AI480" s="224"/>
    </row>
    <row r="481" spans="2:35" x14ac:dyDescent="0.25">
      <c r="B481" s="239"/>
      <c r="C481" s="245"/>
      <c r="D481" s="223"/>
      <c r="E481" s="245"/>
      <c r="P481" s="225"/>
      <c r="AH481" s="224"/>
      <c r="AI481" s="224"/>
    </row>
    <row r="482" spans="2:35" x14ac:dyDescent="0.25">
      <c r="B482" s="239"/>
      <c r="C482" s="245"/>
      <c r="D482" s="223"/>
      <c r="E482" s="245"/>
      <c r="P482" s="225"/>
      <c r="AH482" s="224"/>
      <c r="AI482" s="224"/>
    </row>
    <row r="483" spans="2:35" x14ac:dyDescent="0.25">
      <c r="B483" s="239"/>
      <c r="C483" s="245"/>
      <c r="D483" s="223"/>
      <c r="E483" s="245"/>
      <c r="P483" s="225"/>
      <c r="AH483" s="224"/>
      <c r="AI483" s="224"/>
    </row>
    <row r="484" spans="2:35" x14ac:dyDescent="0.25">
      <c r="B484" s="239"/>
      <c r="C484" s="245"/>
      <c r="D484" s="223"/>
      <c r="E484" s="245"/>
      <c r="P484" s="225"/>
      <c r="AH484" s="224"/>
      <c r="AI484" s="224"/>
    </row>
    <row r="485" spans="2:35" x14ac:dyDescent="0.25">
      <c r="B485" s="239"/>
      <c r="C485" s="245"/>
      <c r="D485" s="223"/>
      <c r="E485" s="245"/>
      <c r="P485" s="225"/>
      <c r="AH485" s="224"/>
      <c r="AI485" s="224"/>
    </row>
    <row r="486" spans="2:35" x14ac:dyDescent="0.25">
      <c r="B486" s="239"/>
      <c r="C486" s="245"/>
      <c r="D486" s="223"/>
      <c r="E486" s="245"/>
      <c r="P486" s="225"/>
      <c r="AH486" s="224"/>
      <c r="AI486" s="224"/>
    </row>
    <row r="487" spans="2:35" x14ac:dyDescent="0.25">
      <c r="B487" s="239"/>
      <c r="C487" s="245"/>
      <c r="D487" s="223"/>
      <c r="E487" s="245"/>
      <c r="P487" s="225"/>
      <c r="AH487" s="224"/>
      <c r="AI487" s="224"/>
    </row>
    <row r="488" spans="2:35" x14ac:dyDescent="0.25">
      <c r="B488" s="239"/>
      <c r="C488" s="245"/>
      <c r="D488" s="223"/>
      <c r="E488" s="245"/>
      <c r="P488" s="225"/>
      <c r="AH488" s="224"/>
      <c r="AI488" s="224"/>
    </row>
    <row r="489" spans="2:35" x14ac:dyDescent="0.25">
      <c r="B489" s="239"/>
      <c r="C489" s="245"/>
      <c r="D489" s="223"/>
      <c r="E489" s="245"/>
      <c r="P489" s="225"/>
      <c r="AH489" s="224"/>
      <c r="AI489" s="224"/>
    </row>
    <row r="490" spans="2:35" x14ac:dyDescent="0.25">
      <c r="B490" s="239"/>
      <c r="C490" s="245"/>
      <c r="D490" s="223"/>
      <c r="E490" s="245"/>
      <c r="P490" s="225"/>
      <c r="AH490" s="224"/>
      <c r="AI490" s="224"/>
    </row>
    <row r="491" spans="2:35" x14ac:dyDescent="0.25">
      <c r="B491" s="239"/>
      <c r="C491" s="245"/>
      <c r="D491" s="223"/>
      <c r="E491" s="245"/>
      <c r="P491" s="225"/>
      <c r="AH491" s="224"/>
      <c r="AI491" s="224"/>
    </row>
    <row r="492" spans="2:35" x14ac:dyDescent="0.25">
      <c r="B492" s="239"/>
      <c r="C492" s="245"/>
      <c r="D492" s="223"/>
      <c r="E492" s="245"/>
      <c r="P492" s="225"/>
      <c r="AH492" s="224"/>
      <c r="AI492" s="224"/>
    </row>
    <row r="493" spans="2:35" x14ac:dyDescent="0.25">
      <c r="B493" s="239"/>
      <c r="C493" s="245"/>
      <c r="D493" s="223"/>
      <c r="E493" s="245"/>
      <c r="P493" s="225"/>
      <c r="AH493" s="224"/>
      <c r="AI493" s="224"/>
    </row>
    <row r="494" spans="2:35" x14ac:dyDescent="0.25">
      <c r="B494" s="239"/>
      <c r="C494" s="245"/>
      <c r="D494" s="223"/>
      <c r="E494" s="245"/>
      <c r="P494" s="225"/>
      <c r="AH494" s="224"/>
      <c r="AI494" s="224"/>
    </row>
    <row r="495" spans="2:35" x14ac:dyDescent="0.25">
      <c r="B495" s="239"/>
      <c r="C495" s="245"/>
      <c r="D495" s="223"/>
      <c r="E495" s="245"/>
      <c r="P495" s="225"/>
      <c r="AH495" s="224"/>
      <c r="AI495" s="224"/>
    </row>
    <row r="496" spans="2:35" x14ac:dyDescent="0.25">
      <c r="B496" s="239"/>
      <c r="C496" s="245"/>
      <c r="D496" s="223"/>
      <c r="E496" s="245"/>
      <c r="P496" s="225"/>
      <c r="AH496" s="224"/>
      <c r="AI496" s="224"/>
    </row>
    <row r="497" spans="2:35" x14ac:dyDescent="0.25">
      <c r="B497" s="239"/>
      <c r="C497" s="245"/>
      <c r="D497" s="223"/>
      <c r="E497" s="245"/>
      <c r="P497" s="225"/>
      <c r="AH497" s="224"/>
      <c r="AI497" s="224"/>
    </row>
    <row r="498" spans="2:35" x14ac:dyDescent="0.25">
      <c r="B498" s="239"/>
      <c r="C498" s="245"/>
      <c r="D498" s="223"/>
      <c r="E498" s="245"/>
      <c r="P498" s="225"/>
      <c r="AH498" s="224"/>
      <c r="AI498" s="224"/>
    </row>
    <row r="499" spans="2:35" x14ac:dyDescent="0.25">
      <c r="B499" s="239"/>
      <c r="C499" s="245"/>
      <c r="D499" s="223"/>
      <c r="E499" s="245"/>
      <c r="P499" s="225"/>
      <c r="AH499" s="224"/>
      <c r="AI499" s="224"/>
    </row>
    <row r="500" spans="2:35" x14ac:dyDescent="0.25">
      <c r="B500" s="239"/>
      <c r="C500" s="245"/>
      <c r="D500" s="223"/>
      <c r="E500" s="245"/>
      <c r="P500" s="225"/>
      <c r="AH500" s="224"/>
      <c r="AI500" s="224"/>
    </row>
    <row r="501" spans="2:35" x14ac:dyDescent="0.25">
      <c r="B501" s="239"/>
      <c r="C501" s="245"/>
      <c r="D501" s="223"/>
      <c r="E501" s="245"/>
      <c r="P501" s="225"/>
      <c r="AH501" s="224"/>
      <c r="AI501" s="224"/>
    </row>
    <row r="502" spans="2:35" x14ac:dyDescent="0.25">
      <c r="B502" s="239"/>
      <c r="C502" s="245"/>
      <c r="D502" s="223"/>
      <c r="E502" s="245"/>
      <c r="P502" s="225"/>
      <c r="AH502" s="224"/>
      <c r="AI502" s="224"/>
    </row>
    <row r="503" spans="2:35" x14ac:dyDescent="0.25">
      <c r="B503" s="239"/>
      <c r="C503" s="245"/>
      <c r="D503" s="223"/>
      <c r="E503" s="245"/>
      <c r="P503" s="225"/>
      <c r="AH503" s="224"/>
      <c r="AI503" s="224"/>
    </row>
    <row r="504" spans="2:35" x14ac:dyDescent="0.25">
      <c r="B504" s="239"/>
      <c r="C504" s="245"/>
      <c r="D504" s="223"/>
      <c r="E504" s="245"/>
      <c r="P504" s="225"/>
      <c r="AH504" s="224"/>
      <c r="AI504" s="224"/>
    </row>
    <row r="505" spans="2:35" x14ac:dyDescent="0.25">
      <c r="B505" s="239"/>
      <c r="C505" s="245"/>
      <c r="D505" s="223"/>
      <c r="E505" s="245"/>
      <c r="P505" s="225"/>
      <c r="AH505" s="224"/>
      <c r="AI505" s="224"/>
    </row>
    <row r="506" spans="2:35" x14ac:dyDescent="0.25">
      <c r="B506" s="239"/>
      <c r="C506" s="245"/>
      <c r="D506" s="223"/>
      <c r="E506" s="245"/>
      <c r="P506" s="225"/>
      <c r="AH506" s="224"/>
      <c r="AI506" s="224"/>
    </row>
    <row r="507" spans="2:35" x14ac:dyDescent="0.25">
      <c r="B507" s="239"/>
      <c r="C507" s="245"/>
      <c r="D507" s="223"/>
      <c r="E507" s="245"/>
      <c r="P507" s="225"/>
      <c r="AH507" s="224"/>
      <c r="AI507" s="224"/>
    </row>
    <row r="508" spans="2:35" x14ac:dyDescent="0.25">
      <c r="B508" s="239"/>
      <c r="C508" s="245"/>
      <c r="D508" s="223"/>
      <c r="E508" s="245"/>
      <c r="P508" s="225"/>
      <c r="AH508" s="224"/>
      <c r="AI508" s="224"/>
    </row>
    <row r="509" spans="2:35" x14ac:dyDescent="0.25">
      <c r="B509" s="239"/>
      <c r="C509" s="245"/>
      <c r="D509" s="223"/>
      <c r="E509" s="245"/>
      <c r="P509" s="225"/>
      <c r="AH509" s="224"/>
      <c r="AI509" s="224"/>
    </row>
    <row r="510" spans="2:35" x14ac:dyDescent="0.25">
      <c r="B510" s="239"/>
      <c r="C510" s="245"/>
      <c r="D510" s="223"/>
      <c r="E510" s="245"/>
      <c r="P510" s="225"/>
      <c r="AH510" s="224"/>
      <c r="AI510" s="224"/>
    </row>
    <row r="511" spans="2:35" x14ac:dyDescent="0.25">
      <c r="B511" s="239"/>
      <c r="C511" s="245"/>
      <c r="D511" s="223"/>
      <c r="E511" s="245"/>
      <c r="P511" s="225"/>
      <c r="AH511" s="224"/>
      <c r="AI511" s="224"/>
    </row>
    <row r="512" spans="2:35" x14ac:dyDescent="0.25">
      <c r="B512" s="239"/>
      <c r="C512" s="245"/>
      <c r="D512" s="223"/>
      <c r="E512" s="245"/>
      <c r="P512" s="225"/>
      <c r="AH512" s="224"/>
      <c r="AI512" s="224"/>
    </row>
    <row r="513" spans="2:35" x14ac:dyDescent="0.25">
      <c r="B513" s="239"/>
      <c r="C513" s="245"/>
      <c r="D513" s="223"/>
      <c r="E513" s="245"/>
      <c r="P513" s="225"/>
      <c r="AH513" s="224"/>
      <c r="AI513" s="224"/>
    </row>
    <row r="514" spans="2:35" x14ac:dyDescent="0.25">
      <c r="B514" s="239"/>
      <c r="C514" s="245"/>
      <c r="D514" s="223"/>
      <c r="E514" s="245"/>
      <c r="P514" s="225"/>
      <c r="AH514" s="224"/>
      <c r="AI514" s="224"/>
    </row>
    <row r="515" spans="2:35" x14ac:dyDescent="0.25">
      <c r="B515" s="239"/>
      <c r="C515" s="245"/>
      <c r="D515" s="223"/>
      <c r="E515" s="245"/>
      <c r="P515" s="225"/>
      <c r="AH515" s="224"/>
      <c r="AI515" s="224"/>
    </row>
    <row r="516" spans="2:35" x14ac:dyDescent="0.25">
      <c r="B516" s="239"/>
      <c r="C516" s="245"/>
      <c r="D516" s="223"/>
      <c r="E516" s="245"/>
      <c r="P516" s="225"/>
      <c r="AH516" s="224"/>
      <c r="AI516" s="224"/>
    </row>
    <row r="517" spans="2:35" x14ac:dyDescent="0.25">
      <c r="B517" s="239"/>
      <c r="C517" s="245"/>
      <c r="D517" s="223"/>
      <c r="E517" s="245"/>
      <c r="P517" s="225"/>
      <c r="AH517" s="224"/>
      <c r="AI517" s="224"/>
    </row>
    <row r="518" spans="2:35" x14ac:dyDescent="0.25">
      <c r="B518" s="239"/>
      <c r="C518" s="245"/>
      <c r="D518" s="223"/>
      <c r="E518" s="245"/>
      <c r="P518" s="225"/>
      <c r="AH518" s="224"/>
      <c r="AI518" s="224"/>
    </row>
    <row r="519" spans="2:35" x14ac:dyDescent="0.25">
      <c r="B519" s="239"/>
      <c r="C519" s="245"/>
      <c r="D519" s="223"/>
      <c r="E519" s="245"/>
      <c r="P519" s="225"/>
      <c r="AH519" s="224"/>
      <c r="AI519" s="224"/>
    </row>
    <row r="520" spans="2:35" x14ac:dyDescent="0.25">
      <c r="B520" s="239"/>
      <c r="C520" s="245"/>
      <c r="D520" s="223"/>
      <c r="E520" s="245"/>
      <c r="P520" s="225"/>
      <c r="AH520" s="224"/>
      <c r="AI520" s="224"/>
    </row>
    <row r="521" spans="2:35" x14ac:dyDescent="0.25">
      <c r="B521" s="239"/>
      <c r="C521" s="245"/>
      <c r="D521" s="223"/>
      <c r="E521" s="245"/>
      <c r="P521" s="225"/>
      <c r="AH521" s="224"/>
      <c r="AI521" s="224"/>
    </row>
    <row r="522" spans="2:35" x14ac:dyDescent="0.25">
      <c r="B522" s="239"/>
      <c r="C522" s="245"/>
      <c r="D522" s="223"/>
      <c r="E522" s="245"/>
      <c r="P522" s="225"/>
      <c r="AH522" s="224"/>
      <c r="AI522" s="224"/>
    </row>
    <row r="523" spans="2:35" x14ac:dyDescent="0.25">
      <c r="B523" s="239"/>
      <c r="C523" s="245"/>
      <c r="D523" s="223"/>
      <c r="E523" s="245"/>
      <c r="P523" s="225"/>
      <c r="AH523" s="224"/>
      <c r="AI523" s="224"/>
    </row>
    <row r="524" spans="2:35" x14ac:dyDescent="0.25">
      <c r="B524" s="239"/>
      <c r="C524" s="245"/>
      <c r="D524" s="223"/>
      <c r="E524" s="245"/>
      <c r="P524" s="225"/>
      <c r="AH524" s="224"/>
      <c r="AI524" s="224"/>
    </row>
    <row r="525" spans="2:35" x14ac:dyDescent="0.25">
      <c r="B525" s="239"/>
      <c r="C525" s="245"/>
      <c r="D525" s="223"/>
      <c r="E525" s="245"/>
      <c r="P525" s="225"/>
      <c r="AH525" s="224"/>
      <c r="AI525" s="224"/>
    </row>
    <row r="526" spans="2:35" x14ac:dyDescent="0.25">
      <c r="B526" s="239"/>
      <c r="C526" s="245"/>
      <c r="D526" s="223"/>
      <c r="E526" s="245"/>
      <c r="P526" s="225"/>
      <c r="AH526" s="224"/>
      <c r="AI526" s="224"/>
    </row>
    <row r="527" spans="2:35" x14ac:dyDescent="0.25">
      <c r="B527" s="239"/>
      <c r="C527" s="245"/>
      <c r="D527" s="223"/>
      <c r="E527" s="245"/>
      <c r="P527" s="225"/>
      <c r="AH527" s="224"/>
      <c r="AI527" s="224"/>
    </row>
    <row r="528" spans="2:35" x14ac:dyDescent="0.25">
      <c r="B528" s="239"/>
      <c r="C528" s="245"/>
      <c r="D528" s="223"/>
      <c r="E528" s="245"/>
      <c r="P528" s="225"/>
      <c r="AH528" s="224"/>
      <c r="AI528" s="224"/>
    </row>
    <row r="529" spans="2:35" x14ac:dyDescent="0.25">
      <c r="B529" s="239"/>
      <c r="C529" s="245"/>
      <c r="D529" s="223"/>
      <c r="E529" s="245"/>
      <c r="P529" s="225"/>
      <c r="AH529" s="224"/>
      <c r="AI529" s="224"/>
    </row>
    <row r="530" spans="2:35" x14ac:dyDescent="0.25">
      <c r="B530" s="239"/>
      <c r="C530" s="245"/>
      <c r="D530" s="223"/>
      <c r="E530" s="245"/>
      <c r="P530" s="225"/>
      <c r="AH530" s="224"/>
      <c r="AI530" s="224"/>
    </row>
    <row r="531" spans="2:35" x14ac:dyDescent="0.25">
      <c r="B531" s="239"/>
      <c r="C531" s="245"/>
      <c r="D531" s="223"/>
      <c r="E531" s="245"/>
      <c r="P531" s="225"/>
      <c r="AH531" s="224"/>
      <c r="AI531" s="224"/>
    </row>
    <row r="532" spans="2:35" x14ac:dyDescent="0.25">
      <c r="B532" s="239"/>
      <c r="C532" s="245"/>
      <c r="D532" s="223"/>
      <c r="E532" s="245"/>
      <c r="P532" s="225"/>
      <c r="AH532" s="224"/>
      <c r="AI532" s="224"/>
    </row>
    <row r="533" spans="2:35" x14ac:dyDescent="0.25">
      <c r="B533" s="239"/>
      <c r="C533" s="245"/>
      <c r="D533" s="223"/>
      <c r="E533" s="245"/>
      <c r="P533" s="225"/>
      <c r="AH533" s="224"/>
      <c r="AI533" s="224"/>
    </row>
    <row r="534" spans="2:35" x14ac:dyDescent="0.25">
      <c r="B534" s="239"/>
      <c r="C534" s="245"/>
      <c r="D534" s="223"/>
      <c r="E534" s="245"/>
      <c r="P534" s="225"/>
      <c r="AH534" s="224"/>
      <c r="AI534" s="224"/>
    </row>
    <row r="535" spans="2:35" x14ac:dyDescent="0.25">
      <c r="B535" s="239"/>
      <c r="C535" s="245"/>
      <c r="D535" s="223"/>
      <c r="E535" s="245"/>
      <c r="P535" s="225"/>
      <c r="AH535" s="224"/>
      <c r="AI535" s="224"/>
    </row>
    <row r="536" spans="2:35" x14ac:dyDescent="0.25">
      <c r="B536" s="239"/>
      <c r="C536" s="245"/>
      <c r="D536" s="223"/>
      <c r="E536" s="245"/>
      <c r="P536" s="225"/>
      <c r="AH536" s="224"/>
      <c r="AI536" s="224"/>
    </row>
    <row r="537" spans="2:35" x14ac:dyDescent="0.25">
      <c r="B537" s="239"/>
      <c r="C537" s="245"/>
      <c r="D537" s="223"/>
      <c r="E537" s="245"/>
      <c r="P537" s="225"/>
      <c r="AH537" s="224"/>
      <c r="AI537" s="224"/>
    </row>
    <row r="538" spans="2:35" x14ac:dyDescent="0.25">
      <c r="B538" s="239"/>
      <c r="C538" s="245"/>
      <c r="D538" s="223"/>
      <c r="E538" s="245"/>
      <c r="P538" s="225"/>
      <c r="AH538" s="224"/>
      <c r="AI538" s="224"/>
    </row>
    <row r="539" spans="2:35" x14ac:dyDescent="0.25">
      <c r="B539" s="239"/>
      <c r="C539" s="245"/>
      <c r="D539" s="223"/>
      <c r="E539" s="245"/>
      <c r="P539" s="225"/>
      <c r="AH539" s="224"/>
      <c r="AI539" s="224"/>
    </row>
    <row r="540" spans="2:35" x14ac:dyDescent="0.25">
      <c r="B540" s="239"/>
      <c r="C540" s="245"/>
      <c r="D540" s="223"/>
      <c r="E540" s="245"/>
      <c r="P540" s="225"/>
      <c r="AH540" s="224"/>
      <c r="AI540" s="224"/>
    </row>
    <row r="541" spans="2:35" x14ac:dyDescent="0.25">
      <c r="B541" s="239"/>
      <c r="C541" s="245"/>
      <c r="D541" s="223"/>
      <c r="E541" s="245"/>
      <c r="P541" s="225"/>
      <c r="AH541" s="224"/>
      <c r="AI541" s="224"/>
    </row>
    <row r="542" spans="2:35" x14ac:dyDescent="0.25">
      <c r="B542" s="239"/>
      <c r="C542" s="245"/>
      <c r="D542" s="223"/>
      <c r="E542" s="245"/>
      <c r="P542" s="225"/>
      <c r="AH542" s="224"/>
      <c r="AI542" s="224"/>
    </row>
    <row r="543" spans="2:35" x14ac:dyDescent="0.25">
      <c r="B543" s="239"/>
      <c r="C543" s="245"/>
      <c r="D543" s="223"/>
      <c r="E543" s="245"/>
      <c r="P543" s="225"/>
      <c r="AH543" s="224"/>
      <c r="AI543" s="224"/>
    </row>
    <row r="544" spans="2:35" x14ac:dyDescent="0.25">
      <c r="B544" s="239"/>
      <c r="C544" s="245"/>
      <c r="D544" s="223"/>
      <c r="E544" s="245"/>
      <c r="P544" s="225"/>
      <c r="AH544" s="224"/>
      <c r="AI544" s="224"/>
    </row>
    <row r="545" spans="2:35" x14ac:dyDescent="0.25">
      <c r="B545" s="239"/>
      <c r="C545" s="245"/>
      <c r="D545" s="223"/>
      <c r="E545" s="245"/>
      <c r="P545" s="225"/>
      <c r="AH545" s="224"/>
      <c r="AI545" s="224"/>
    </row>
    <row r="546" spans="2:35" x14ac:dyDescent="0.25">
      <c r="B546" s="239"/>
      <c r="C546" s="245"/>
      <c r="D546" s="223"/>
      <c r="E546" s="245"/>
      <c r="P546" s="225"/>
      <c r="AH546" s="224"/>
      <c r="AI546" s="224"/>
    </row>
    <row r="547" spans="2:35" x14ac:dyDescent="0.25">
      <c r="B547" s="239"/>
      <c r="C547" s="245"/>
      <c r="D547" s="223"/>
      <c r="E547" s="245"/>
      <c r="P547" s="225"/>
      <c r="AH547" s="224"/>
      <c r="AI547" s="224"/>
    </row>
    <row r="548" spans="2:35" x14ac:dyDescent="0.25">
      <c r="B548" s="239"/>
      <c r="C548" s="245"/>
      <c r="D548" s="223"/>
      <c r="E548" s="245"/>
      <c r="P548" s="225"/>
      <c r="AH548" s="224"/>
      <c r="AI548" s="224"/>
    </row>
    <row r="549" spans="2:35" x14ac:dyDescent="0.25">
      <c r="B549" s="239"/>
      <c r="C549" s="245"/>
      <c r="D549" s="223"/>
      <c r="E549" s="245"/>
      <c r="P549" s="225"/>
      <c r="AH549" s="224"/>
      <c r="AI549" s="224"/>
    </row>
    <row r="550" spans="2:35" x14ac:dyDescent="0.25">
      <c r="B550" s="239"/>
      <c r="C550" s="245"/>
      <c r="D550" s="223"/>
      <c r="E550" s="245"/>
      <c r="P550" s="225"/>
      <c r="AH550" s="224"/>
      <c r="AI550" s="224"/>
    </row>
    <row r="551" spans="2:35" x14ac:dyDescent="0.25">
      <c r="B551" s="239"/>
      <c r="C551" s="245"/>
      <c r="D551" s="223"/>
      <c r="E551" s="245"/>
      <c r="P551" s="225"/>
      <c r="AH551" s="224"/>
      <c r="AI551" s="224"/>
    </row>
    <row r="552" spans="2:35" x14ac:dyDescent="0.25">
      <c r="B552" s="239"/>
      <c r="C552" s="245"/>
      <c r="D552" s="223"/>
      <c r="E552" s="245"/>
      <c r="P552" s="225"/>
      <c r="AH552" s="224"/>
      <c r="AI552" s="224"/>
    </row>
    <row r="553" spans="2:35" x14ac:dyDescent="0.25">
      <c r="B553" s="239"/>
      <c r="C553" s="245"/>
      <c r="D553" s="223"/>
      <c r="E553" s="245"/>
      <c r="P553" s="225"/>
      <c r="AH553" s="224"/>
      <c r="AI553" s="224"/>
    </row>
    <row r="554" spans="2:35" x14ac:dyDescent="0.25">
      <c r="B554" s="239"/>
      <c r="C554" s="245"/>
      <c r="D554" s="223"/>
      <c r="E554" s="245"/>
      <c r="P554" s="225"/>
      <c r="AH554" s="224"/>
      <c r="AI554" s="224"/>
    </row>
    <row r="555" spans="2:35" x14ac:dyDescent="0.25">
      <c r="B555" s="239"/>
      <c r="C555" s="245"/>
      <c r="D555" s="223"/>
      <c r="E555" s="245"/>
      <c r="P555" s="225"/>
      <c r="AH555" s="224"/>
      <c r="AI555" s="224"/>
    </row>
    <row r="556" spans="2:35" x14ac:dyDescent="0.25">
      <c r="B556" s="239"/>
      <c r="C556" s="245"/>
      <c r="D556" s="223"/>
      <c r="E556" s="245"/>
      <c r="P556" s="225"/>
      <c r="AH556" s="224"/>
      <c r="AI556" s="224"/>
    </row>
    <row r="557" spans="2:35" x14ac:dyDescent="0.25">
      <c r="B557" s="239"/>
      <c r="C557" s="245"/>
      <c r="D557" s="223"/>
      <c r="E557" s="245"/>
      <c r="P557" s="225"/>
      <c r="AH557" s="224"/>
      <c r="AI557" s="224"/>
    </row>
    <row r="558" spans="2:35" x14ac:dyDescent="0.25">
      <c r="B558" s="239"/>
      <c r="C558" s="245"/>
      <c r="D558" s="223"/>
      <c r="E558" s="245"/>
      <c r="P558" s="225"/>
      <c r="AH558" s="224"/>
      <c r="AI558" s="224"/>
    </row>
    <row r="559" spans="2:35" x14ac:dyDescent="0.25">
      <c r="B559" s="239"/>
      <c r="C559" s="245"/>
      <c r="D559" s="223"/>
      <c r="E559" s="245"/>
      <c r="P559" s="225"/>
      <c r="AH559" s="224"/>
      <c r="AI559" s="224"/>
    </row>
    <row r="560" spans="2:35" x14ac:dyDescent="0.25">
      <c r="B560" s="239"/>
      <c r="C560" s="245"/>
      <c r="D560" s="223"/>
      <c r="E560" s="245"/>
      <c r="P560" s="225"/>
      <c r="AH560" s="224"/>
      <c r="AI560" s="224"/>
    </row>
    <row r="561" spans="2:35" x14ac:dyDescent="0.25">
      <c r="B561" s="239"/>
      <c r="C561" s="245"/>
      <c r="D561" s="223"/>
      <c r="E561" s="245"/>
      <c r="P561" s="225"/>
      <c r="AH561" s="224"/>
      <c r="AI561" s="224"/>
    </row>
    <row r="562" spans="2:35" x14ac:dyDescent="0.25">
      <c r="B562" s="239"/>
      <c r="C562" s="245"/>
      <c r="D562" s="223"/>
      <c r="E562" s="245"/>
      <c r="P562" s="225"/>
      <c r="AH562" s="224"/>
      <c r="AI562" s="224"/>
    </row>
    <row r="563" spans="2:35" x14ac:dyDescent="0.25">
      <c r="B563" s="239"/>
      <c r="C563" s="245"/>
      <c r="D563" s="223"/>
      <c r="E563" s="245"/>
      <c r="P563" s="225"/>
      <c r="AH563" s="224"/>
      <c r="AI563" s="224"/>
    </row>
    <row r="564" spans="2:35" x14ac:dyDescent="0.25">
      <c r="B564" s="239"/>
      <c r="C564" s="245"/>
      <c r="D564" s="223"/>
      <c r="E564" s="245"/>
      <c r="P564" s="225"/>
      <c r="AH564" s="224"/>
      <c r="AI564" s="224"/>
    </row>
    <row r="565" spans="2:35" x14ac:dyDescent="0.25">
      <c r="B565" s="239"/>
      <c r="C565" s="245"/>
      <c r="D565" s="223"/>
      <c r="E565" s="245"/>
      <c r="P565" s="225"/>
      <c r="AH565" s="224"/>
      <c r="AI565" s="224"/>
    </row>
    <row r="566" spans="2:35" x14ac:dyDescent="0.25">
      <c r="B566" s="239"/>
      <c r="C566" s="245"/>
      <c r="D566" s="223"/>
      <c r="E566" s="245"/>
      <c r="P566" s="225"/>
      <c r="AH566" s="224"/>
      <c r="AI566" s="224"/>
    </row>
    <row r="567" spans="2:35" x14ac:dyDescent="0.25">
      <c r="B567" s="239"/>
      <c r="C567" s="245"/>
      <c r="D567" s="223"/>
      <c r="E567" s="245"/>
      <c r="P567" s="225"/>
      <c r="AH567" s="224"/>
      <c r="AI567" s="224"/>
    </row>
    <row r="568" spans="2:35" x14ac:dyDescent="0.25">
      <c r="B568" s="239"/>
      <c r="C568" s="245"/>
      <c r="D568" s="223"/>
      <c r="E568" s="245"/>
      <c r="P568" s="225"/>
      <c r="AH568" s="224"/>
      <c r="AI568" s="224"/>
    </row>
    <row r="569" spans="2:35" x14ac:dyDescent="0.25">
      <c r="B569" s="239"/>
      <c r="C569" s="245"/>
      <c r="D569" s="223"/>
      <c r="E569" s="245"/>
      <c r="P569" s="225"/>
      <c r="AH569" s="224"/>
      <c r="AI569" s="224"/>
    </row>
    <row r="570" spans="2:35" x14ac:dyDescent="0.25">
      <c r="B570" s="239"/>
      <c r="C570" s="245"/>
      <c r="D570" s="223"/>
      <c r="E570" s="245"/>
      <c r="P570" s="225"/>
      <c r="AH570" s="224"/>
      <c r="AI570" s="224"/>
    </row>
    <row r="571" spans="2:35" x14ac:dyDescent="0.25">
      <c r="B571" s="239"/>
      <c r="C571" s="245"/>
      <c r="D571" s="223"/>
      <c r="E571" s="245"/>
      <c r="P571" s="225"/>
      <c r="AH571" s="224"/>
      <c r="AI571" s="224"/>
    </row>
    <row r="572" spans="2:35" x14ac:dyDescent="0.25">
      <c r="B572" s="239"/>
      <c r="C572" s="245"/>
      <c r="D572" s="223"/>
      <c r="E572" s="245"/>
      <c r="P572" s="225"/>
      <c r="AH572" s="224"/>
      <c r="AI572" s="224"/>
    </row>
    <row r="573" spans="2:35" x14ac:dyDescent="0.25">
      <c r="B573" s="239"/>
      <c r="C573" s="245"/>
      <c r="D573" s="223"/>
      <c r="E573" s="245"/>
      <c r="P573" s="225"/>
      <c r="AH573" s="224"/>
      <c r="AI573" s="224"/>
    </row>
    <row r="574" spans="2:35" x14ac:dyDescent="0.25">
      <c r="B574" s="239"/>
      <c r="C574" s="245"/>
      <c r="D574" s="223"/>
      <c r="E574" s="245"/>
      <c r="P574" s="225"/>
      <c r="AH574" s="224"/>
      <c r="AI574" s="224"/>
    </row>
    <row r="575" spans="2:35" x14ac:dyDescent="0.25">
      <c r="B575" s="239"/>
      <c r="C575" s="245"/>
      <c r="D575" s="223"/>
      <c r="E575" s="245"/>
      <c r="P575" s="225"/>
      <c r="AH575" s="224"/>
      <c r="AI575" s="224"/>
    </row>
    <row r="576" spans="2:35" x14ac:dyDescent="0.25">
      <c r="B576" s="239"/>
      <c r="C576" s="245"/>
      <c r="D576" s="223"/>
      <c r="E576" s="245"/>
      <c r="P576" s="225"/>
      <c r="AH576" s="224"/>
      <c r="AI576" s="224"/>
    </row>
    <row r="577" spans="2:35" x14ac:dyDescent="0.25">
      <c r="B577" s="239"/>
      <c r="C577" s="245"/>
      <c r="D577" s="223"/>
      <c r="E577" s="245"/>
      <c r="P577" s="225"/>
      <c r="AH577" s="224"/>
      <c r="AI577" s="224"/>
    </row>
    <row r="578" spans="2:35" x14ac:dyDescent="0.25">
      <c r="B578" s="239"/>
      <c r="C578" s="245"/>
      <c r="D578" s="223"/>
      <c r="E578" s="245"/>
      <c r="P578" s="225"/>
      <c r="AH578" s="224"/>
      <c r="AI578" s="224"/>
    </row>
    <row r="579" spans="2:35" x14ac:dyDescent="0.25">
      <c r="B579" s="239"/>
      <c r="C579" s="245"/>
      <c r="D579" s="223"/>
      <c r="E579" s="245"/>
      <c r="P579" s="225"/>
      <c r="AH579" s="224"/>
      <c r="AI579" s="224"/>
    </row>
    <row r="580" spans="2:35" x14ac:dyDescent="0.25">
      <c r="B580" s="239"/>
      <c r="C580" s="245"/>
      <c r="D580" s="223"/>
      <c r="E580" s="245"/>
      <c r="P580" s="225"/>
      <c r="AH580" s="224"/>
      <c r="AI580" s="224"/>
    </row>
    <row r="581" spans="2:35" x14ac:dyDescent="0.25">
      <c r="B581" s="239"/>
      <c r="C581" s="245"/>
      <c r="D581" s="223"/>
      <c r="E581" s="245"/>
      <c r="P581" s="225"/>
      <c r="AH581" s="224"/>
      <c r="AI581" s="224"/>
    </row>
    <row r="582" spans="2:35" x14ac:dyDescent="0.25">
      <c r="B582" s="239"/>
      <c r="C582" s="245"/>
      <c r="D582" s="223"/>
      <c r="E582" s="245"/>
      <c r="P582" s="225"/>
      <c r="AH582" s="224"/>
      <c r="AI582" s="224"/>
    </row>
    <row r="583" spans="2:35" x14ac:dyDescent="0.25">
      <c r="B583" s="239"/>
      <c r="C583" s="245"/>
      <c r="D583" s="223"/>
      <c r="E583" s="245"/>
      <c r="P583" s="225"/>
      <c r="AH583" s="224"/>
      <c r="AI583" s="224"/>
    </row>
    <row r="584" spans="2:35" x14ac:dyDescent="0.25">
      <c r="B584" s="239"/>
      <c r="C584" s="245"/>
      <c r="D584" s="223"/>
      <c r="E584" s="245"/>
      <c r="P584" s="225"/>
      <c r="AH584" s="224"/>
      <c r="AI584" s="224"/>
    </row>
    <row r="585" spans="2:35" x14ac:dyDescent="0.25">
      <c r="B585" s="239"/>
      <c r="C585" s="245"/>
      <c r="D585" s="223"/>
      <c r="E585" s="245"/>
      <c r="P585" s="225"/>
      <c r="AH585" s="224"/>
      <c r="AI585" s="224"/>
    </row>
    <row r="586" spans="2:35" x14ac:dyDescent="0.25">
      <c r="B586" s="239"/>
      <c r="C586" s="245"/>
      <c r="D586" s="223"/>
      <c r="E586" s="245"/>
      <c r="P586" s="225"/>
      <c r="AH586" s="224"/>
      <c r="AI586" s="224"/>
    </row>
    <row r="587" spans="2:35" x14ac:dyDescent="0.25">
      <c r="B587" s="239"/>
      <c r="C587" s="245"/>
      <c r="D587" s="223"/>
      <c r="E587" s="245"/>
      <c r="P587" s="225"/>
      <c r="AH587" s="224"/>
      <c r="AI587" s="224"/>
    </row>
    <row r="588" spans="2:35" x14ac:dyDescent="0.25">
      <c r="B588" s="239"/>
      <c r="C588" s="245"/>
      <c r="D588" s="223"/>
      <c r="E588" s="245"/>
      <c r="P588" s="225"/>
      <c r="AH588" s="224"/>
      <c r="AI588" s="224"/>
    </row>
    <row r="589" spans="2:35" x14ac:dyDescent="0.25">
      <c r="B589" s="239"/>
      <c r="C589" s="245"/>
      <c r="D589" s="223"/>
      <c r="E589" s="245"/>
      <c r="P589" s="225"/>
      <c r="AH589" s="224"/>
      <c r="AI589" s="224"/>
    </row>
    <row r="590" spans="2:35" x14ac:dyDescent="0.25">
      <c r="B590" s="239"/>
      <c r="C590" s="245"/>
      <c r="D590" s="223"/>
      <c r="E590" s="245"/>
      <c r="P590" s="225"/>
      <c r="AH590" s="224"/>
      <c r="AI590" s="224"/>
    </row>
    <row r="591" spans="2:35" x14ac:dyDescent="0.25">
      <c r="B591" s="239"/>
      <c r="C591" s="245"/>
      <c r="D591" s="223"/>
      <c r="E591" s="245"/>
      <c r="P591" s="225"/>
      <c r="AH591" s="224"/>
      <c r="AI591" s="224"/>
    </row>
    <row r="592" spans="2:35" x14ac:dyDescent="0.25">
      <c r="B592" s="239"/>
      <c r="C592" s="245"/>
      <c r="D592" s="223"/>
      <c r="E592" s="245"/>
      <c r="P592" s="225"/>
      <c r="AH592" s="224"/>
      <c r="AI592" s="224"/>
    </row>
    <row r="593" spans="2:35" x14ac:dyDescent="0.25">
      <c r="B593" s="239"/>
      <c r="C593" s="245"/>
      <c r="D593" s="223"/>
      <c r="E593" s="245"/>
      <c r="P593" s="225"/>
      <c r="AH593" s="224"/>
      <c r="AI593" s="224"/>
    </row>
    <row r="594" spans="2:35" x14ac:dyDescent="0.25">
      <c r="B594" s="239"/>
      <c r="C594" s="245"/>
      <c r="D594" s="223"/>
      <c r="E594" s="245"/>
      <c r="P594" s="225"/>
      <c r="AH594" s="224"/>
      <c r="AI594" s="224"/>
    </row>
    <row r="595" spans="2:35" x14ac:dyDescent="0.25">
      <c r="B595" s="239"/>
      <c r="C595" s="245"/>
      <c r="D595" s="223"/>
      <c r="E595" s="245"/>
      <c r="P595" s="225"/>
      <c r="AH595" s="224"/>
      <c r="AI595" s="224"/>
    </row>
    <row r="596" spans="2:35" x14ac:dyDescent="0.25">
      <c r="B596" s="239"/>
      <c r="C596" s="245"/>
      <c r="D596" s="223"/>
      <c r="E596" s="245"/>
      <c r="P596" s="225"/>
      <c r="AH596" s="224"/>
      <c r="AI596" s="224"/>
    </row>
    <row r="597" spans="2:35" x14ac:dyDescent="0.25">
      <c r="B597" s="239"/>
      <c r="C597" s="245"/>
      <c r="D597" s="223"/>
      <c r="E597" s="245"/>
      <c r="P597" s="225"/>
      <c r="AH597" s="224"/>
      <c r="AI597" s="224"/>
    </row>
    <row r="598" spans="2:35" x14ac:dyDescent="0.25">
      <c r="B598" s="239"/>
      <c r="C598" s="245"/>
      <c r="D598" s="223"/>
      <c r="E598" s="245"/>
      <c r="P598" s="225"/>
      <c r="AH598" s="224"/>
      <c r="AI598" s="224"/>
    </row>
    <row r="599" spans="2:35" x14ac:dyDescent="0.25">
      <c r="B599" s="239"/>
      <c r="C599" s="245"/>
      <c r="D599" s="223"/>
      <c r="E599" s="245"/>
      <c r="P599" s="225"/>
      <c r="AH599" s="224"/>
      <c r="AI599" s="224"/>
    </row>
    <row r="600" spans="2:35" x14ac:dyDescent="0.25">
      <c r="B600" s="239"/>
      <c r="C600" s="245"/>
      <c r="D600" s="223"/>
      <c r="E600" s="245"/>
      <c r="P600" s="225"/>
      <c r="AH600" s="224"/>
      <c r="AI600" s="224"/>
    </row>
    <row r="601" spans="2:35" x14ac:dyDescent="0.25">
      <c r="B601" s="239"/>
      <c r="C601" s="245"/>
      <c r="D601" s="223"/>
      <c r="E601" s="245"/>
      <c r="P601" s="225"/>
      <c r="AH601" s="224"/>
      <c r="AI601" s="224"/>
    </row>
    <row r="602" spans="2:35" x14ac:dyDescent="0.25">
      <c r="B602" s="239"/>
      <c r="C602" s="245"/>
      <c r="D602" s="223"/>
      <c r="E602" s="245"/>
      <c r="P602" s="225"/>
      <c r="AH602" s="224"/>
      <c r="AI602" s="224"/>
    </row>
    <row r="603" spans="2:35" x14ac:dyDescent="0.25">
      <c r="B603" s="239"/>
      <c r="C603" s="245"/>
      <c r="D603" s="223"/>
      <c r="E603" s="245"/>
      <c r="P603" s="225"/>
      <c r="AH603" s="224"/>
      <c r="AI603" s="224"/>
    </row>
  </sheetData>
  <sortState ref="B3:AI77">
    <sortCondition ref="B3:B77"/>
  </sortState>
  <phoneticPr fontId="0" type="noConversion"/>
  <conditionalFormatting sqref="A604:AI65387 A2:AI2 A27:A603">
    <cfRule type="expression" dxfId="119" priority="1136" stopIfTrue="1">
      <formula>AND(ROW(A2)=$CC$1,COLUMN(A2)=$CC$2)</formula>
    </cfRule>
    <cfRule type="expression" dxfId="118" priority="1137" stopIfTrue="1">
      <formula>OR(AND(ROW(A2)=$CC$1,COLUMN(A2)&lt;$CC$2),AND(ROW(A2)&lt;$CC$1,COLUMN(A2)=$CC$2))</formula>
    </cfRule>
  </conditionalFormatting>
  <conditionalFormatting sqref="A3:B3 X3:AH3 A4:A26 B4:B23">
    <cfRule type="expression" dxfId="117" priority="43" stopIfTrue="1">
      <formula>AND(ROW(A3)=$CC$1,COLUMN(A3)=$CC$2)</formula>
    </cfRule>
    <cfRule type="expression" dxfId="116" priority="44" stopIfTrue="1">
      <formula>OR(AND(ROW(A3)=$CC$1,COLUMN(A3)&lt;$CC$2),AND(ROW(A3)&lt;$CC$1,COLUMN(A3)=$CC$2))</formula>
    </cfRule>
  </conditionalFormatting>
  <conditionalFormatting sqref="G3:W3">
    <cfRule type="expression" dxfId="115" priority="25" stopIfTrue="1">
      <formula>AND(ROW(G3)=$CC$1,COLUMN(G3)=$CC$2)</formula>
    </cfRule>
    <cfRule type="expression" dxfId="114" priority="26" stopIfTrue="1">
      <formula>OR(AND(ROW(G3)=$CC$1,COLUMN(G3)&lt;$CC$2),AND(ROW(G3)&lt;$CC$1,COLUMN(G3)=$CC$2))</formula>
    </cfRule>
  </conditionalFormatting>
  <conditionalFormatting sqref="AI3:AI61">
    <cfRule type="expression" dxfId="113" priority="23" stopIfTrue="1">
      <formula>AND(ROW(AI3)=$CC$1,COLUMN(AI3)=$CC$2)</formula>
    </cfRule>
    <cfRule type="expression" dxfId="112" priority="24" stopIfTrue="1">
      <formula>OR(AND(ROW(AI3)=$CC$1,COLUMN(AI3)&lt;$CC$2),AND(ROW(AI3)&lt;$CC$1,COLUMN(AI3)=$CC$2))</formula>
    </cfRule>
  </conditionalFormatting>
  <conditionalFormatting sqref="B62:D603 X4:AH603 B24:B61">
    <cfRule type="expression" dxfId="111" priority="21" stopIfTrue="1">
      <formula>AND(ROW(B4)=$CC$1,COLUMN(B4)=$CC$2)</formula>
    </cfRule>
    <cfRule type="expression" dxfId="110" priority="22" stopIfTrue="1">
      <formula>OR(AND(ROW(B4)=$CC$1,COLUMN(B4)&lt;$CC$2),AND(ROW(B4)&lt;$CC$1,COLUMN(B4)=$CC$2))</formula>
    </cfRule>
  </conditionalFormatting>
  <conditionalFormatting sqref="E62:E603">
    <cfRule type="expression" dxfId="109" priority="5" stopIfTrue="1">
      <formula>AND(ROW(E62)=$CC$1,COLUMN(E62)=$CC$2)</formula>
    </cfRule>
    <cfRule type="expression" dxfId="108" priority="6" stopIfTrue="1">
      <formula>OR(AND(ROW(E62)=$CC$1,COLUMN(E62)&lt;$CC$2),AND(ROW(E62)&lt;$CC$1,COLUMN(E62)=$CC$2))</formula>
    </cfRule>
  </conditionalFormatting>
  <conditionalFormatting sqref="F62:W603 G4:W61">
    <cfRule type="expression" dxfId="107" priority="3" stopIfTrue="1">
      <formula>AND(ROW(F4)=$CC$1,COLUMN(F4)=$CC$2)</formula>
    </cfRule>
    <cfRule type="expression" dxfId="106" priority="4" stopIfTrue="1">
      <formula>OR(AND(ROW(F4)=$CC$1,COLUMN(F4)&lt;$CC$2),AND(ROW(F4)&lt;$CC$1,COLUMN(F4)=$CC$2))</formula>
    </cfRule>
  </conditionalFormatting>
  <conditionalFormatting sqref="AI62:AI603">
    <cfRule type="expression" dxfId="105" priority="1" stopIfTrue="1">
      <formula>AND(ROW(AI62)=$CC$1,COLUMN(AI62)=$CC$2)</formula>
    </cfRule>
    <cfRule type="expression" dxfId="104" priority="2" stopIfTrue="1">
      <formula>OR(AND(ROW(AI62)=$CC$1,COLUMN(AI62)&lt;$CC$2),AND(ROW(AI62)&lt;$CC$1,COLUMN(AI62)=$CC$2))</formula>
    </cfRule>
  </conditionalFormatting>
  <dataValidations xWindow="1294" yWindow="391" count="4">
    <dataValidation type="custom" errorStyle="warning" allowBlank="1" showInputMessage="1" showErrorMessage="1" error="-Must be a multiple of 2.5 unless a record attempt" sqref="W80:W65387 Q80:Q65387 R21:W32 Q71:W79 K3:K65387 W33:W70 Q21:Q70 Q20:W20 W3 Q3:Q19 R4:W19">
      <formula1>AND(MOD(K3,2.5)=0)</formula1>
    </dataValidation>
    <dataValidation type="list" allowBlank="1" showInputMessage="1" showErrorMessage="1" sqref="B3:B3251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65387"/>
    <dataValidation type="list" allowBlank="1" showInputMessage="1" showErrorMessage="1" promptTitle="Division" prompt="Select from menu" sqref="E1:E1048576">
      <formula1>INDIRECT($AY$1)</formula1>
    </dataValidation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97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098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099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00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01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02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03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04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05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06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07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08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09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10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B604:B1048576 B1:B2</xm:sqref>
        </x14:conditionalFormatting>
        <x14:conditionalFormatting xmlns:xm="http://schemas.microsoft.com/office/excel/2006/main">
          <x14:cfRule type="expression" priority="29" id="{B3220E42-0505-4720-B04F-6156BD0D85A4}">
            <xm:f>$F3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30" id="{F466180C-AA2A-4208-B8E4-B39F0FF74259}">
            <xm:f>AND(($F3 &lt;= Setup!$J$19), ($F3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1" id="{306795DC-D28D-41EA-9754-635ADC05F81E}">
            <xm:f>AND(($F3 &lt;= Setup!$J$18), ($F3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2" id="{28DD2E98-B97F-42C7-9EB4-D5D3252AE488}">
            <xm:f>AND(($F3 &lt;= Setup!$J$17), ($F3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33" id="{39A1ADC6-AC87-4FA9-9D92-E6188CDAF539}">
            <xm:f>AND(($F3 &lt;= Setup!$J$16), ($F3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34" id="{DE27C616-BF68-4709-B460-19B58FB0A77B}">
            <xm:f>AND(($F3 &lt;= Setup!$J$15), ($F3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35" id="{67B991B6-36FD-40B3-821C-25619469D68B}">
            <xm:f>AND(($F3 &lt;= Setup!$J$14), ($F3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6" id="{05C2FB2F-5014-447C-B27E-E69CA4F39AFF}">
            <xm:f>AND(($F3 &lt;= Setup!$J$13), ($F3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7" id="{702FBEFC-546D-459F-8BAB-36A8C9CBDFCE}">
            <xm:f>AND(($F3 &lt;= Setup!$J$12), ($F3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38" id="{98E638CA-5331-4B7A-B76D-E9170928C9E9}">
            <xm:f>AND(($F3 &lt;= Setup!$J$11), ($F3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39" id="{06E9922F-CB14-4181-8EAE-35A5CCF3A132}">
            <xm:f>AND(($F3 &lt;= Setup!$J$10), ($F3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40" id="{B2B62693-FCC4-490D-A813-18A516CAB2E3}">
            <xm:f>AND(($F3 &lt;= Setup!$L$11), ($F3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41" id="{D4D00E18-5519-4E5D-BD3F-8466E3A368EE}">
            <xm:f>AND(($F3 &lt;=Setup!$L$10), ($F3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42" id="{ADAAA2C8-F7F3-4EDA-8B06-8D4EEE24F0E9}">
            <xm:f>AND(($F3 &lt;= Setup!$J$20), ($F3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B3:B23</xm:sqref>
        </x14:conditionalFormatting>
        <x14:conditionalFormatting xmlns:xm="http://schemas.microsoft.com/office/excel/2006/main">
          <x14:cfRule type="expression" priority="7" id="{D012DB69-6801-4589-A364-9F521B4F4316}">
            <xm:f>$F24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8" id="{4DE24132-1C2B-406E-B73F-7ADE65F2F227}">
            <xm:f>AND(($F24 &lt;= Setup!$J$19), ($F24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9" id="{ADBB45FD-BA7A-4285-B33B-5D8234FCF994}">
            <xm:f>AND(($F24 &lt;= Setup!$J$18), ($F24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" id="{7EE377E7-A1BC-44CA-9718-F8DB642BBCE1}">
            <xm:f>AND(($F24 &lt;= Setup!$J$17), ($F24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" id="{9717C4F0-1A25-455B-AD5E-9075E37AEB2D}">
            <xm:f>AND(($F24 &lt;= Setup!$J$16), ($F24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" id="{8ABEB69D-78F5-4221-973D-1D06DDD3807A}">
            <xm:f>AND(($F24 &lt;= Setup!$J$15), ($F24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3" id="{B35445F2-497D-4E00-82F9-1DD12D4DD4AD}">
            <xm:f>AND(($F24 &lt;= Setup!$J$14), ($F24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A225EADC-970A-491A-B77C-134C7F9A3C54}">
            <xm:f>AND(($F24 &lt;= Setup!$J$13), ($F24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" id="{84779BF2-00BD-4016-BD8D-9124C39C8A72}">
            <xm:f>AND(($F24 &lt;= Setup!$J$12), ($F24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6" id="{7722E308-2FE0-41B7-A472-FFE2EDA9B626}">
            <xm:f>AND(($F24 &lt;= Setup!$J$11), ($F24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7" id="{FAD70DB0-91E2-4A93-A45E-B9CF5ED843A6}">
            <xm:f>AND(($F24 &lt;= Setup!$J$10), ($F24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8" id="{E86E5D8B-4B2D-4ED0-853D-C2B3D5E97EF5}">
            <xm:f>AND(($F24 &lt;= Setup!$L$11), ($F24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9" id="{32BC4288-269C-4DF9-B8FF-F21B8C938261}">
            <xm:f>AND(($F24 &lt;=Setup!$L$10), ($F24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20" id="{66BBA61B-FF13-4852-9288-790C8ACE24BF}">
            <xm:f>AND(($F24 &lt;= Setup!$J$20), ($F24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B24:B603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8"/>
  <sheetViews>
    <sheetView topLeftCell="A34" workbookViewId="0">
      <selection activeCell="B70" sqref="B70:B71"/>
    </sheetView>
  </sheetViews>
  <sheetFormatPr defaultRowHeight="13.2" x14ac:dyDescent="0.25"/>
  <sheetData>
    <row r="1" spans="1:2" x14ac:dyDescent="0.25">
      <c r="A1" s="249" t="s">
        <v>75</v>
      </c>
      <c r="B1" s="249" t="s">
        <v>61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T22"/>
  <sheetViews>
    <sheetView zoomScale="115" zoomScaleNormal="115" workbookViewId="0">
      <pane xSplit="9" ySplit="9" topLeftCell="K10" activePane="bottomRight" state="frozen"/>
      <selection activeCell="A2" sqref="A2"/>
      <selection pane="topRight" activeCell="J2" sqref="J2"/>
      <selection pane="bottomLeft" activeCell="A10" sqref="A10"/>
      <selection pane="bottomRight" activeCell="AB8" sqref="AB8"/>
    </sheetView>
  </sheetViews>
  <sheetFormatPr defaultColWidth="9.109375" defaultRowHeight="13.2" x14ac:dyDescent="0.25"/>
  <cols>
    <col min="1" max="1" width="13.44140625" style="33" hidden="1" customWidth="1"/>
    <col min="2" max="2" width="3.5546875" style="32" customWidth="1"/>
    <col min="3" max="3" width="18.5546875" style="32" customWidth="1"/>
    <col min="4" max="4" width="6" style="32" customWidth="1"/>
    <col min="5" max="5" width="15.109375" style="32" customWidth="1"/>
    <col min="6" max="6" width="6" style="32" customWidth="1"/>
    <col min="7" max="7" width="6.109375" style="32" customWidth="1"/>
    <col min="8" max="8" width="7.6640625" style="32" customWidth="1"/>
    <col min="9" max="9" width="4.44140625" style="32" customWidth="1"/>
    <col min="10" max="10" width="6.109375" style="40" customWidth="1"/>
    <col min="11" max="11" width="9" style="32" customWidth="1"/>
    <col min="12" max="12" width="7.109375" style="32" customWidth="1"/>
    <col min="13" max="13" width="7" style="32" customWidth="1"/>
    <col min="14" max="14" width="7.109375" style="32" hidden="1" customWidth="1"/>
    <col min="15" max="15" width="7.109375" style="32" customWidth="1"/>
    <col min="16" max="16" width="4.6640625" style="206" customWidth="1"/>
    <col min="17" max="19" width="7.109375" style="32" customWidth="1"/>
    <col min="20" max="20" width="7.109375" style="32" hidden="1" customWidth="1"/>
    <col min="21" max="25" width="7.109375" style="32" customWidth="1"/>
    <col min="26" max="26" width="7.109375" style="32" hidden="1" customWidth="1"/>
    <col min="27" max="27" width="7.109375" style="32" customWidth="1"/>
    <col min="28" max="28" width="8.6640625" style="32" customWidth="1"/>
    <col min="29" max="30" width="7.88671875" style="32" customWidth="1"/>
    <col min="31" max="31" width="5.109375" style="32" customWidth="1"/>
    <col min="32" max="32" width="11.109375" style="32" customWidth="1"/>
    <col min="33" max="33" width="4.88671875" style="33" customWidth="1"/>
    <col min="34" max="34" width="11.88671875" style="65" customWidth="1"/>
    <col min="35" max="35" width="10.6640625" style="1" customWidth="1"/>
    <col min="36" max="36" width="6.5546875" style="40" hidden="1" customWidth="1"/>
    <col min="37" max="38" width="9.109375" style="33" hidden="1" customWidth="1"/>
    <col min="39" max="39" width="8.33203125" style="32" hidden="1" customWidth="1"/>
    <col min="40" max="40" width="8" style="32" hidden="1" customWidth="1"/>
    <col min="41" max="42" width="7.109375" style="32" hidden="1" customWidth="1"/>
    <col min="43" max="43" width="7.5546875" style="32" hidden="1" customWidth="1"/>
    <col min="44" max="44" width="18.5546875" style="167" hidden="1" customWidth="1"/>
    <col min="45" max="45" width="7.109375" style="32" hidden="1" customWidth="1"/>
    <col min="46" max="47" width="8.109375" style="32" hidden="1" customWidth="1"/>
    <col min="48" max="48" width="9.109375" style="33" customWidth="1"/>
    <col min="49" max="49" width="9.109375" style="163" customWidth="1"/>
    <col min="50" max="50" width="9.109375" style="33" customWidth="1"/>
    <col min="51" max="51" width="18.5546875" style="167" customWidth="1"/>
    <col min="52" max="52" width="9.109375" style="29" customWidth="1"/>
    <col min="53" max="53" width="12.88671875" style="29" customWidth="1"/>
    <col min="54" max="65" width="9.109375" style="29" customWidth="1"/>
    <col min="66" max="66" width="9.109375" style="41" customWidth="1"/>
    <col min="67" max="105" width="9.109375" style="33" customWidth="1"/>
    <col min="106" max="16384" width="9.109375" style="33"/>
  </cols>
  <sheetData>
    <row r="1" spans="1:176" s="20" customFormat="1" ht="24.75" hidden="1" customHeight="1" thickBot="1" x14ac:dyDescent="0.3">
      <c r="A1" s="18">
        <f ca="1">COUNTIF(INDIRECT(AG1),RIGHT(B8,1))</f>
        <v>13</v>
      </c>
      <c r="B1" s="362" t="s">
        <v>168</v>
      </c>
      <c r="C1" s="367"/>
      <c r="D1" s="367"/>
      <c r="E1" s="363"/>
      <c r="F1" s="362" t="s">
        <v>29</v>
      </c>
      <c r="G1" s="363"/>
      <c r="H1" s="362" t="s">
        <v>41</v>
      </c>
      <c r="I1" s="363"/>
      <c r="J1" s="42">
        <f ca="1">IF(ISERROR(A2),1,0)</f>
        <v>0</v>
      </c>
      <c r="K1" s="19">
        <v>0</v>
      </c>
      <c r="L1" s="19"/>
      <c r="M1" s="19"/>
      <c r="N1" s="19"/>
      <c r="O1" s="19"/>
      <c r="P1" s="201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00" t="str">
        <f>CONCATENATE("$b$9:$b$",$AF$7)</f>
        <v>$b$9:$b$22</v>
      </c>
      <c r="AH1" s="19"/>
      <c r="AI1" s="107" t="str">
        <f>CONCATENATE("Setup!O7:O",COUNTA(Setup!O:O)+4)</f>
        <v>Setup!O7:O248</v>
      </c>
      <c r="AJ1" s="19"/>
      <c r="AM1" s="19"/>
      <c r="AN1" s="19"/>
      <c r="AQ1" s="19"/>
      <c r="AR1" s="164"/>
      <c r="AS1" s="19"/>
      <c r="AT1" s="19"/>
      <c r="AU1" s="19"/>
      <c r="AW1" s="159"/>
      <c r="AY1" s="164"/>
      <c r="AZ1" s="108" t="s">
        <v>68</v>
      </c>
      <c r="BA1" s="107" t="str">
        <f>VLOOKUP($AZ$1,$AZ$2:$BM$6,2,FALSE)</f>
        <v>$BB$1:$BM$1</v>
      </c>
      <c r="BB1" s="107" t="str">
        <f>VLOOKUP($AZ$1,$AZ$2:$BM$6,3,FALSE)</f>
        <v xml:space="preserve"> Squat  1</v>
      </c>
      <c r="BC1" s="107" t="str">
        <f>VLOOKUP($AZ$1,$AZ$2:$BM$6,4,FALSE)</f>
        <v xml:space="preserve"> Squat  2</v>
      </c>
      <c r="BD1" s="107" t="str">
        <f>VLOOKUP($AZ$1,$AZ$2:$BM$6,5,FALSE)</f>
        <v xml:space="preserve"> Squat  3</v>
      </c>
      <c r="BE1" s="107" t="str">
        <f>VLOOKUP($AZ$1,$AZ$2:$BM$6,6,FALSE)</f>
        <v xml:space="preserve"> Squat  4</v>
      </c>
      <c r="BF1" s="107" t="str">
        <f>VLOOKUP($AZ$1,$AZ$2:$BM$6,7,FALSE)</f>
        <v>Bench 1</v>
      </c>
      <c r="BG1" s="107" t="str">
        <f>VLOOKUP($AZ$1,$AZ$2:$BM$6,8,FALSE)</f>
        <v>Bench 2</v>
      </c>
      <c r="BH1" s="107" t="str">
        <f>VLOOKUP($AZ$1,$AZ$2:$BM$6,9,FALSE)</f>
        <v>Bench 3</v>
      </c>
      <c r="BI1" s="107" t="str">
        <f>VLOOKUP($AZ$1,$AZ$2:$BM$6,10,FALSE)</f>
        <v>Bench 4</v>
      </c>
      <c r="BJ1" s="107" t="str">
        <f>VLOOKUP($AZ$1,$AZ$2:$BM$6,11,FALSE)</f>
        <v>Deadlift 1</v>
      </c>
      <c r="BK1" s="107" t="str">
        <f>VLOOKUP($AZ$1,$AZ$2:$BM$6,12,FALSE)</f>
        <v>Deadlift 2</v>
      </c>
      <c r="BL1" s="107" t="str">
        <f>VLOOKUP($AZ$1,$AZ$2:$BM$6,13,FALSE)</f>
        <v>Deadlift 3</v>
      </c>
      <c r="BM1" s="107" t="str">
        <f>VLOOKUP($AZ$1,$AZ$2:$BM$6,14,FALSE)</f>
        <v>Deadlift 4</v>
      </c>
      <c r="BN1" s="21"/>
      <c r="BP1" s="24" t="s">
        <v>32</v>
      </c>
      <c r="BQ1" s="24">
        <f>IF(BP1=RIGHT($B$8,1),0,BQ8+1)</f>
        <v>0</v>
      </c>
    </row>
    <row r="2" spans="1:176" s="28" customFormat="1" ht="40.5" customHeight="1" thickBot="1" x14ac:dyDescent="0.3">
      <c r="A2" s="22" t="str">
        <f ca="1">CONCATENATE(CHOOSE(MATCH(B3,K8:Z8,0),"K","L","M","N","O","P","Q","R","S","T","U","V","W","X","Y","Z"),MATCH(B2,INDIRECT(A7),0)+9,)</f>
        <v>L21</v>
      </c>
      <c r="B2" s="358" t="s">
        <v>663</v>
      </c>
      <c r="C2" s="359"/>
      <c r="D2" s="359"/>
      <c r="E2" s="360"/>
      <c r="F2" s="364" t="str">
        <f ca="1">INDIRECT(CONCATENATE("E",A4))</f>
        <v>M_MR_2_APF</v>
      </c>
      <c r="G2" s="365"/>
      <c r="H2" s="217">
        <f ca="1">IF(INDIRECT(CONCATENATE("G",A4))="SHW","SHW",ROUND(INDIRECT(CONCATENATE("G",A4)),1))</f>
        <v>125</v>
      </c>
      <c r="I2" s="81" t="str">
        <f ca="1">IF(H2="SHW","",IF(G8="WtCls (Kg)","Kg","Lb"))</f>
        <v>Kg</v>
      </c>
      <c r="J2" s="229">
        <v>52401.69140625</v>
      </c>
      <c r="K2" s="23"/>
      <c r="L2" s="23"/>
      <c r="M2" s="23"/>
      <c r="N2" s="24"/>
      <c r="O2" s="25"/>
      <c r="P2" s="202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350"/>
      <c r="AF2" s="98"/>
      <c r="AG2" s="98"/>
      <c r="AH2" s="99"/>
      <c r="AI2" s="27"/>
      <c r="AJ2" s="24"/>
      <c r="AK2" s="27"/>
      <c r="AL2" s="27"/>
      <c r="AM2" s="24"/>
      <c r="AN2" s="24"/>
      <c r="AQ2" s="24"/>
      <c r="AR2" s="165"/>
      <c r="AS2" s="24"/>
      <c r="AT2" s="24"/>
      <c r="AU2" s="24"/>
      <c r="AV2" s="27"/>
      <c r="AW2" s="160"/>
      <c r="AX2" s="27"/>
      <c r="AY2" s="165"/>
      <c r="AZ2" s="111" t="s">
        <v>15</v>
      </c>
      <c r="BA2" s="111" t="s">
        <v>69</v>
      </c>
      <c r="BB2" s="104" t="s">
        <v>12</v>
      </c>
      <c r="BC2" s="104" t="s">
        <v>13</v>
      </c>
      <c r="BD2" s="104" t="s">
        <v>14</v>
      </c>
      <c r="BE2" s="104" t="s">
        <v>113</v>
      </c>
      <c r="BF2" s="112"/>
      <c r="BG2" s="104"/>
      <c r="BH2" s="104"/>
      <c r="BI2" s="104"/>
      <c r="BJ2" s="104"/>
      <c r="BK2" s="104"/>
      <c r="BL2" s="104"/>
      <c r="BM2" s="104"/>
      <c r="BN2" s="27"/>
      <c r="BO2" s="27"/>
      <c r="BP2" s="24" t="s">
        <v>33</v>
      </c>
      <c r="BQ2" s="24">
        <f>IF(BP2=RIGHT($B$8,1),0,BQ1+1)</f>
        <v>1</v>
      </c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</row>
    <row r="3" spans="1:176" ht="25.5" customHeight="1" thickBot="1" x14ac:dyDescent="0.3">
      <c r="A3" s="31">
        <f>MATCH(B3,K8:Z8,0)+10</f>
        <v>12</v>
      </c>
      <c r="B3" s="354" t="s">
        <v>23</v>
      </c>
      <c r="C3" s="355"/>
      <c r="D3" s="352">
        <f ca="1">INDIRECT(A2)</f>
        <v>0</v>
      </c>
      <c r="E3" s="353"/>
      <c r="F3" s="353"/>
      <c r="G3" s="96" t="str">
        <f>Setup!H4</f>
        <v>Kg</v>
      </c>
      <c r="H3" s="82">
        <f ca="1">ABS(D3)</f>
        <v>0</v>
      </c>
      <c r="I3" s="215">
        <f ca="1">-1*H3</f>
        <v>0</v>
      </c>
      <c r="J3" s="229">
        <v>113</v>
      </c>
      <c r="K3" s="24"/>
      <c r="L3" s="24"/>
      <c r="M3" s="24"/>
      <c r="N3" s="24"/>
      <c r="O3" s="25"/>
      <c r="P3" s="20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51"/>
      <c r="AF3" s="99"/>
      <c r="AG3" s="98"/>
      <c r="AH3" s="99"/>
      <c r="AI3" s="64"/>
      <c r="AJ3" s="24"/>
      <c r="AK3" s="27"/>
      <c r="AL3" s="27"/>
      <c r="AM3" s="24"/>
      <c r="AN3" s="24"/>
      <c r="AQ3" s="24"/>
      <c r="AR3" s="165"/>
      <c r="AS3" s="24"/>
      <c r="AT3" s="24"/>
      <c r="AU3" s="24"/>
      <c r="AV3" s="27"/>
      <c r="AW3" s="160"/>
      <c r="AX3" s="27"/>
      <c r="AY3" s="165"/>
      <c r="AZ3" s="111" t="s">
        <v>21</v>
      </c>
      <c r="BA3" s="111" t="s">
        <v>69</v>
      </c>
      <c r="BB3" s="104" t="s">
        <v>17</v>
      </c>
      <c r="BC3" s="104" t="s">
        <v>18</v>
      </c>
      <c r="BD3" s="104" t="s">
        <v>19</v>
      </c>
      <c r="BE3" s="104" t="s">
        <v>20</v>
      </c>
      <c r="BF3" s="104"/>
      <c r="BG3" s="104"/>
      <c r="BH3" s="104"/>
      <c r="BI3" s="104"/>
      <c r="BJ3" s="104"/>
      <c r="BK3" s="104"/>
      <c r="BL3" s="104"/>
      <c r="BM3" s="104"/>
      <c r="BN3" s="104"/>
      <c r="BO3" s="27"/>
      <c r="BP3" s="24" t="s">
        <v>34</v>
      </c>
      <c r="BQ3" s="24">
        <f t="shared" ref="BQ3:BQ8" si="0">IF(BP3=RIGHT($B$8,1),0,BQ2+1)</f>
        <v>2</v>
      </c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</row>
    <row r="4" spans="1:176" s="35" customFormat="1" ht="25.5" customHeight="1" thickBot="1" x14ac:dyDescent="0.3">
      <c r="A4" s="34">
        <f ca="1">MATCH(B2,INDIRECT(A7),0)+9</f>
        <v>21</v>
      </c>
      <c r="B4" s="356" t="str">
        <f ca="1">IF(LEFT(B3,1)="D","",CONCATENATE("Rack - ",IF(LEFT(B3,2)=" S",INDIRECT(CONCATENATE("J",A4)),INDIRECT(CONCATENATE("P",A4)))))</f>
        <v xml:space="preserve">Rack - </v>
      </c>
      <c r="C4" s="357"/>
      <c r="D4" s="366">
        <f ca="1">IF(G4="Lb",2.2046*D3,D3/2.2046)</f>
        <v>0</v>
      </c>
      <c r="E4" s="366"/>
      <c r="F4" s="366"/>
      <c r="G4" s="212" t="str">
        <f>IF(G3="Kg","Lb","Kg")</f>
        <v>Lb</v>
      </c>
      <c r="H4" s="213" t="s">
        <v>668</v>
      </c>
      <c r="I4" s="216"/>
      <c r="J4" s="229">
        <v>2086.17</v>
      </c>
      <c r="K4" s="24"/>
      <c r="L4" s="24"/>
      <c r="M4" s="24"/>
      <c r="N4" s="24"/>
      <c r="O4" s="24"/>
      <c r="P4" s="20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351"/>
      <c r="AF4" s="98"/>
      <c r="AG4" s="98"/>
      <c r="AH4" s="99"/>
      <c r="AI4" s="27"/>
      <c r="AJ4" s="24"/>
      <c r="AK4" s="27"/>
      <c r="AL4" s="27"/>
      <c r="AM4" s="24"/>
      <c r="AN4" s="24"/>
      <c r="AQ4" s="24"/>
      <c r="AR4" s="165"/>
      <c r="AS4" s="24"/>
      <c r="AT4" s="24"/>
      <c r="AU4" s="24"/>
      <c r="AV4" s="27"/>
      <c r="AW4" s="160"/>
      <c r="AX4" s="27"/>
      <c r="AY4" s="165"/>
      <c r="AZ4" s="111" t="s">
        <v>11</v>
      </c>
      <c r="BA4" s="111" t="s">
        <v>69</v>
      </c>
      <c r="BB4" s="104" t="s">
        <v>22</v>
      </c>
      <c r="BC4" s="104" t="s">
        <v>23</v>
      </c>
      <c r="BD4" s="104" t="s">
        <v>24</v>
      </c>
      <c r="BE4" s="104" t="s">
        <v>25</v>
      </c>
      <c r="BF4" s="104"/>
      <c r="BG4" s="104"/>
      <c r="BH4" s="104"/>
      <c r="BI4" s="104"/>
      <c r="BJ4" s="104"/>
      <c r="BK4" s="104"/>
      <c r="BL4" s="104"/>
      <c r="BM4" s="104"/>
      <c r="BN4" s="27"/>
      <c r="BO4" s="27"/>
      <c r="BP4" s="113" t="s">
        <v>35</v>
      </c>
      <c r="BQ4" s="24">
        <f t="shared" si="0"/>
        <v>3</v>
      </c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</row>
    <row r="5" spans="1:176" s="27" customFormat="1" ht="21" customHeight="1" thickBot="1" x14ac:dyDescent="0.3">
      <c r="A5" s="36" t="str">
        <f ca="1">CONCATENATE(IF(AND($A$3&gt;10,$A$3&lt;15),"O",IF(AND($A$3&gt;16,$A$3&lt;21),"U","AA")),$A$4)</f>
        <v>O21</v>
      </c>
      <c r="B5" s="218"/>
      <c r="C5" s="219"/>
      <c r="D5" s="219"/>
      <c r="E5" s="219"/>
      <c r="F5" s="361" t="s">
        <v>160</v>
      </c>
      <c r="G5" s="361"/>
      <c r="H5" s="219"/>
      <c r="I5" s="220"/>
      <c r="J5" s="231">
        <v>2.3495370370370371E-3</v>
      </c>
      <c r="K5" s="24"/>
      <c r="L5" s="24"/>
      <c r="M5" s="24"/>
      <c r="N5" s="24"/>
      <c r="O5" s="24"/>
      <c r="P5" s="20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351"/>
      <c r="AF5" s="98"/>
      <c r="AG5" s="98"/>
      <c r="AH5" s="99"/>
      <c r="AJ5" s="24"/>
      <c r="AM5" s="24"/>
      <c r="AN5" s="24"/>
      <c r="AQ5" s="24"/>
      <c r="AR5" s="165"/>
      <c r="AS5" s="24"/>
      <c r="AT5" s="24"/>
      <c r="AU5" s="24"/>
      <c r="AW5" s="160"/>
      <c r="AY5" s="165"/>
      <c r="AZ5" s="111" t="s">
        <v>68</v>
      </c>
      <c r="BA5" s="111" t="s">
        <v>70</v>
      </c>
      <c r="BB5" s="104" t="s">
        <v>22</v>
      </c>
      <c r="BC5" s="104" t="s">
        <v>23</v>
      </c>
      <c r="BD5" s="104" t="s">
        <v>24</v>
      </c>
      <c r="BE5" s="104" t="s">
        <v>25</v>
      </c>
      <c r="BF5" s="104" t="s">
        <v>12</v>
      </c>
      <c r="BG5" s="104" t="s">
        <v>13</v>
      </c>
      <c r="BH5" s="104" t="s">
        <v>14</v>
      </c>
      <c r="BI5" s="104" t="s">
        <v>113</v>
      </c>
      <c r="BJ5" s="104" t="s">
        <v>17</v>
      </c>
      <c r="BK5" s="104" t="s">
        <v>18</v>
      </c>
      <c r="BL5" s="104" t="s">
        <v>19</v>
      </c>
      <c r="BM5" s="104" t="s">
        <v>20</v>
      </c>
      <c r="BP5" s="24" t="s">
        <v>121</v>
      </c>
      <c r="BQ5" s="24">
        <f t="shared" si="0"/>
        <v>4</v>
      </c>
    </row>
    <row r="6" spans="1:176" s="27" customFormat="1" ht="21" customHeight="1" thickBot="1" x14ac:dyDescent="0.3">
      <c r="A6" s="36" t="str">
        <f>CONCATENATE(IF(AND($A$3&gt;10,$A$3&lt;15),"O",IF(AND($A$3&gt;16,$A$3&lt;21),"U","AA")),1)</f>
        <v>O1</v>
      </c>
      <c r="B6" s="214"/>
      <c r="C6" s="214"/>
      <c r="D6" s="214"/>
      <c r="E6" s="214"/>
      <c r="F6" s="214"/>
      <c r="G6" s="214"/>
      <c r="J6" s="25"/>
      <c r="K6" s="24"/>
      <c r="L6" s="24"/>
      <c r="M6" s="24"/>
      <c r="N6" s="24"/>
      <c r="O6" s="24"/>
      <c r="P6" s="203"/>
      <c r="Q6" s="24"/>
      <c r="V6" s="24"/>
      <c r="W6" s="24"/>
      <c r="X6" s="24"/>
      <c r="Y6" s="24"/>
      <c r="Z6" s="24"/>
      <c r="AA6" s="24"/>
      <c r="AB6" s="24"/>
      <c r="AC6" s="24"/>
      <c r="AD6" s="24"/>
      <c r="AE6" s="351"/>
      <c r="AF6" s="99">
        <f ca="1">A1+10</f>
        <v>23</v>
      </c>
      <c r="AG6" s="104"/>
      <c r="AH6" s="99"/>
      <c r="AJ6" s="24"/>
      <c r="AM6" s="24"/>
      <c r="AN6" s="24"/>
      <c r="AO6" s="24"/>
      <c r="AP6" s="24"/>
      <c r="AQ6" s="24"/>
      <c r="AR6" s="165"/>
      <c r="AS6" s="24"/>
      <c r="AT6" s="24"/>
      <c r="AU6" s="24"/>
      <c r="AW6" s="160"/>
      <c r="AY6" s="165"/>
      <c r="AZ6" s="111" t="s">
        <v>67</v>
      </c>
      <c r="BA6" s="111" t="s">
        <v>71</v>
      </c>
      <c r="BB6" s="104" t="s">
        <v>12</v>
      </c>
      <c r="BC6" s="104" t="s">
        <v>13</v>
      </c>
      <c r="BD6" s="104" t="s">
        <v>14</v>
      </c>
      <c r="BE6" s="104" t="s">
        <v>113</v>
      </c>
      <c r="BF6" s="104" t="s">
        <v>17</v>
      </c>
      <c r="BG6" s="104" t="s">
        <v>18</v>
      </c>
      <c r="BH6" s="104" t="s">
        <v>19</v>
      </c>
      <c r="BI6" s="104" t="s">
        <v>20</v>
      </c>
      <c r="BJ6" s="112"/>
      <c r="BK6" s="104"/>
      <c r="BL6" s="104"/>
      <c r="BM6" s="104"/>
      <c r="BP6" s="24" t="s">
        <v>122</v>
      </c>
      <c r="BQ6" s="24">
        <f t="shared" si="0"/>
        <v>5</v>
      </c>
    </row>
    <row r="7" spans="1:176" s="27" customFormat="1" ht="21" hidden="1" customHeight="1" thickBot="1" x14ac:dyDescent="0.3">
      <c r="A7" s="37" t="str">
        <f ca="1">CONCATENATE("$C$10:$C$",A1+9)</f>
        <v>$C$10:$C$22</v>
      </c>
      <c r="B7" s="83"/>
      <c r="C7" s="83"/>
      <c r="D7" s="83"/>
      <c r="E7" s="83"/>
      <c r="F7" s="83"/>
      <c r="G7" s="83"/>
      <c r="H7" s="83"/>
      <c r="I7" s="83"/>
      <c r="J7" s="230"/>
      <c r="K7" s="24"/>
      <c r="L7" s="24"/>
      <c r="M7" s="24"/>
      <c r="N7" s="24"/>
      <c r="O7" s="24"/>
      <c r="P7" s="20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99">
        <v>22</v>
      </c>
      <c r="AG7" s="100" t="str">
        <f>CONCATENATE("$AG$9:$AG$",$AF$7)</f>
        <v>$AG$9:$AG$22</v>
      </c>
      <c r="AH7" s="99"/>
      <c r="AI7" s="28"/>
      <c r="AJ7" s="24" t="str">
        <f>IF($AB$8="PL Total","PL",IF($AB$8="Push Pull Total","PP",IF($AB$8="Best Squat","SQ",IF($AB$8="Best Bench","BP","DL"))))</f>
        <v>PL</v>
      </c>
      <c r="AM7" s="24"/>
      <c r="AN7" s="24"/>
      <c r="AO7" s="24"/>
      <c r="AP7" s="24"/>
      <c r="AQ7" s="24"/>
      <c r="AR7" s="165"/>
      <c r="AS7" s="24" t="str">
        <f>CONCATENATE("AR10:AR",AF7)</f>
        <v>AR10:AR22</v>
      </c>
      <c r="AT7" s="24"/>
      <c r="AU7" s="24" t="str">
        <f>CONCATENATE("AT10:AT",AF7)</f>
        <v>AT10:AT22</v>
      </c>
      <c r="AW7" s="160"/>
      <c r="AY7" s="165"/>
      <c r="AZ7" s="109"/>
      <c r="BA7" s="109"/>
      <c r="BB7" s="110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P7" s="24" t="s">
        <v>123</v>
      </c>
      <c r="BQ7" s="24">
        <f t="shared" si="0"/>
        <v>6</v>
      </c>
    </row>
    <row r="8" spans="1:176" s="91" customFormat="1" ht="28.5" customHeight="1" thickBot="1" x14ac:dyDescent="0.3">
      <c r="A8" s="85" t="s">
        <v>31</v>
      </c>
      <c r="B8" s="86" t="s">
        <v>667</v>
      </c>
      <c r="C8" s="87" t="s">
        <v>0</v>
      </c>
      <c r="D8" s="88" t="s">
        <v>1</v>
      </c>
      <c r="E8" s="89" t="s">
        <v>29</v>
      </c>
      <c r="F8" s="89" t="str">
        <f>Setup!K6</f>
        <v>BWt (Kg)</v>
      </c>
      <c r="G8" s="89" t="str">
        <f>IF(F8="BWt (Kg)","WtCls (Kg)","WtCls (Lb)")</f>
        <v>WtCls (Kg)</v>
      </c>
      <c r="H8" s="95" t="str">
        <f>Setup!K30</f>
        <v>Glossbrenner</v>
      </c>
      <c r="I8" s="89" t="s">
        <v>2</v>
      </c>
      <c r="J8" s="88" t="s">
        <v>26</v>
      </c>
      <c r="K8" s="90" t="s">
        <v>22</v>
      </c>
      <c r="L8" s="90" t="s">
        <v>23</v>
      </c>
      <c r="M8" s="90" t="s">
        <v>24</v>
      </c>
      <c r="N8" s="90" t="s">
        <v>25</v>
      </c>
      <c r="O8" s="89" t="s">
        <v>11</v>
      </c>
      <c r="P8" s="204" t="s">
        <v>27</v>
      </c>
      <c r="Q8" s="90" t="s">
        <v>12</v>
      </c>
      <c r="R8" s="90" t="s">
        <v>13</v>
      </c>
      <c r="S8" s="90" t="s">
        <v>14</v>
      </c>
      <c r="T8" s="90" t="s">
        <v>113</v>
      </c>
      <c r="U8" s="89" t="s">
        <v>15</v>
      </c>
      <c r="V8" s="89" t="s">
        <v>16</v>
      </c>
      <c r="W8" s="90" t="s">
        <v>17</v>
      </c>
      <c r="X8" s="90" t="s">
        <v>18</v>
      </c>
      <c r="Y8" s="90" t="s">
        <v>19</v>
      </c>
      <c r="Z8" s="90" t="s">
        <v>20</v>
      </c>
      <c r="AA8" s="90" t="s">
        <v>21</v>
      </c>
      <c r="AB8" s="101" t="s">
        <v>68</v>
      </c>
      <c r="AC8" s="89" t="s">
        <v>90</v>
      </c>
      <c r="AD8" s="89" t="s">
        <v>95</v>
      </c>
      <c r="AE8" s="89" t="s">
        <v>135</v>
      </c>
      <c r="AF8" s="89" t="s">
        <v>30</v>
      </c>
      <c r="AG8" s="89" t="s">
        <v>136</v>
      </c>
      <c r="AH8" s="105" t="s">
        <v>44</v>
      </c>
      <c r="AI8" s="105" t="s">
        <v>101</v>
      </c>
      <c r="AJ8" s="105" t="s">
        <v>102</v>
      </c>
      <c r="AK8" s="105" t="s">
        <v>36</v>
      </c>
      <c r="AL8" s="105" t="s">
        <v>38</v>
      </c>
      <c r="AM8" s="105" t="s">
        <v>68</v>
      </c>
      <c r="AN8" s="120" t="s">
        <v>67</v>
      </c>
      <c r="AO8" s="105" t="s">
        <v>112</v>
      </c>
      <c r="AP8" s="105"/>
      <c r="AQ8" s="105" t="s">
        <v>111</v>
      </c>
      <c r="AR8" s="166" t="s">
        <v>98</v>
      </c>
      <c r="AS8" s="105" t="s">
        <v>99</v>
      </c>
      <c r="AT8" s="105" t="s">
        <v>137</v>
      </c>
      <c r="AU8" s="105" t="s">
        <v>138</v>
      </c>
      <c r="AV8" s="105" t="s">
        <v>139</v>
      </c>
      <c r="AW8" s="161" t="s">
        <v>145</v>
      </c>
      <c r="AX8" s="91" t="s">
        <v>146</v>
      </c>
      <c r="AY8" s="166" t="s">
        <v>148</v>
      </c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13" t="s">
        <v>124</v>
      </c>
      <c r="BQ8" s="24">
        <f t="shared" si="0"/>
        <v>7</v>
      </c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 t="s">
        <v>80</v>
      </c>
      <c r="CK8" s="105" t="s">
        <v>22</v>
      </c>
      <c r="CL8" s="105" t="s">
        <v>23</v>
      </c>
      <c r="CM8" s="105" t="s">
        <v>24</v>
      </c>
      <c r="CN8" s="105" t="s">
        <v>25</v>
      </c>
      <c r="CO8" s="105" t="s">
        <v>11</v>
      </c>
      <c r="CP8" s="105" t="s">
        <v>27</v>
      </c>
      <c r="CQ8" s="105" t="s">
        <v>12</v>
      </c>
      <c r="CR8" s="105" t="s">
        <v>13</v>
      </c>
      <c r="CS8" s="105" t="s">
        <v>14</v>
      </c>
      <c r="CT8" s="105" t="s">
        <v>28</v>
      </c>
      <c r="CU8" s="105" t="s">
        <v>15</v>
      </c>
      <c r="CV8" s="105" t="s">
        <v>16</v>
      </c>
      <c r="CW8" s="105" t="s">
        <v>17</v>
      </c>
      <c r="CX8" s="105" t="s">
        <v>18</v>
      </c>
      <c r="CY8" s="105" t="s">
        <v>19</v>
      </c>
      <c r="CZ8" s="105" t="s">
        <v>20</v>
      </c>
      <c r="DA8" s="105" t="s">
        <v>21</v>
      </c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</row>
    <row r="9" spans="1:176" s="28" customFormat="1" hidden="1" x14ac:dyDescent="0.25">
      <c r="A9" s="33" t="str">
        <f t="shared" ref="A9" si="1">IF(K9,ABS(K9)+0.0001*I9,"")</f>
        <v/>
      </c>
      <c r="B9" s="17"/>
      <c r="C9" s="200"/>
      <c r="D9" s="17"/>
      <c r="E9" s="17"/>
      <c r="F9" s="17"/>
      <c r="G9" s="39" t="str">
        <f>IF(OR(E9="",F9=""),"",IF(LEFT(E9,1)="M",VLOOKUP(F9,Setup!$J$9:$K$23,2,TRUE),VLOOKUP(F9,Setup!$L$9:$M$23,2,TRUE)))</f>
        <v/>
      </c>
      <c r="H9" s="39">
        <f>IF(F9="",0,VLOOKUP(AL9,DATA!$L$2:$N$1910,IF(LEFT(E9,1)="F",3,2)))</f>
        <v>0</v>
      </c>
      <c r="I9" s="17"/>
      <c r="J9" s="17"/>
      <c r="K9" s="115"/>
      <c r="L9" s="115"/>
      <c r="M9" s="115"/>
      <c r="N9" s="115"/>
      <c r="O9" s="116">
        <f t="shared" ref="O9" si="2">IF(MAX(CK9:CM9)&gt;0,MAX(ABS(K9)*CK9,ABS(L9)*CL9,CM9*ABS(M9)),0)</f>
        <v>0</v>
      </c>
      <c r="P9" s="205"/>
      <c r="Q9" s="115"/>
      <c r="R9" s="115"/>
      <c r="S9" s="115"/>
      <c r="T9" s="115"/>
      <c r="U9" s="116">
        <f t="shared" ref="U9" si="3">IF(MAX(CQ9:CS9)&gt;0,MAX(ABS(Q9)*CQ9,ABS(R9)*CR9,CS9*ABS(S9)),0)</f>
        <v>0</v>
      </c>
      <c r="V9" s="117">
        <f t="shared" ref="V9" si="4">IF(OR(O9=0,U9=0),0,O9+U9)</f>
        <v>0</v>
      </c>
      <c r="W9" s="115"/>
      <c r="X9" s="115"/>
      <c r="Y9" s="115"/>
      <c r="Z9" s="115"/>
      <c r="AA9" s="116">
        <f t="shared" ref="AA9" si="5">IF(MAX(CW9:CY9)&gt;0,MAX(ABS(W9)*CW9,ABS(X9)*CX9,CY9*ABS(Y9)),0)</f>
        <v>0</v>
      </c>
      <c r="AB9" s="117">
        <f t="shared" ref="AB9" si="6">AJ9*IF($AB$8="PL Total",AM9,IF($AB$8="Push Pull Total",AN9,IF($AB$8="Best Squat",O9,IF($AB$8="Best Bench",U9,AA9))))</f>
        <v>0</v>
      </c>
      <c r="AC9" s="118">
        <f t="shared" ref="AC9" si="7">IF(OR(F9="",AB9=0),0,H9*IF(AND($G$3="Lb",$H$8="Wilks"),AB9/2.2046,AB9))</f>
        <v>0</v>
      </c>
      <c r="AD9" s="118">
        <f>IF(OR(AB9=0,D9="",D9&lt;40),0,VLOOKUP($D9,DATA!$A$2:$B$53,2,TRUE)*AC9)</f>
        <v>0</v>
      </c>
      <c r="AE9" s="178" t="str">
        <f ca="1">IF(E9="","",OFFSET(Setup!$Q$1,MATCH(E9,Setup!O:O,0)-1,0))</f>
        <v/>
      </c>
      <c r="AF9" s="116">
        <f t="shared" ref="AF9" ca="1" si="8">IF(OR(AB9=0,AR9=0),0,CONCATENATE(AV9,"-",E9,IF(AE9=1,"-",""),IF(AE9=1,IF(G9="SHW",G9,ROUND(G9,1)),"")))</f>
        <v>0</v>
      </c>
      <c r="AG9" s="39">
        <f>IF(OR(AB9=0),0,VLOOKUP(AV9,Setup!$S$6:$T$15,2,TRUE))</f>
        <v>0</v>
      </c>
      <c r="AH9" s="119"/>
      <c r="AI9" s="114"/>
      <c r="AJ9" s="106">
        <f t="shared" ref="AJ9" si="9">IF(ISERROR(FIND($AJ$7,AI9)),0,1)</f>
        <v>0</v>
      </c>
      <c r="AK9" s="39" t="str">
        <f t="shared" ref="AK9" si="10">IF(B9="","",VLOOKUP(B9,$BP$1:$BQ$8,2,FALSE))</f>
        <v/>
      </c>
      <c r="AL9" s="26">
        <f t="shared" ref="AL9" si="11">ROUND(IF($F$8="BWt (Kg)",F9,F9/2.2046),1)</f>
        <v>0</v>
      </c>
      <c r="AM9" s="26">
        <f t="shared" ref="AM9" si="12">IF(OR(O9=0,U9=0,AA9=0),0,O9+U9+AA9)</f>
        <v>0</v>
      </c>
      <c r="AN9" s="26">
        <f t="shared" ref="AN9" si="13">IF(OR(U9=0,AA9=0),0,U9+AA9)</f>
        <v>0</v>
      </c>
      <c r="AO9" s="38" t="str">
        <f t="shared" ref="AO9" si="14">IF(E9="","",LEFT(E9,1))</f>
        <v/>
      </c>
      <c r="AP9" s="38"/>
      <c r="AQ9" s="28">
        <f t="shared" ref="AQ9" si="15">IF(OR(ISERROR(E9),F9="",ISERROR(G9),AB9=0),0,1)</f>
        <v>0</v>
      </c>
      <c r="AR9" s="198">
        <f t="shared" ref="AR9" ca="1" si="16">IF(OR(ISERROR(AY9),ISERROR(AX9)),0,AY9)</f>
        <v>0</v>
      </c>
      <c r="AS9" s="38">
        <f t="shared" ref="AS9" ca="1" si="17">RANK(AR9,INDIRECT($AS$7))</f>
        <v>13</v>
      </c>
      <c r="AT9" s="158">
        <f t="shared" ref="AT9" ca="1" si="18">INT(AR9/1000000)</f>
        <v>0</v>
      </c>
      <c r="AU9" s="97">
        <f t="shared" ref="AU9" ca="1" si="19">RANK(AT9,INDIRECT($AU$7))</f>
        <v>13</v>
      </c>
      <c r="AV9" s="179">
        <f t="shared" ref="AV9" ca="1" si="20">AS9-AU9+1</f>
        <v>1</v>
      </c>
      <c r="AW9" s="162">
        <f t="shared" ref="AW9" si="21">F9</f>
        <v>0</v>
      </c>
      <c r="AX9" s="26">
        <f>RANK(AW9,AW:AW)</f>
        <v>13</v>
      </c>
      <c r="AY9" s="198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9"/>
      <c r="BA9" s="39"/>
      <c r="BB9" s="39"/>
      <c r="BC9" s="39"/>
      <c r="BD9" s="39"/>
      <c r="BE9" s="39"/>
      <c r="BF9" s="39"/>
      <c r="BG9" s="39"/>
      <c r="BH9" s="84"/>
      <c r="BI9" s="84"/>
      <c r="BJ9" s="84"/>
      <c r="BK9" s="84"/>
      <c r="BL9" s="84"/>
      <c r="BM9" s="84"/>
      <c r="BN9" s="30"/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</row>
    <row r="10" spans="1:176" s="28" customFormat="1" x14ac:dyDescent="0.25">
      <c r="A10" s="33">
        <f>IF(L10,ABS(L10+0.0001*I10),"")</f>
        <v>52.5</v>
      </c>
      <c r="B10" s="17" t="s">
        <v>32</v>
      </c>
      <c r="C10" s="200" t="s">
        <v>659</v>
      </c>
      <c r="D10" s="17">
        <v>12</v>
      </c>
      <c r="E10" s="264" t="s">
        <v>669</v>
      </c>
      <c r="F10" s="17">
        <v>64</v>
      </c>
      <c r="G10" s="39">
        <f>IF(OR(E10="",F10=""),"",IF(LEFT(E10,1)="M",VLOOKUP(F10,Setup!$J$9:$K$23,2,TRUE),VLOOKUP(F10,Setup!$L$9:$M$23,2,TRUE)))</f>
        <v>67.5</v>
      </c>
      <c r="H10" s="39">
        <f>IF(F10="",0,VLOOKUP(AL10,DATA!$L$2:$N$1910,IF(LEFT(E10,1)="F",3,2)))</f>
        <v>0.93805000000000005</v>
      </c>
      <c r="I10" s="17"/>
      <c r="J10" s="17"/>
      <c r="K10" s="402">
        <v>47.5</v>
      </c>
      <c r="L10" s="115">
        <v>-52.5</v>
      </c>
      <c r="M10" s="115">
        <v>-52.5</v>
      </c>
      <c r="N10" s="115"/>
      <c r="O10" s="116">
        <f>IF(MAX(CK10:CM10)&gt;0,MAX(ABS(K10)*CK10,ABS(L10)*CL10,CM10*ABS(M10)),0)</f>
        <v>47.5</v>
      </c>
      <c r="P10" s="205"/>
      <c r="Q10" s="402">
        <v>27.5</v>
      </c>
      <c r="R10" s="402">
        <v>30</v>
      </c>
      <c r="S10" s="115">
        <v>-32.5</v>
      </c>
      <c r="T10" s="115"/>
      <c r="U10" s="116">
        <f>IF(MAX(CQ10:CS10)&gt;0,MAX(ABS(Q10)*CQ10,ABS(R10)*CR10,CS10*ABS(S10)),0)</f>
        <v>30</v>
      </c>
      <c r="V10" s="117">
        <f>IF(OR(O10=0,U10=0),0,O10+U10)</f>
        <v>77.5</v>
      </c>
      <c r="W10" s="115">
        <v>-67.5</v>
      </c>
      <c r="X10" s="402">
        <v>67.5</v>
      </c>
      <c r="Y10" s="402">
        <v>72.5</v>
      </c>
      <c r="Z10" s="115"/>
      <c r="AA10" s="116">
        <f>IF(MAX(CW10:CY10)&gt;0,MAX(ABS(W10)*CW10,ABS(X10)*CX10,CY10*ABS(Y10)),0)</f>
        <v>72.5</v>
      </c>
      <c r="AB10" s="117">
        <f>AJ10*IF($AB$8="PL Total",AM10,IF($AB$8="Push Pull Total",AN10,IF($AB$8="Best Squat",O10,IF($AB$8="Best Bench",U10,AA10))))</f>
        <v>150</v>
      </c>
      <c r="AC10" s="118">
        <f>IF(OR(F10="",AB10=0),0,H10*IF(AND($G$3="Lb",$H$8="Wilks"),AB10/2.2046,AB10))</f>
        <v>140.70750000000001</v>
      </c>
      <c r="AD10" s="118">
        <f>IF(OR(AB10=0,D10="",D10&lt;40),0,VLOOKUP($D10,DATA!$A$2:$B$53,2,TRUE)*AC10)</f>
        <v>0</v>
      </c>
      <c r="AE10" s="178">
        <f ca="1">IF(E10="","",OFFSET(Setup!$Q$1,MATCH(E10,Setup!O:O,0)-1,0))</f>
        <v>1</v>
      </c>
      <c r="AF10" s="116" t="str">
        <f ca="1">IF(OR(AB10=0,AR10=0),0,CONCATENATE(AV10,"-",E10,IF(AE10=1,"-",""),IF(AE10=1,IF(G10="SHW",G10,ROUND(G10,1)),"")))</f>
        <v>1-F_YCR_APF-67.5</v>
      </c>
      <c r="AG10" s="39">
        <f ca="1">IF(OR(AB10=0),0,VLOOKUP(AV10,Setup!$S$6:$T$15,2,TRUE))</f>
        <v>3</v>
      </c>
      <c r="AH10" s="119"/>
      <c r="AI10" s="114" t="s">
        <v>653</v>
      </c>
      <c r="AJ10" s="106">
        <f>IF(ISERROR(FIND($AJ$7,AI10)),0,1)</f>
        <v>1</v>
      </c>
      <c r="AK10" s="39">
        <f>IF(B10="","",VLOOKUP(B10,$BP$1:$BQ$8,2,FALSE))</f>
        <v>0</v>
      </c>
      <c r="AL10" s="26">
        <f>ROUND(IF($F$8="BWt (Kg)",F10,F10/2.2046),1)</f>
        <v>64</v>
      </c>
      <c r="AM10" s="26">
        <f>IF(OR(O10=0,U10=0,AA10=0),0,O10+U10+AA10)</f>
        <v>150</v>
      </c>
      <c r="AN10" s="26">
        <f>IF(OR(U10=0,AA10=0),0,U10+AA10)</f>
        <v>102.5</v>
      </c>
      <c r="AO10" s="38" t="str">
        <f>IF(E10="","",LEFT(E10,1))</f>
        <v>F</v>
      </c>
      <c r="AP10" s="38"/>
      <c r="AQ10" s="28">
        <f>IF(OR(ISERROR(E10),F10="",ISERROR(G10),AB10=0),0,1)</f>
        <v>1</v>
      </c>
      <c r="AR10" s="198">
        <f ca="1">IF(OR(ISERROR(AY10),ISERROR(AX10)),0,AY10)</f>
        <v>24110004012</v>
      </c>
      <c r="AS10" s="38">
        <f ca="1">RANK(AR10,INDIRECT($AS$7))</f>
        <v>1</v>
      </c>
      <c r="AT10" s="158">
        <f ca="1">INT(AR10/1000000)</f>
        <v>24110</v>
      </c>
      <c r="AU10" s="97">
        <f ca="1">RANK(AT10,INDIRECT($AU$7))</f>
        <v>1</v>
      </c>
      <c r="AV10" s="179">
        <f ca="1">AS10-AU10+1</f>
        <v>1</v>
      </c>
      <c r="AW10" s="162">
        <f>F10</f>
        <v>64</v>
      </c>
      <c r="AX10" s="26">
        <f>RANK(AW10,AW:AW)</f>
        <v>12</v>
      </c>
      <c r="AY10" s="198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24110004012</v>
      </c>
      <c r="AZ10" s="39"/>
      <c r="BA10" s="39"/>
      <c r="BB10" s="39"/>
      <c r="BC10" s="39"/>
      <c r="BD10" s="39"/>
      <c r="BE10" s="39"/>
      <c r="BF10" s="39"/>
      <c r="BG10" s="39"/>
      <c r="BH10" s="84"/>
      <c r="BI10" s="84"/>
      <c r="BJ10" s="84"/>
      <c r="BK10" s="84"/>
      <c r="BL10" s="84"/>
      <c r="BM10" s="84"/>
      <c r="BN10" s="30"/>
      <c r="CJ10" s="28">
        <v>0</v>
      </c>
      <c r="CK10" s="28">
        <v>1</v>
      </c>
      <c r="CL10" s="28">
        <v>-1</v>
      </c>
      <c r="CM10" s="28">
        <v>-1</v>
      </c>
      <c r="CN10" s="28">
        <v>0</v>
      </c>
      <c r="CO10" s="28">
        <v>0</v>
      </c>
      <c r="CP10" s="28">
        <v>0</v>
      </c>
      <c r="CQ10" s="28">
        <v>1</v>
      </c>
      <c r="CR10" s="28">
        <v>1</v>
      </c>
      <c r="CS10" s="28">
        <v>-1</v>
      </c>
      <c r="CT10" s="28">
        <v>0</v>
      </c>
      <c r="CU10" s="28">
        <v>0</v>
      </c>
      <c r="CV10" s="28">
        <v>0</v>
      </c>
      <c r="CW10" s="28">
        <v>-1</v>
      </c>
      <c r="CX10" s="28">
        <v>1</v>
      </c>
      <c r="CY10" s="28">
        <v>1</v>
      </c>
      <c r="CZ10" s="28">
        <v>0</v>
      </c>
    </row>
    <row r="11" spans="1:176" s="28" customFormat="1" x14ac:dyDescent="0.25">
      <c r="A11" s="33">
        <f>IF(L11,ABS(L11+0.0001*I11),"")</f>
        <v>102.5</v>
      </c>
      <c r="B11" s="17" t="s">
        <v>32</v>
      </c>
      <c r="C11" s="200" t="s">
        <v>662</v>
      </c>
      <c r="D11" s="17">
        <v>14</v>
      </c>
      <c r="E11" s="17" t="s">
        <v>515</v>
      </c>
      <c r="F11" s="17">
        <v>67.2</v>
      </c>
      <c r="G11" s="39">
        <f>IF(OR(E11="",F11=""),"",IF(LEFT(E11,1)="M",VLOOKUP(F11,Setup!$J$9:$K$23,2,TRUE),VLOOKUP(F11,Setup!$L$9:$M$23,2,TRUE)))</f>
        <v>67.5</v>
      </c>
      <c r="H11" s="39">
        <f>IF(F11="",0,VLOOKUP(AL11,DATA!$L$2:$N$1910,IF(LEFT(E11,1)="F",3,2)))</f>
        <v>0.90280000000000005</v>
      </c>
      <c r="I11" s="17"/>
      <c r="J11" s="17"/>
      <c r="K11" s="402">
        <v>97.5</v>
      </c>
      <c r="L11" s="402">
        <v>102.5</v>
      </c>
      <c r="M11" s="402">
        <v>107.5</v>
      </c>
      <c r="N11" s="115"/>
      <c r="O11" s="116">
        <f>IF(MAX(CK11:CM11)&gt;0,MAX(ABS(K11)*CK11,ABS(L11)*CL11,CM11*ABS(M11)),0)</f>
        <v>107.5</v>
      </c>
      <c r="P11" s="205"/>
      <c r="Q11" s="402">
        <v>42.5</v>
      </c>
      <c r="R11" s="402">
        <v>45</v>
      </c>
      <c r="S11" s="115">
        <v>-50</v>
      </c>
      <c r="T11" s="115"/>
      <c r="U11" s="116">
        <f>IF(MAX(CQ11:CS11)&gt;0,MAX(ABS(Q11)*CQ11,ABS(R11)*CR11,CS11*ABS(S11)),0)</f>
        <v>45</v>
      </c>
      <c r="V11" s="117">
        <f>IF(OR(O11=0,U11=0),0,O11+U11)</f>
        <v>152.5</v>
      </c>
      <c r="W11" s="402">
        <v>97.5</v>
      </c>
      <c r="X11" s="402">
        <v>102.5</v>
      </c>
      <c r="Y11" s="402">
        <v>107.5</v>
      </c>
      <c r="Z11" s="115"/>
      <c r="AA11" s="116">
        <f>IF(MAX(CW11:CY11)&gt;0,MAX(ABS(W11)*CW11,ABS(X11)*CX11,CY11*ABS(Y11)),0)</f>
        <v>107.5</v>
      </c>
      <c r="AB11" s="117">
        <f>AJ11*IF($AB$8="PL Total",AM11,IF($AB$8="Push Pull Total",AN11,IF($AB$8="Best Squat",O11,IF($AB$8="Best Bench",U11,AA11))))</f>
        <v>260</v>
      </c>
      <c r="AC11" s="118">
        <f>IF(OR(F11="",AB11=0),0,H11*IF(AND($G$3="Lb",$H$8="Wilks"),AB11/2.2046,AB11))</f>
        <v>234.72800000000001</v>
      </c>
      <c r="AD11" s="118">
        <f>IF(OR(AB11=0,D11="",D11&lt;40),0,VLOOKUP($D11,DATA!$A$2:$B$53,2,TRUE)*AC11)</f>
        <v>0</v>
      </c>
      <c r="AE11" s="178">
        <f ca="1">IF(E11="","",OFFSET(Setup!$Q$1,MATCH(E11,Setup!O:O,0)-1,0))</f>
        <v>1</v>
      </c>
      <c r="AF11" s="116" t="str">
        <f ca="1">IF(OR(AB11=0,AR11=0),0,CONCATENATE(AV11,"-",E11,IF(AE11=1,"-",""),IF(AE11=1,IF(G11="SHW",G11,ROUND(G11,1)),"")))</f>
        <v>1-F_TCR_1_APF-67.5</v>
      </c>
      <c r="AG11" s="39">
        <f ca="1">IF(OR(AB11=0),0,VLOOKUP(AV11,Setup!$S$6:$T$15,2,TRUE))</f>
        <v>3</v>
      </c>
      <c r="AH11" s="119"/>
      <c r="AI11" s="114" t="s">
        <v>653</v>
      </c>
      <c r="AJ11" s="106">
        <f>IF(ISERROR(FIND($AJ$7,AI11)),0,1)</f>
        <v>1</v>
      </c>
      <c r="AK11" s="39">
        <f>IF(B11="","",VLOOKUP(B11,$BP$1:$BQ$8,2,FALSE))</f>
        <v>0</v>
      </c>
      <c r="AL11" s="26">
        <f>ROUND(IF($F$8="BWt (Kg)",F11,F11/2.2046),1)</f>
        <v>67.2</v>
      </c>
      <c r="AM11" s="26">
        <f>IF(OR(O11=0,U11=0,AA11=0),0,O11+U11+AA11)</f>
        <v>260</v>
      </c>
      <c r="AN11" s="26">
        <f>IF(OR(U11=0,AA11=0),0,U11+AA11)</f>
        <v>152.5</v>
      </c>
      <c r="AO11" s="38" t="str">
        <f>IF(E11="","",LEFT(E11,1))</f>
        <v>F</v>
      </c>
      <c r="AP11" s="38"/>
      <c r="AQ11" s="28">
        <f>IF(OR(ISERROR(E11),F11="",ISERROR(G11),AB11=0),0,1)</f>
        <v>1</v>
      </c>
      <c r="AR11" s="198">
        <f ca="1">IF(OR(ISERROR(AY11),ISERROR(AX11)),0,AY11)</f>
        <v>13110005011</v>
      </c>
      <c r="AS11" s="38">
        <f ca="1">RANK(AR11,INDIRECT($AS$7))</f>
        <v>3</v>
      </c>
      <c r="AT11" s="158">
        <f ca="1">INT(AR11/1000000)</f>
        <v>13110</v>
      </c>
      <c r="AU11" s="97">
        <f ca="1">RANK(AT11,INDIRECT($AU$7))</f>
        <v>3</v>
      </c>
      <c r="AV11" s="179">
        <f ca="1">AS11-AU11+1</f>
        <v>1</v>
      </c>
      <c r="AW11" s="162">
        <f>F11</f>
        <v>67.2</v>
      </c>
      <c r="AX11" s="26">
        <f>RANK(AW11,AW:AW)</f>
        <v>11</v>
      </c>
      <c r="AY11" s="198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13110005011</v>
      </c>
      <c r="AZ11" s="39"/>
      <c r="BA11" s="39"/>
      <c r="BB11" s="39"/>
      <c r="BC11" s="39"/>
      <c r="BD11" s="39"/>
      <c r="BE11" s="39"/>
      <c r="BF11" s="39"/>
      <c r="BG11" s="39"/>
      <c r="BH11" s="84"/>
      <c r="BI11" s="84"/>
      <c r="BJ11" s="84"/>
      <c r="BK11" s="84"/>
      <c r="BL11" s="84"/>
      <c r="BM11" s="84"/>
      <c r="BN11" s="30"/>
      <c r="CJ11" s="28">
        <v>0</v>
      </c>
      <c r="CK11" s="28">
        <v>1</v>
      </c>
      <c r="CL11" s="28">
        <v>1</v>
      </c>
      <c r="CM11" s="28">
        <v>1</v>
      </c>
      <c r="CN11" s="28">
        <v>0</v>
      </c>
      <c r="CO11" s="28">
        <v>0</v>
      </c>
      <c r="CP11" s="28">
        <v>0</v>
      </c>
      <c r="CQ11" s="28">
        <v>1</v>
      </c>
      <c r="CR11" s="28">
        <v>1</v>
      </c>
      <c r="CS11" s="28">
        <v>-1</v>
      </c>
      <c r="CT11" s="28">
        <v>0</v>
      </c>
      <c r="CU11" s="28">
        <v>0</v>
      </c>
      <c r="CV11" s="28">
        <v>0</v>
      </c>
      <c r="CW11" s="28">
        <v>1</v>
      </c>
      <c r="CX11" s="28">
        <v>1</v>
      </c>
      <c r="CY11" s="28">
        <v>1</v>
      </c>
      <c r="CZ11" s="28">
        <v>0</v>
      </c>
    </row>
    <row r="12" spans="1:176" s="28" customFormat="1" x14ac:dyDescent="0.25">
      <c r="A12" s="33">
        <f>IF(L12,ABS(L12+0.0001*I12),"")</f>
        <v>120</v>
      </c>
      <c r="B12" s="17" t="s">
        <v>32</v>
      </c>
      <c r="C12" s="200" t="s">
        <v>660</v>
      </c>
      <c r="D12" s="17">
        <v>71</v>
      </c>
      <c r="E12" s="17" t="s">
        <v>246</v>
      </c>
      <c r="F12" s="17">
        <v>97</v>
      </c>
      <c r="G12" s="39">
        <f>IF(OR(E12="",F12=""),"",IF(LEFT(E12,1)="M",VLOOKUP(F12,Setup!$J$9:$K$23,2,TRUE),VLOOKUP(F12,Setup!$L$9:$M$23,2,TRUE)))</f>
        <v>100</v>
      </c>
      <c r="H12" s="39">
        <f>IF(F12="",0,VLOOKUP(AL12,DATA!$L$2:$N$1910,IF(LEFT(E12,1)="F",3,2)))</f>
        <v>0.58909999999999996</v>
      </c>
      <c r="I12" s="17"/>
      <c r="J12" s="17"/>
      <c r="K12" s="402">
        <v>115</v>
      </c>
      <c r="L12" s="402">
        <v>120</v>
      </c>
      <c r="M12" s="402">
        <v>127.5</v>
      </c>
      <c r="N12" s="115"/>
      <c r="O12" s="116">
        <f>IF(MAX(CK12:CM12)&gt;0,MAX(ABS(K12)*CK12,ABS(L12)*CL12,CM12*ABS(M12)),0)</f>
        <v>127.5</v>
      </c>
      <c r="P12" s="205"/>
      <c r="Q12" s="402">
        <v>-145</v>
      </c>
      <c r="R12" s="402">
        <v>145</v>
      </c>
      <c r="S12" s="115">
        <v>-155</v>
      </c>
      <c r="T12" s="115"/>
      <c r="U12" s="116">
        <f>IF(MAX(CQ12:CS12)&gt;0,MAX(ABS(Q12)*CQ12,ABS(R12)*CR12,CS12*ABS(S12)),0)</f>
        <v>145</v>
      </c>
      <c r="V12" s="117">
        <f>IF(OR(O12=0,U12=0),0,O12+U12)</f>
        <v>272.5</v>
      </c>
      <c r="W12" s="115">
        <v>-160</v>
      </c>
      <c r="X12" s="402">
        <v>170</v>
      </c>
      <c r="Y12" s="402">
        <v>182.5</v>
      </c>
      <c r="Z12" s="115"/>
      <c r="AA12" s="116">
        <f>IF(MAX(CW12:CY12)&gt;0,MAX(ABS(W12)*CW12,ABS(X12)*CX12,CY12*ABS(Y12)),0)</f>
        <v>182.5</v>
      </c>
      <c r="AB12" s="117">
        <f>AJ12*IF($AB$8="PL Total",AM12,IF($AB$8="Push Pull Total",AN12,IF($AB$8="Best Squat",O12,IF($AB$8="Best Bench",U12,AA12))))</f>
        <v>455</v>
      </c>
      <c r="AC12" s="118">
        <f>IF(OR(F12="",AB12=0),0,H12*IF(AND($G$3="Lb",$H$8="Wilks"),AB12/2.2046,AB12))</f>
        <v>268.04050000000001</v>
      </c>
      <c r="AD12" s="118">
        <f>IF(OR(AB12=0,D12="",D12&lt;40),0,VLOOKUP($D12,DATA!$A$2:$B$53,2,TRUE)*AC12)</f>
        <v>450.57608050000005</v>
      </c>
      <c r="AE12" s="178">
        <f ca="1">IF(E12="","",OFFSET(Setup!$Q$1,MATCH(E12,Setup!O:O,0)-1,0))</f>
        <v>1</v>
      </c>
      <c r="AF12" s="116" t="str">
        <f ca="1">IF(OR(AB12=0,AR12=0),0,CONCATENATE(AV12,"-",E12,IF(AE12=1,"-",""),IF(AE12=1,IF(G12="SHW",G12,ROUND(G12,1)),"")))</f>
        <v>1-M_MES_7_APF-100</v>
      </c>
      <c r="AG12" s="39">
        <f ca="1">IF(OR(AB12=0),0,VLOOKUP(AV12,Setup!$S$6:$T$15,2,TRUE))</f>
        <v>3</v>
      </c>
      <c r="AH12" s="119"/>
      <c r="AI12" s="114" t="s">
        <v>653</v>
      </c>
      <c r="AJ12" s="106">
        <f>IF(ISERROR(FIND($AJ$7,AI12)),0,1)</f>
        <v>1</v>
      </c>
      <c r="AK12" s="39">
        <f>IF(B12="","",VLOOKUP(B12,$BP$1:$BQ$8,2,FALSE))</f>
        <v>0</v>
      </c>
      <c r="AL12" s="26">
        <f>ROUND(IF($F$8="BWt (Kg)",F12,F12/2.2046),1)</f>
        <v>97</v>
      </c>
      <c r="AM12" s="26">
        <f>IF(OR(O12=0,U12=0,AA12=0),0,O12+U12+AA12)</f>
        <v>455</v>
      </c>
      <c r="AN12" s="26">
        <f>IF(OR(U12=0,AA12=0),0,U12+AA12)</f>
        <v>327.5</v>
      </c>
      <c r="AO12" s="38" t="str">
        <f>IF(E12="","",LEFT(E12,1))</f>
        <v>M</v>
      </c>
      <c r="AP12" s="38"/>
      <c r="AQ12" s="28">
        <f>IF(OR(ISERROR(E12),F12="",ISERROR(G12),AB12=0),0,1)</f>
        <v>1</v>
      </c>
      <c r="AR12" s="198">
        <f ca="1">IF(OR(ISERROR(AY12),ISERROR(AX12)),0,AY12)</f>
        <v>10308006007</v>
      </c>
      <c r="AS12" s="38">
        <f ca="1">RANK(AR12,INDIRECT($AS$7))</f>
        <v>4</v>
      </c>
      <c r="AT12" s="158">
        <f ca="1">INT(AR12/1000000)</f>
        <v>10308</v>
      </c>
      <c r="AU12" s="97">
        <f ca="1">RANK(AT12,INDIRECT($AU$7))</f>
        <v>4</v>
      </c>
      <c r="AV12" s="179">
        <f ca="1">AS12-AU12+1</f>
        <v>1</v>
      </c>
      <c r="AW12" s="162">
        <f>F12</f>
        <v>97</v>
      </c>
      <c r="AX12" s="26">
        <f>RANK(AW12,AW:AW)</f>
        <v>7</v>
      </c>
      <c r="AY12" s="198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10308006007</v>
      </c>
      <c r="AZ12" s="39"/>
      <c r="BA12" s="39"/>
      <c r="BB12" s="39"/>
      <c r="BC12" s="39"/>
      <c r="BD12" s="39"/>
      <c r="BE12" s="39"/>
      <c r="BF12" s="39"/>
      <c r="BG12" s="39"/>
      <c r="BH12" s="84"/>
      <c r="BI12" s="84"/>
      <c r="BJ12" s="84"/>
      <c r="BK12" s="84"/>
      <c r="BL12" s="84"/>
      <c r="BM12" s="84"/>
      <c r="BN12" s="30"/>
      <c r="CJ12" s="28">
        <v>0</v>
      </c>
      <c r="CK12" s="28">
        <v>1</v>
      </c>
      <c r="CL12" s="28">
        <v>1</v>
      </c>
      <c r="CM12" s="28">
        <v>1</v>
      </c>
      <c r="CN12" s="28">
        <v>0</v>
      </c>
      <c r="CO12" s="28">
        <v>0</v>
      </c>
      <c r="CP12" s="28">
        <v>0</v>
      </c>
      <c r="CQ12" s="28">
        <v>-1</v>
      </c>
      <c r="CR12" s="28">
        <v>1</v>
      </c>
      <c r="CS12" s="28">
        <v>-1</v>
      </c>
      <c r="CT12" s="28">
        <v>0</v>
      </c>
      <c r="CU12" s="28">
        <v>0</v>
      </c>
      <c r="CV12" s="28">
        <v>0</v>
      </c>
      <c r="CW12" s="28">
        <v>-1</v>
      </c>
      <c r="CX12" s="28">
        <v>1</v>
      </c>
      <c r="CY12" s="28">
        <v>1</v>
      </c>
      <c r="CZ12" s="28">
        <v>0</v>
      </c>
    </row>
    <row r="13" spans="1:176" s="28" customFormat="1" x14ac:dyDescent="0.25">
      <c r="A13" s="33">
        <f>IF(L13,ABS(L13+0.0001*I13),"")</f>
        <v>182.5</v>
      </c>
      <c r="B13" s="17" t="s">
        <v>32</v>
      </c>
      <c r="C13" s="200" t="s">
        <v>657</v>
      </c>
      <c r="D13" s="17">
        <v>25</v>
      </c>
      <c r="E13" s="17" t="s">
        <v>355</v>
      </c>
      <c r="F13" s="17">
        <v>87.8</v>
      </c>
      <c r="G13" s="39">
        <f>IF(OR(E13="",F13=""),"",IF(LEFT(E13,1)="M",VLOOKUP(F13,Setup!$J$9:$K$23,2,TRUE),VLOOKUP(F13,Setup!$L$9:$M$23,2,TRUE)))</f>
        <v>90</v>
      </c>
      <c r="H13" s="39">
        <f>IF(F13="",0,VLOOKUP(AL13,DATA!$L$2:$N$1910,IF(LEFT(E13,1)="F",3,2)))</f>
        <v>0.62050000000000005</v>
      </c>
      <c r="I13" s="17"/>
      <c r="J13" s="17" t="s">
        <v>658</v>
      </c>
      <c r="K13" s="402">
        <v>170</v>
      </c>
      <c r="L13" s="402">
        <v>182.5</v>
      </c>
      <c r="M13" s="115">
        <v>0</v>
      </c>
      <c r="N13" s="115"/>
      <c r="O13" s="116">
        <f>IF(MAX(CK13:CM13)&gt;0,MAX(ABS(K13)*CK13,ABS(L13)*CL13,CM13*ABS(M13)),0)</f>
        <v>182.5</v>
      </c>
      <c r="P13" s="205"/>
      <c r="Q13" s="402">
        <v>102.5</v>
      </c>
      <c r="R13" s="115">
        <v>-110</v>
      </c>
      <c r="S13" s="115">
        <v>-117.5</v>
      </c>
      <c r="T13" s="115"/>
      <c r="U13" s="116">
        <f>IF(MAX(CQ13:CS13)&gt;0,MAX(ABS(Q13)*CQ13,ABS(R13)*CR13,CS13*ABS(S13)),0)</f>
        <v>102.5</v>
      </c>
      <c r="V13" s="117">
        <f>IF(OR(O13=0,U13=0),0,O13+U13)</f>
        <v>285</v>
      </c>
      <c r="W13" s="402">
        <v>162.5</v>
      </c>
      <c r="X13" s="402">
        <v>172.5</v>
      </c>
      <c r="Y13" s="402">
        <v>175</v>
      </c>
      <c r="Z13" s="115"/>
      <c r="AA13" s="116">
        <f>IF(MAX(CW13:CY13)&gt;0,MAX(ABS(W13)*CW13,ABS(X13)*CX13,CY13*ABS(Y13)),0)</f>
        <v>175</v>
      </c>
      <c r="AB13" s="117">
        <f>AJ13*IF($AB$8="PL Total",AM13,IF($AB$8="Push Pull Total",AN13,IF($AB$8="Best Squat",O13,IF($AB$8="Best Bench",U13,AA13))))</f>
        <v>460</v>
      </c>
      <c r="AC13" s="118">
        <f>IF(OR(F13="",AB13=0),0,H13*IF(AND($G$3="Lb",$H$8="Wilks"),AB13/2.2046,AB13))</f>
        <v>285.43</v>
      </c>
      <c r="AD13" s="118">
        <f>IF(OR(AB13=0,D13="",D13&lt;40),0,VLOOKUP($D13,DATA!$A$2:$B$53,2,TRUE)*AC13)</f>
        <v>0</v>
      </c>
      <c r="AE13" s="178">
        <f ca="1">IF(E13="","",OFFSET(Setup!$Q$1,MATCH(E13,Setup!O:O,0)-1,0))</f>
        <v>1</v>
      </c>
      <c r="AF13" s="116" t="str">
        <f ca="1">IF(OR(AB13=0,AR13=0),0,CONCATENATE(AV13,"-",E13,IF(AE13=1,"-",""),IF(AE13=1,IF(G13="SHW",G13,ROUND(G13,1)),"")))</f>
        <v>1-M_OCR_APF-90</v>
      </c>
      <c r="AG13" s="39">
        <f ca="1">IF(OR(AB13=0),0,VLOOKUP(AV13,Setup!$S$6:$T$15,2,TRUE))</f>
        <v>3</v>
      </c>
      <c r="AH13" s="119"/>
      <c r="AI13" s="114" t="s">
        <v>653</v>
      </c>
      <c r="AJ13" s="106">
        <f>IF(ISERROR(FIND($AJ$7,AI13)),0,1)</f>
        <v>1</v>
      </c>
      <c r="AK13" s="39">
        <f>IF(B13="","",VLOOKUP(B13,$BP$1:$BQ$8,2,FALSE))</f>
        <v>0</v>
      </c>
      <c r="AL13" s="26">
        <f>ROUND(IF($F$8="BWt (Kg)",F13,F13/2.2046),1)</f>
        <v>87.8</v>
      </c>
      <c r="AM13" s="26">
        <f>IF(OR(O13=0,U13=0,AA13=0),0,O13+U13+AA13)</f>
        <v>460</v>
      </c>
      <c r="AN13" s="26">
        <f>IF(OR(U13=0,AA13=0),0,U13+AA13)</f>
        <v>277.5</v>
      </c>
      <c r="AO13" s="38" t="str">
        <f>IF(E13="","",LEFT(E13,1))</f>
        <v>M</v>
      </c>
      <c r="AP13" s="38"/>
      <c r="AQ13" s="28">
        <f>IF(OR(ISERROR(E13),F13="",ISERROR(G13),AB13=0),0,1)</f>
        <v>1</v>
      </c>
      <c r="AR13" s="198">
        <f ca="1">IF(OR(ISERROR(AY13),ISERROR(AX13)),0,AY13)</f>
        <v>309007009</v>
      </c>
      <c r="AS13" s="38">
        <f ca="1">RANK(AR13,INDIRECT($AS$7))</f>
        <v>10</v>
      </c>
      <c r="AT13" s="158">
        <f ca="1">INT(AR13/1000000)</f>
        <v>309</v>
      </c>
      <c r="AU13" s="97">
        <f ca="1">RANK(AT13,INDIRECT($AU$7))</f>
        <v>10</v>
      </c>
      <c r="AV13" s="179">
        <f ca="1">AS13-AU13+1</f>
        <v>1</v>
      </c>
      <c r="AW13" s="162">
        <f>F13</f>
        <v>87.8</v>
      </c>
      <c r="AX13" s="26">
        <f>RANK(AW13,AW:AW)</f>
        <v>9</v>
      </c>
      <c r="AY13" s="198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309007009</v>
      </c>
      <c r="AZ13" s="39"/>
      <c r="BA13" s="39"/>
      <c r="BB13" s="39"/>
      <c r="BC13" s="39"/>
      <c r="BD13" s="39"/>
      <c r="BE13" s="39"/>
      <c r="BF13" s="39"/>
      <c r="BG13" s="39"/>
      <c r="BH13" s="84"/>
      <c r="BI13" s="84"/>
      <c r="BJ13" s="84"/>
      <c r="BK13" s="84"/>
      <c r="BL13" s="84"/>
      <c r="BM13" s="84"/>
      <c r="BN13" s="30"/>
      <c r="CJ13" s="28">
        <v>0</v>
      </c>
      <c r="CK13" s="28">
        <v>1</v>
      </c>
      <c r="CL13" s="28">
        <v>1</v>
      </c>
      <c r="CM13" s="28">
        <v>0</v>
      </c>
      <c r="CN13" s="28">
        <v>0</v>
      </c>
      <c r="CO13" s="28">
        <v>0</v>
      </c>
      <c r="CP13" s="28">
        <v>0</v>
      </c>
      <c r="CQ13" s="28">
        <v>1</v>
      </c>
      <c r="CR13" s="28">
        <v>-1</v>
      </c>
      <c r="CS13" s="28">
        <v>-1</v>
      </c>
      <c r="CT13" s="28">
        <v>0</v>
      </c>
      <c r="CU13" s="28">
        <v>0</v>
      </c>
      <c r="CV13" s="28">
        <v>0</v>
      </c>
      <c r="CW13" s="28">
        <v>1</v>
      </c>
      <c r="CX13" s="28">
        <v>1</v>
      </c>
      <c r="CY13" s="28">
        <v>1</v>
      </c>
      <c r="CZ13" s="28">
        <v>0</v>
      </c>
    </row>
    <row r="14" spans="1:176" s="28" customFormat="1" x14ac:dyDescent="0.25">
      <c r="A14" s="33">
        <f>IF(L14,ABS(L14+0.0001*I14),"")</f>
        <v>192.5</v>
      </c>
      <c r="B14" s="17" t="s">
        <v>32</v>
      </c>
      <c r="C14" s="200" t="s">
        <v>655</v>
      </c>
      <c r="D14" s="17">
        <v>34</v>
      </c>
      <c r="E14" s="17" t="s">
        <v>200</v>
      </c>
      <c r="F14" s="17">
        <v>90.8</v>
      </c>
      <c r="G14" s="39">
        <f>IF(OR(E14="",F14=""),"",IF(LEFT(E14,1)="M",VLOOKUP(F14,Setup!$J$9:$K$23,2,TRUE),VLOOKUP(F14,Setup!$L$9:$M$23,2,TRUE)))</f>
        <v>100</v>
      </c>
      <c r="H14" s="39">
        <f>IF(F14="",0,VLOOKUP(AL14,DATA!$L$2:$N$1910,IF(LEFT(E14,1)="F",3,2)))</f>
        <v>0.6089500000000001</v>
      </c>
      <c r="I14" s="17"/>
      <c r="J14" s="17"/>
      <c r="K14" s="402">
        <v>185</v>
      </c>
      <c r="L14" s="115">
        <v>-192.5</v>
      </c>
      <c r="M14" s="115">
        <v>-192.5</v>
      </c>
      <c r="N14" s="115"/>
      <c r="O14" s="116">
        <f>IF(MAX(CK14:CM14)&gt;0,MAX(ABS(K14)*CK14,ABS(L14)*CL14,CM14*ABS(M14)),0)</f>
        <v>185</v>
      </c>
      <c r="P14" s="205"/>
      <c r="Q14" s="402">
        <v>125</v>
      </c>
      <c r="R14" s="402">
        <v>145</v>
      </c>
      <c r="S14" s="402">
        <v>150</v>
      </c>
      <c r="T14" s="115"/>
      <c r="U14" s="116">
        <f>IF(MAX(CQ14:CS14)&gt;0,MAX(ABS(Q14)*CQ14,ABS(R14)*CR14,CS14*ABS(S14)),0)</f>
        <v>150</v>
      </c>
      <c r="V14" s="117">
        <f>IF(OR(O14=0,U14=0),0,O14+U14)</f>
        <v>335</v>
      </c>
      <c r="W14" s="402">
        <v>210</v>
      </c>
      <c r="X14" s="402">
        <v>235</v>
      </c>
      <c r="Y14" s="402">
        <v>240</v>
      </c>
      <c r="Z14" s="115"/>
      <c r="AA14" s="116">
        <f>IF(MAX(CW14:CY14)&gt;0,MAX(ABS(W14)*CW14,ABS(X14)*CX14,CY14*ABS(Y14)),0)</f>
        <v>240</v>
      </c>
      <c r="AB14" s="117">
        <f>AJ14*IF($AB$8="PL Total",AM14,IF($AB$8="Push Pull Total",AN14,IF($AB$8="Best Squat",O14,IF($AB$8="Best Bench",U14,AA14))))</f>
        <v>575</v>
      </c>
      <c r="AC14" s="118">
        <f>IF(OR(F14="",AB14=0),0,H14*IF(AND($G$3="Lb",$H$8="Wilks"),AB14/2.2046,AB14))</f>
        <v>350.14625000000007</v>
      </c>
      <c r="AD14" s="118">
        <f>IF(OR(AB14=0,D14="",D14&lt;40),0,VLOOKUP($D14,DATA!$A$2:$B$53,2,TRUE)*AC14)</f>
        <v>0</v>
      </c>
      <c r="AE14" s="178">
        <f ca="1">IF(E14="","",OFFSET(Setup!$Q$1,MATCH(E14,Setup!O:O,0)-1,0))</f>
        <v>1</v>
      </c>
      <c r="AF14" s="116" t="str">
        <f ca="1">IF(OR(AB14=0,AR14=0),0,CONCATENATE(AV14,"-",E14,IF(AE14=1,"-",""),IF(AE14=1,IF(G14="SHW",G14,ROUND(G14,1)),"")))</f>
        <v>1-M_SR_APF-100</v>
      </c>
      <c r="AG14" s="39">
        <f ca="1">IF(OR(AB14=0),0,VLOOKUP(AV14,Setup!$S$6:$T$15,2,TRUE))</f>
        <v>3</v>
      </c>
      <c r="AH14" s="119"/>
      <c r="AI14" s="114" t="s">
        <v>653</v>
      </c>
      <c r="AJ14" s="106">
        <f>IF(ISERROR(FIND($AJ$7,AI14)),0,1)</f>
        <v>1</v>
      </c>
      <c r="AK14" s="39">
        <f>IF(B14="","",VLOOKUP(B14,$BP$1:$BQ$8,2,FALSE))</f>
        <v>0</v>
      </c>
      <c r="AL14" s="26">
        <f>ROUND(IF($F$8="BWt (Kg)",F14,F14/2.2046),1)</f>
        <v>90.8</v>
      </c>
      <c r="AM14" s="26">
        <f>IF(OR(O14=0,U14=0,AA14=0),0,O14+U14+AA14)</f>
        <v>575</v>
      </c>
      <c r="AN14" s="26">
        <f>IF(OR(U14=0,AA14=0),0,U14+AA14)</f>
        <v>390</v>
      </c>
      <c r="AO14" s="38" t="str">
        <f>IF(E14="","",LEFT(E14,1))</f>
        <v>M</v>
      </c>
      <c r="AP14" s="38"/>
      <c r="AQ14" s="28">
        <f>IF(OR(ISERROR(E14),F14="",ISERROR(G14),AB14=0),0,1)</f>
        <v>1</v>
      </c>
      <c r="AR14" s="198">
        <f ca="1">IF(OR(ISERROR(AY14),ISERROR(AX14)),0,AY14)</f>
        <v>4108011008</v>
      </c>
      <c r="AS14" s="38">
        <f ca="1">RANK(AR14,INDIRECT($AS$7))</f>
        <v>9</v>
      </c>
      <c r="AT14" s="158">
        <f ca="1">INT(AR14/1000000)</f>
        <v>4108</v>
      </c>
      <c r="AU14" s="97">
        <f ca="1">RANK(AT14,INDIRECT($AU$7))</f>
        <v>9</v>
      </c>
      <c r="AV14" s="179">
        <f ca="1">AS14-AU14+1</f>
        <v>1</v>
      </c>
      <c r="AW14" s="162">
        <f>F14</f>
        <v>90.8</v>
      </c>
      <c r="AX14" s="26">
        <f>RANK(AW14,AW:AW)</f>
        <v>8</v>
      </c>
      <c r="AY14" s="198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4108011008</v>
      </c>
      <c r="AZ14" s="39"/>
      <c r="BA14" s="39"/>
      <c r="BB14" s="39"/>
      <c r="BC14" s="39"/>
      <c r="BD14" s="39"/>
      <c r="BE14" s="39"/>
      <c r="BF14" s="39"/>
      <c r="BG14" s="39"/>
      <c r="BH14" s="84"/>
      <c r="BI14" s="84"/>
      <c r="BJ14" s="84"/>
      <c r="BK14" s="84"/>
      <c r="BL14" s="84"/>
      <c r="BM14" s="84"/>
      <c r="BN14" s="30"/>
      <c r="CJ14" s="28">
        <v>0</v>
      </c>
      <c r="CK14" s="28">
        <v>1</v>
      </c>
      <c r="CL14" s="28">
        <v>-1</v>
      </c>
      <c r="CM14" s="28">
        <v>-1</v>
      </c>
      <c r="CN14" s="28">
        <v>0</v>
      </c>
      <c r="CO14" s="28">
        <v>0</v>
      </c>
      <c r="CP14" s="28">
        <v>0</v>
      </c>
      <c r="CQ14" s="28">
        <v>1</v>
      </c>
      <c r="CR14" s="28">
        <v>1</v>
      </c>
      <c r="CS14" s="28">
        <v>1</v>
      </c>
      <c r="CT14" s="28">
        <v>0</v>
      </c>
      <c r="CU14" s="28">
        <v>0</v>
      </c>
      <c r="CV14" s="28">
        <v>0</v>
      </c>
      <c r="CW14" s="28">
        <v>1</v>
      </c>
      <c r="CX14" s="28">
        <v>1</v>
      </c>
      <c r="CY14" s="28">
        <v>1</v>
      </c>
      <c r="CZ14" s="28">
        <v>0</v>
      </c>
    </row>
    <row r="15" spans="1:176" s="28" customFormat="1" x14ac:dyDescent="0.25">
      <c r="A15" s="33">
        <f>IF(L15,ABS(L15+0.0001*I15),"")</f>
        <v>195</v>
      </c>
      <c r="B15" s="17" t="s">
        <v>32</v>
      </c>
      <c r="C15" s="200" t="s">
        <v>666</v>
      </c>
      <c r="D15" s="17">
        <v>55</v>
      </c>
      <c r="E15" s="17" t="s">
        <v>316</v>
      </c>
      <c r="F15" s="17">
        <v>81</v>
      </c>
      <c r="G15" s="39">
        <f>IF(OR(E15="",F15=""),"",IF(LEFT(E15,1)="M",VLOOKUP(F15,Setup!$J$9:$K$23,2,TRUE),VLOOKUP(F15,Setup!$L$9:$M$23,2,TRUE)))</f>
        <v>82.5</v>
      </c>
      <c r="H15" s="39">
        <f>IF(F15="",0,VLOOKUP(AL15,DATA!$L$2:$N$1910,IF(LEFT(E15,1)="F",3,2)))</f>
        <v>0.79554999999999998</v>
      </c>
      <c r="I15" s="17"/>
      <c r="J15" s="17"/>
      <c r="K15" s="402">
        <v>190</v>
      </c>
      <c r="L15" s="115">
        <v>-195</v>
      </c>
      <c r="M15" s="115">
        <v>0</v>
      </c>
      <c r="N15" s="115"/>
      <c r="O15" s="116">
        <f>IF(MAX(CK15:CM15)&gt;0,MAX(ABS(K15)*CK15,ABS(L15)*CL15,CM15*ABS(M15)),0)</f>
        <v>190</v>
      </c>
      <c r="P15" s="205"/>
      <c r="Q15" s="402">
        <v>105</v>
      </c>
      <c r="R15" s="402">
        <v>112.5</v>
      </c>
      <c r="S15" s="402">
        <v>115</v>
      </c>
      <c r="T15" s="115"/>
      <c r="U15" s="116">
        <f>IF(MAX(CQ15:CS15)&gt;0,MAX(ABS(Q15)*CQ15,ABS(R15)*CR15,CS15*ABS(S15)),0)</f>
        <v>115</v>
      </c>
      <c r="V15" s="117">
        <f>IF(OR(O15=0,U15=0),0,O15+U15)</f>
        <v>305</v>
      </c>
      <c r="W15" s="402">
        <v>147.5</v>
      </c>
      <c r="X15" s="402">
        <v>170</v>
      </c>
      <c r="Y15" s="115">
        <v>-185</v>
      </c>
      <c r="Z15" s="115"/>
      <c r="AA15" s="116">
        <f>IF(MAX(CW15:CY15)&gt;0,MAX(ABS(W15)*CW15,ABS(X15)*CX15,CY15*ABS(Y15)),0)</f>
        <v>170</v>
      </c>
      <c r="AB15" s="117">
        <f>AJ15*IF($AB$8="PL Total",AM15,IF($AB$8="Push Pull Total",AN15,IF($AB$8="Best Squat",O15,IF($AB$8="Best Bench",U15,AA15))))</f>
        <v>475</v>
      </c>
      <c r="AC15" s="118">
        <f>IF(OR(F15="",AB15=0),0,H15*IF(AND($G$3="Lb",$H$8="Wilks"),AB15/2.2046,AB15))</f>
        <v>377.88625000000002</v>
      </c>
      <c r="AD15" s="118">
        <f>IF(OR(AB15=0,D15="",D15&lt;40),0,VLOOKUP($D15,DATA!$A$2:$B$53,2,TRUE)*AC15)</f>
        <v>462.91065625000005</v>
      </c>
      <c r="AE15" s="178">
        <f ca="1">IF(E15="","",OFFSET(Setup!$Q$1,MATCH(E15,Setup!O:O,0)-1,0))</f>
        <v>1</v>
      </c>
      <c r="AF15" s="116" t="str">
        <f ca="1">IF(OR(AB15=0,AR15=0),0,CONCATENATE(AV15,"-",E15,IF(AE15=1,"-",""),IF(AE15=1,IF(G15="SHW",G15,ROUND(G15,1)),"")))</f>
        <v>1-F_MEM_4_APF-82.5</v>
      </c>
      <c r="AG15" s="39">
        <f ca="1">IF(OR(AB15=0),0,VLOOKUP(AV15,Setup!$S$6:$T$15,2,TRUE))</f>
        <v>3</v>
      </c>
      <c r="AH15" s="119" t="s">
        <v>658</v>
      </c>
      <c r="AI15" s="114" t="s">
        <v>653</v>
      </c>
      <c r="AJ15" s="106">
        <f>IF(ISERROR(FIND($AJ$7,AI15)),0,1)</f>
        <v>1</v>
      </c>
      <c r="AK15" s="39">
        <f>IF(B15="","",VLOOKUP(B15,$BP$1:$BQ$8,2,FALSE))</f>
        <v>0</v>
      </c>
      <c r="AL15" s="26">
        <f>ROUND(IF($F$8="BWt (Kg)",F15,F15/2.2046),1)</f>
        <v>81</v>
      </c>
      <c r="AM15" s="26">
        <f>IF(OR(O15=0,U15=0,AA15=0),0,O15+U15+AA15)</f>
        <v>475</v>
      </c>
      <c r="AN15" s="26">
        <f>IF(OR(U15=0,AA15=0),0,U15+AA15)</f>
        <v>285</v>
      </c>
      <c r="AO15" s="38" t="str">
        <f>IF(E15="","",LEFT(E15,1))</f>
        <v>F</v>
      </c>
      <c r="AP15" s="38"/>
      <c r="AQ15" s="28">
        <f>IF(OR(ISERROR(E15),F15="",ISERROR(G15),AB15=0),0,1)</f>
        <v>1</v>
      </c>
      <c r="AR15" s="198">
        <f ca="1">IF(OR(ISERROR(AY15),ISERROR(AX15)),0,AY15)</f>
        <v>19708009010</v>
      </c>
      <c r="AS15" s="38">
        <f ca="1">RANK(AR15,INDIRECT($AS$7))</f>
        <v>2</v>
      </c>
      <c r="AT15" s="158">
        <f ca="1">INT(AR15/1000000)</f>
        <v>19708</v>
      </c>
      <c r="AU15" s="97">
        <f ca="1">RANK(AT15,INDIRECT($AU$7))</f>
        <v>2</v>
      </c>
      <c r="AV15" s="179">
        <f ca="1">AS15-AU15+1</f>
        <v>1</v>
      </c>
      <c r="AW15" s="162">
        <f>F15</f>
        <v>81</v>
      </c>
      <c r="AX15" s="26">
        <f>RANK(AW15,AW:AW)</f>
        <v>10</v>
      </c>
      <c r="AY15" s="198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19708009010</v>
      </c>
      <c r="AZ15" s="39"/>
      <c r="BA15" s="39"/>
      <c r="BB15" s="39"/>
      <c r="BC15" s="39"/>
      <c r="BD15" s="39"/>
      <c r="BE15" s="39"/>
      <c r="BF15" s="39"/>
      <c r="BG15" s="39"/>
      <c r="BH15" s="84"/>
      <c r="BI15" s="84"/>
      <c r="BJ15" s="84"/>
      <c r="BK15" s="84"/>
      <c r="BL15" s="84"/>
      <c r="BM15" s="84"/>
      <c r="BN15" s="30"/>
      <c r="CJ15" s="28">
        <v>0</v>
      </c>
      <c r="CK15" s="28">
        <v>1</v>
      </c>
      <c r="CL15" s="28">
        <v>-1</v>
      </c>
      <c r="CM15" s="28">
        <v>0</v>
      </c>
      <c r="CN15" s="28">
        <v>0</v>
      </c>
      <c r="CO15" s="28">
        <v>0</v>
      </c>
      <c r="CP15" s="28">
        <v>0</v>
      </c>
      <c r="CQ15" s="28">
        <v>1</v>
      </c>
      <c r="CR15" s="28">
        <v>1</v>
      </c>
      <c r="CS15" s="28">
        <v>1</v>
      </c>
      <c r="CT15" s="28">
        <v>0</v>
      </c>
      <c r="CU15" s="28">
        <v>0</v>
      </c>
      <c r="CV15" s="28">
        <v>0</v>
      </c>
      <c r="CW15" s="28">
        <v>1</v>
      </c>
      <c r="CX15" s="28">
        <v>1</v>
      </c>
      <c r="CY15" s="28">
        <v>-1</v>
      </c>
      <c r="CZ15" s="28">
        <v>0</v>
      </c>
    </row>
    <row r="16" spans="1:176" s="28" customFormat="1" x14ac:dyDescent="0.25">
      <c r="A16" s="33">
        <f>IF(L16,ABS(L16+0.0001*I16),"")</f>
        <v>197.5</v>
      </c>
      <c r="B16" s="17" t="s">
        <v>32</v>
      </c>
      <c r="C16" s="200" t="s">
        <v>664</v>
      </c>
      <c r="D16" s="17">
        <v>69</v>
      </c>
      <c r="E16" s="17" t="s">
        <v>240</v>
      </c>
      <c r="F16" s="17">
        <v>98</v>
      </c>
      <c r="G16" s="39">
        <f>IF(OR(E16="",F16=""),"",IF(LEFT(E16,1)="M",VLOOKUP(F16,Setup!$J$9:$K$23,2,TRUE),VLOOKUP(F16,Setup!$L$9:$M$23,2,TRUE)))</f>
        <v>100</v>
      </c>
      <c r="H16" s="39">
        <f>IF(F16="",0,VLOOKUP(AL16,DATA!$L$2:$N$1910,IF(LEFT(E16,1)="F",3,2)))</f>
        <v>0.58635000000000004</v>
      </c>
      <c r="I16" s="17"/>
      <c r="J16" s="17"/>
      <c r="K16" s="402">
        <v>175</v>
      </c>
      <c r="L16" s="402">
        <v>197.5</v>
      </c>
      <c r="M16" s="115">
        <v>0</v>
      </c>
      <c r="N16" s="115"/>
      <c r="O16" s="116">
        <f>IF(MAX(CK16:CM16)&gt;0,MAX(ABS(K16)*CK16,ABS(L16)*CL16,CM16*ABS(M16)),0)</f>
        <v>197.5</v>
      </c>
      <c r="P16" s="205"/>
      <c r="Q16" s="402">
        <v>92.5</v>
      </c>
      <c r="R16" s="402">
        <v>100</v>
      </c>
      <c r="S16" s="115">
        <v>0</v>
      </c>
      <c r="T16" s="115"/>
      <c r="U16" s="116">
        <f>IF(MAX(CQ16:CS16)&gt;0,MAX(ABS(Q16)*CQ16,ABS(R16)*CR16,CS16*ABS(S16)),0)</f>
        <v>100</v>
      </c>
      <c r="V16" s="117">
        <f>IF(OR(O16=0,U16=0),0,O16+U16)</f>
        <v>297.5</v>
      </c>
      <c r="W16" s="115">
        <v>-175</v>
      </c>
      <c r="X16" s="402">
        <v>175</v>
      </c>
      <c r="Y16" s="115">
        <v>0</v>
      </c>
      <c r="Z16" s="115"/>
      <c r="AA16" s="116">
        <f>IF(MAX(CW16:CY16)&gt;0,MAX(ABS(W16)*CW16,ABS(X16)*CX16,CY16*ABS(Y16)),0)</f>
        <v>175</v>
      </c>
      <c r="AB16" s="117">
        <f>AJ16*IF($AB$8="PL Total",AM16,IF($AB$8="Push Pull Total",AN16,IF($AB$8="Best Squat",O16,IF($AB$8="Best Bench",U16,AA16))))</f>
        <v>472.5</v>
      </c>
      <c r="AC16" s="118">
        <f>IF(OR(F16="",AB16=0),0,H16*IF(AND($G$3="Lb",$H$8="Wilks"),AB16/2.2046,AB16))</f>
        <v>277.05037500000003</v>
      </c>
      <c r="AD16" s="118">
        <f>IF(OR(AB16=0,D16="",D16&lt;40),0,VLOOKUP($D16,DATA!$A$2:$B$53,2,TRUE)*AC16)</f>
        <v>446.0511037500001</v>
      </c>
      <c r="AE16" s="178">
        <f ca="1">IF(E16="","",OFFSET(Setup!$Q$1,MATCH(E16,Setup!O:O,0)-1,0))</f>
        <v>1</v>
      </c>
      <c r="AF16" s="116" t="str">
        <f ca="1">IF(OR(AB16=0,AR16=0),0,CONCATENATE(AV16,"-",E16,IF(AE16=1,"-",""),IF(AE16=1,IF(G16="SHW",G16,ROUND(G16,1)),"")))</f>
        <v>1-M_MES_6_APF-100</v>
      </c>
      <c r="AG16" s="39">
        <f ca="1">IF(OR(AB16=0),0,VLOOKUP(AV16,Setup!$S$6:$T$15,2,TRUE))</f>
        <v>3</v>
      </c>
      <c r="AH16" s="119"/>
      <c r="AI16" s="114" t="s">
        <v>653</v>
      </c>
      <c r="AJ16" s="106">
        <f>IF(ISERROR(FIND($AJ$7,AI16)),0,1)</f>
        <v>1</v>
      </c>
      <c r="AK16" s="39">
        <f>IF(B16="","",VLOOKUP(B16,$BP$1:$BQ$8,2,FALSE))</f>
        <v>0</v>
      </c>
      <c r="AL16" s="26">
        <f>ROUND(IF($F$8="BWt (Kg)",F16,F16/2.2046),1)</f>
        <v>98</v>
      </c>
      <c r="AM16" s="26">
        <f>IF(OR(O16=0,U16=0,AA16=0),0,O16+U16+AA16)</f>
        <v>472.5</v>
      </c>
      <c r="AN16" s="26">
        <f>IF(OR(U16=0,AA16=0),0,U16+AA16)</f>
        <v>275</v>
      </c>
      <c r="AO16" s="38" t="str">
        <f>IF(E16="","",LEFT(E16,1))</f>
        <v>M</v>
      </c>
      <c r="AP16" s="38"/>
      <c r="AQ16" s="28">
        <f>IF(OR(ISERROR(E16),F16="",ISERROR(G16),AB16=0),0,1)</f>
        <v>1</v>
      </c>
      <c r="AR16" s="198">
        <f ca="1">IF(OR(ISERROR(AY16),ISERROR(AX16)),0,AY16)</f>
        <v>9508008005</v>
      </c>
      <c r="AS16" s="38">
        <f ca="1">RANK(AR16,INDIRECT($AS$7))</f>
        <v>5</v>
      </c>
      <c r="AT16" s="158">
        <f ca="1">INT(AR16/1000000)</f>
        <v>9508</v>
      </c>
      <c r="AU16" s="97">
        <f ca="1">RANK(AT16,INDIRECT($AU$7))</f>
        <v>5</v>
      </c>
      <c r="AV16" s="179">
        <f ca="1">AS16-AU16+1</f>
        <v>1</v>
      </c>
      <c r="AW16" s="162">
        <f>F16</f>
        <v>98</v>
      </c>
      <c r="AX16" s="26">
        <f>RANK(AW16,AW:AW)</f>
        <v>5</v>
      </c>
      <c r="AY16" s="198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9508008005</v>
      </c>
      <c r="AZ16" s="39"/>
      <c r="BA16" s="39"/>
      <c r="BB16" s="39"/>
      <c r="BC16" s="39"/>
      <c r="BD16" s="39"/>
      <c r="BE16" s="39"/>
      <c r="BF16" s="39"/>
      <c r="BG16" s="39"/>
      <c r="BH16" s="84"/>
      <c r="BI16" s="84"/>
      <c r="BJ16" s="84"/>
      <c r="BK16" s="84"/>
      <c r="BL16" s="84"/>
      <c r="BM16" s="84"/>
      <c r="BN16" s="30"/>
      <c r="CJ16" s="28">
        <v>0</v>
      </c>
      <c r="CK16" s="28">
        <v>1</v>
      </c>
      <c r="CL16" s="28">
        <v>1</v>
      </c>
      <c r="CM16" s="28">
        <v>0</v>
      </c>
      <c r="CN16" s="28">
        <v>0</v>
      </c>
      <c r="CO16" s="28">
        <v>0</v>
      </c>
      <c r="CP16" s="28">
        <v>0</v>
      </c>
      <c r="CQ16" s="28">
        <v>1</v>
      </c>
      <c r="CR16" s="28">
        <v>1</v>
      </c>
      <c r="CS16" s="28">
        <v>0</v>
      </c>
      <c r="CT16" s="28">
        <v>0</v>
      </c>
      <c r="CU16" s="28">
        <v>0</v>
      </c>
      <c r="CV16" s="28">
        <v>0</v>
      </c>
      <c r="CW16" s="28">
        <v>-1</v>
      </c>
      <c r="CX16" s="28">
        <v>1</v>
      </c>
      <c r="CY16" s="28">
        <v>0</v>
      </c>
      <c r="CZ16" s="28">
        <v>0</v>
      </c>
    </row>
    <row r="17" spans="1:104" s="28" customFormat="1" x14ac:dyDescent="0.25">
      <c r="A17" s="33">
        <f>IF(L17,ABS(L17+0.0001*I17),"")</f>
        <v>205</v>
      </c>
      <c r="B17" s="17" t="s">
        <v>32</v>
      </c>
      <c r="C17" s="200" t="s">
        <v>661</v>
      </c>
      <c r="D17" s="17">
        <v>49</v>
      </c>
      <c r="E17" s="17" t="s">
        <v>425</v>
      </c>
      <c r="F17" s="17">
        <v>109.8</v>
      </c>
      <c r="G17" s="39">
        <f>IF(OR(E17="",F17=""),"",IF(LEFT(E17,1)="M",VLOOKUP(F17,Setup!$J$9:$K$23,2,TRUE),VLOOKUP(F17,Setup!$L$9:$M$23,2,TRUE)))</f>
        <v>110</v>
      </c>
      <c r="H17" s="39">
        <f>IF(F17="",0,VLOOKUP(AL17,DATA!$L$2:$N$1910,IF(LEFT(E17,1)="F",3,2)))</f>
        <v>0.56274999999999997</v>
      </c>
      <c r="I17" s="17"/>
      <c r="J17" s="17"/>
      <c r="K17" s="402">
        <v>192.5</v>
      </c>
      <c r="L17" s="402">
        <v>205</v>
      </c>
      <c r="M17" s="115">
        <v>-210</v>
      </c>
      <c r="N17" s="115"/>
      <c r="O17" s="116">
        <f>IF(MAX(CK17:CM17)&gt;0,MAX(ABS(K17)*CK17,ABS(L17)*CL17,CM17*ABS(M17)),0)</f>
        <v>205</v>
      </c>
      <c r="P17" s="205"/>
      <c r="Q17" s="402">
        <v>102.5</v>
      </c>
      <c r="R17" s="402">
        <v>115</v>
      </c>
      <c r="S17" s="402">
        <v>120</v>
      </c>
      <c r="T17" s="115"/>
      <c r="U17" s="116">
        <f>IF(MAX(CQ17:CS17)&gt;0,MAX(ABS(Q17)*CQ17,ABS(R17)*CR17,CS17*ABS(S17)),0)</f>
        <v>120</v>
      </c>
      <c r="V17" s="117">
        <f>IF(OR(O17=0,U17=0),0,O17+U17)</f>
        <v>325</v>
      </c>
      <c r="W17" s="402">
        <v>192.5</v>
      </c>
      <c r="X17" s="402">
        <v>205</v>
      </c>
      <c r="Y17" s="115">
        <v>-210</v>
      </c>
      <c r="Z17" s="115"/>
      <c r="AA17" s="116">
        <f>IF(MAX(CW17:CY17)&gt;0,MAX(ABS(W17)*CW17,ABS(X17)*CX17,CY17*ABS(Y17)),0)</f>
        <v>205</v>
      </c>
      <c r="AB17" s="117">
        <f>AJ17*IF($AB$8="PL Total",AM17,IF($AB$8="Push Pull Total",AN17,IF($AB$8="Best Squat",O17,IF($AB$8="Best Bench",U17,AA17))))</f>
        <v>530</v>
      </c>
      <c r="AC17" s="118">
        <f>IF(OR(F17="",AB17=0),0,H17*IF(AND($G$3="Lb",$H$8="Wilks"),AB17/2.2046,AB17))</f>
        <v>298.25749999999999</v>
      </c>
      <c r="AD17" s="118">
        <f>IF(OR(AB17=0,D17="",D17&lt;40),0,VLOOKUP($D17,DATA!$A$2:$B$53,2,TRUE)*AC17)</f>
        <v>331.96059750000001</v>
      </c>
      <c r="AE17" s="178">
        <f ca="1">IF(E17="","",OFFSET(Setup!$Q$1,MATCH(E17,Setup!O:O,0)-1,0))</f>
        <v>1</v>
      </c>
      <c r="AF17" s="116" t="str">
        <f ca="1">IF(OR(AB17=0,AR17=0),0,CONCATENATE(AV17,"-",E17,IF(AE17=1,"-",""),IF(AE17=1,IF(G17="SHW",G17,ROUND(G17,1)),"")))</f>
        <v>1-M_MCR_2_APF-110</v>
      </c>
      <c r="AG17" s="39">
        <f ca="1">IF(OR(AB17=0),0,VLOOKUP(AV17,Setup!$S$6:$T$15,2,TRUE))</f>
        <v>3</v>
      </c>
      <c r="AH17" s="119"/>
      <c r="AI17" s="114" t="s">
        <v>653</v>
      </c>
      <c r="AJ17" s="106">
        <f>IF(ISERROR(FIND($AJ$7,AI17)),0,1)</f>
        <v>1</v>
      </c>
      <c r="AK17" s="39">
        <f>IF(B17="","",VLOOKUP(B17,$BP$1:$BQ$8,2,FALSE))</f>
        <v>0</v>
      </c>
      <c r="AL17" s="26">
        <f>ROUND(IF($F$8="BWt (Kg)",F17,F17/2.2046),1)</f>
        <v>109.8</v>
      </c>
      <c r="AM17" s="26">
        <f>IF(OR(O17=0,U17=0,AA17=0),0,O17+U17+AA17)</f>
        <v>530</v>
      </c>
      <c r="AN17" s="26">
        <f>IF(OR(U17=0,AA17=0),0,U17+AA17)</f>
        <v>325</v>
      </c>
      <c r="AO17" s="38" t="str">
        <f>IF(E17="","",LEFT(E17,1))</f>
        <v>M</v>
      </c>
      <c r="AP17" s="38"/>
      <c r="AQ17" s="28">
        <f>IF(OR(ISERROR(E17),F17="",ISERROR(G17),AB17=0),0,1)</f>
        <v>1</v>
      </c>
      <c r="AR17" s="198">
        <f ca="1">IF(OR(ISERROR(AY17),ISERROR(AX17)),0,AY17)</f>
        <v>5907010003</v>
      </c>
      <c r="AS17" s="38">
        <f ca="1">RANK(AR17,INDIRECT($AS$7))</f>
        <v>7</v>
      </c>
      <c r="AT17" s="158">
        <f ca="1">INT(AR17/1000000)</f>
        <v>5907</v>
      </c>
      <c r="AU17" s="97">
        <f ca="1">RANK(AT17,INDIRECT($AU$7))</f>
        <v>7</v>
      </c>
      <c r="AV17" s="179">
        <f ca="1">AS17-AU17+1</f>
        <v>1</v>
      </c>
      <c r="AW17" s="162">
        <f>F17</f>
        <v>109.8</v>
      </c>
      <c r="AX17" s="26">
        <f>RANK(AW17,AW:AW)</f>
        <v>3</v>
      </c>
      <c r="AY17" s="198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5907010003</v>
      </c>
      <c r="AZ17" s="39"/>
      <c r="BA17" s="39"/>
      <c r="BB17" s="39"/>
      <c r="BC17" s="39"/>
      <c r="BD17" s="39"/>
      <c r="BE17" s="39"/>
      <c r="BF17" s="39"/>
      <c r="BG17" s="39"/>
      <c r="BH17" s="84"/>
      <c r="BI17" s="84"/>
      <c r="BJ17" s="84"/>
      <c r="BK17" s="84"/>
      <c r="BL17" s="84"/>
      <c r="BM17" s="84"/>
      <c r="BN17" s="30"/>
      <c r="CJ17" s="28">
        <v>0</v>
      </c>
      <c r="CK17" s="28">
        <v>1</v>
      </c>
      <c r="CL17" s="28">
        <v>1</v>
      </c>
      <c r="CM17" s="28">
        <v>-1</v>
      </c>
      <c r="CN17" s="28">
        <v>0</v>
      </c>
      <c r="CO17" s="28">
        <v>0</v>
      </c>
      <c r="CP17" s="28">
        <v>0</v>
      </c>
      <c r="CQ17" s="28">
        <v>1</v>
      </c>
      <c r="CR17" s="28">
        <v>1</v>
      </c>
      <c r="CS17" s="28">
        <v>1</v>
      </c>
      <c r="CT17" s="28">
        <v>0</v>
      </c>
      <c r="CU17" s="28">
        <v>0</v>
      </c>
      <c r="CV17" s="28">
        <v>0</v>
      </c>
      <c r="CW17" s="28">
        <v>1</v>
      </c>
      <c r="CX17" s="28">
        <v>1</v>
      </c>
      <c r="CY17" s="28">
        <v>-1</v>
      </c>
      <c r="CZ17" s="28">
        <v>0</v>
      </c>
    </row>
    <row r="18" spans="1:104" s="28" customFormat="1" x14ac:dyDescent="0.25">
      <c r="A18" s="33">
        <f>IF(L18,ABS(L18+0.0001*I18),"")</f>
        <v>250</v>
      </c>
      <c r="B18" s="17" t="s">
        <v>32</v>
      </c>
      <c r="C18" s="200" t="s">
        <v>654</v>
      </c>
      <c r="D18" s="17">
        <v>46</v>
      </c>
      <c r="E18" s="17" t="s">
        <v>355</v>
      </c>
      <c r="F18" s="17">
        <v>107.9</v>
      </c>
      <c r="G18" s="39">
        <f>IF(OR(E18="",F18=""),"",IF(LEFT(E18,1)="M",VLOOKUP(F18,Setup!$J$9:$K$23,2,TRUE),VLOOKUP(F18,Setup!$L$9:$M$23,2,TRUE)))</f>
        <v>110</v>
      </c>
      <c r="H18" s="39">
        <f>IF(F18="",0,VLOOKUP(AL18,DATA!$L$2:$N$1910,IF(LEFT(E18,1)="F",3,2)))</f>
        <v>0.56640000000000001</v>
      </c>
      <c r="I18" s="17"/>
      <c r="J18" s="17"/>
      <c r="K18" s="402">
        <v>227.5</v>
      </c>
      <c r="L18" s="402">
        <v>250</v>
      </c>
      <c r="M18" s="115">
        <v>-275</v>
      </c>
      <c r="N18" s="115"/>
      <c r="O18" s="116">
        <f>IF(MAX(CK18:CM18)&gt;0,MAX(ABS(K18)*CK18,ABS(L18)*CL18,CM18*ABS(M18)),0)</f>
        <v>250</v>
      </c>
      <c r="P18" s="205"/>
      <c r="Q18" s="402">
        <v>157.5</v>
      </c>
      <c r="R18" s="402">
        <v>167.5</v>
      </c>
      <c r="S18" s="402">
        <v>172.5</v>
      </c>
      <c r="T18" s="115"/>
      <c r="U18" s="116">
        <f>IF(MAX(CQ18:CS18)&gt;0,MAX(ABS(Q18)*CQ18,ABS(R18)*CR18,CS18*ABS(S18)),0)</f>
        <v>172.5</v>
      </c>
      <c r="V18" s="117">
        <f>IF(OR(O18=0,U18=0),0,O18+U18)</f>
        <v>422.5</v>
      </c>
      <c r="W18" s="402">
        <v>227.5</v>
      </c>
      <c r="X18" s="402">
        <v>237.5</v>
      </c>
      <c r="Y18" s="115">
        <v>0</v>
      </c>
      <c r="Z18" s="115"/>
      <c r="AA18" s="116">
        <f>IF(MAX(CW18:CY18)&gt;0,MAX(ABS(W18)*CW18,ABS(X18)*CX18,CY18*ABS(Y18)),0)</f>
        <v>237.5</v>
      </c>
      <c r="AB18" s="117">
        <f>AJ18*IF($AB$8="PL Total",AM18,IF($AB$8="Push Pull Total",AN18,IF($AB$8="Best Squat",O18,IF($AB$8="Best Bench",U18,AA18))))</f>
        <v>660</v>
      </c>
      <c r="AC18" s="118">
        <f>IF(OR(F18="",AB18=0),0,H18*IF(AND($G$3="Lb",$H$8="Wilks"),AB18/2.2046,AB18))</f>
        <v>373.82400000000001</v>
      </c>
      <c r="AD18" s="118">
        <f>IF(OR(AB18=0,D18="",D18&lt;40),0,VLOOKUP($D18,DATA!$A$2:$B$53,2,TRUE)*AC18)</f>
        <v>399.24403200000006</v>
      </c>
      <c r="AE18" s="178">
        <f ca="1">IF(E18="","",OFFSET(Setup!$Q$1,MATCH(E18,Setup!O:O,0)-1,0))</f>
        <v>1</v>
      </c>
      <c r="AF18" s="116" t="str">
        <f ca="1">IF(OR(AB18=0,AR18=0),0,CONCATENATE(AV18,"-",E18,IF(AE18=1,"-",""),IF(AE18=1,IF(G18="SHW",G18,ROUND(G18,1)),"")))</f>
        <v>1-M_OCR_APF-110</v>
      </c>
      <c r="AG18" s="39">
        <f ca="1">IF(OR(AB18=0),0,VLOOKUP(AV18,Setup!$S$6:$T$15,2,TRUE))</f>
        <v>3</v>
      </c>
      <c r="AH18" s="119"/>
      <c r="AI18" s="114" t="s">
        <v>653</v>
      </c>
      <c r="AJ18" s="106">
        <f>IF(ISERROR(FIND($AJ$7,AI18)),0,1)</f>
        <v>1</v>
      </c>
      <c r="AK18" s="39">
        <f>IF(B18="","",VLOOKUP(B18,$BP$1:$BQ$8,2,FALSE))</f>
        <v>0</v>
      </c>
      <c r="AL18" s="26">
        <f>ROUND(IF($F$8="BWt (Kg)",F18,F18/2.2046),1)</f>
        <v>107.9</v>
      </c>
      <c r="AM18" s="26">
        <f>IF(OR(O18=0,U18=0,AA18=0),0,O18+U18+AA18)</f>
        <v>660</v>
      </c>
      <c r="AN18" s="26">
        <f>IF(OR(U18=0,AA18=0),0,U18+AA18)</f>
        <v>410</v>
      </c>
      <c r="AO18" s="38" t="str">
        <f>IF(E18="","",LEFT(E18,1))</f>
        <v>M</v>
      </c>
      <c r="AP18" s="38"/>
      <c r="AQ18" s="28">
        <f>IF(OR(ISERROR(E18),F18="",ISERROR(G18),AB18=0),0,1)</f>
        <v>1</v>
      </c>
      <c r="AR18" s="198">
        <f ca="1">IF(OR(ISERROR(AY18),ISERROR(AX18)),0,AY18)</f>
        <v>307012004</v>
      </c>
      <c r="AS18" s="38">
        <f ca="1">RANK(AR18,INDIRECT($AS$7))</f>
        <v>11</v>
      </c>
      <c r="AT18" s="158">
        <f ca="1">INT(AR18/1000000)</f>
        <v>307</v>
      </c>
      <c r="AU18" s="97">
        <f ca="1">RANK(AT18,INDIRECT($AU$7))</f>
        <v>11</v>
      </c>
      <c r="AV18" s="179">
        <f ca="1">AS18-AU18+1</f>
        <v>1</v>
      </c>
      <c r="AW18" s="162">
        <f>F18</f>
        <v>107.9</v>
      </c>
      <c r="AX18" s="26">
        <f>RANK(AW18,AW:AW)</f>
        <v>4</v>
      </c>
      <c r="AY18" s="198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307012004</v>
      </c>
      <c r="AZ18" s="39"/>
      <c r="BA18" s="39"/>
      <c r="BB18" s="39"/>
      <c r="BC18" s="39"/>
      <c r="BD18" s="39"/>
      <c r="BE18" s="39"/>
      <c r="BF18" s="39"/>
      <c r="BG18" s="39"/>
      <c r="BH18" s="84"/>
      <c r="BI18" s="84"/>
      <c r="BJ18" s="84"/>
      <c r="BK18" s="84"/>
      <c r="BL18" s="84"/>
      <c r="BM18" s="84"/>
      <c r="BN18" s="30"/>
      <c r="CJ18" s="28">
        <v>0</v>
      </c>
      <c r="CK18" s="28">
        <v>1</v>
      </c>
      <c r="CL18" s="28">
        <v>1</v>
      </c>
      <c r="CM18" s="28">
        <v>-1</v>
      </c>
      <c r="CN18" s="28">
        <v>0</v>
      </c>
      <c r="CO18" s="28">
        <v>0</v>
      </c>
      <c r="CP18" s="28">
        <v>0</v>
      </c>
      <c r="CQ18" s="28">
        <v>1</v>
      </c>
      <c r="CR18" s="28">
        <v>1</v>
      </c>
      <c r="CS18" s="28">
        <v>1</v>
      </c>
      <c r="CT18" s="28">
        <v>0</v>
      </c>
      <c r="CU18" s="28">
        <v>0</v>
      </c>
      <c r="CV18" s="28">
        <v>0</v>
      </c>
      <c r="CW18" s="28">
        <v>1</v>
      </c>
      <c r="CX18" s="28">
        <v>1</v>
      </c>
      <c r="CY18" s="28">
        <v>0</v>
      </c>
      <c r="CZ18" s="28">
        <v>0</v>
      </c>
    </row>
    <row r="19" spans="1:104" s="28" customFormat="1" x14ac:dyDescent="0.25">
      <c r="A19" s="33">
        <f>IF(L19,ABS(L19+0.0001*I19),"")</f>
        <v>295</v>
      </c>
      <c r="B19" s="17" t="s">
        <v>32</v>
      </c>
      <c r="C19" s="200" t="s">
        <v>665</v>
      </c>
      <c r="D19" s="17">
        <v>55</v>
      </c>
      <c r="E19" s="17" t="s">
        <v>228</v>
      </c>
      <c r="F19" s="17">
        <v>97.6</v>
      </c>
      <c r="G19" s="39">
        <f>IF(OR(E19="",F19=""),"",IF(LEFT(E19,1)="M",VLOOKUP(F19,Setup!$J$9:$K$23,2,TRUE),VLOOKUP(F19,Setup!$L$9:$M$23,2,TRUE)))</f>
        <v>100</v>
      </c>
      <c r="H19" s="39">
        <f>IF(F19="",0,VLOOKUP(AL19,DATA!$L$2:$N$1910,IF(LEFT(E19,1)="F",3,2)))</f>
        <v>0.58745000000000003</v>
      </c>
      <c r="I19" s="17"/>
      <c r="J19" s="17"/>
      <c r="K19" s="402">
        <v>275</v>
      </c>
      <c r="L19" s="402">
        <v>295</v>
      </c>
      <c r="M19" s="402">
        <v>305</v>
      </c>
      <c r="N19" s="115"/>
      <c r="O19" s="116">
        <f>IF(MAX(CK19:CM19)&gt;0,MAX(ABS(K19)*CK19,ABS(L19)*CL19,CM19*ABS(M19)),0)</f>
        <v>305</v>
      </c>
      <c r="P19" s="205"/>
      <c r="Q19" s="402">
        <v>170</v>
      </c>
      <c r="R19" s="402">
        <v>192.5</v>
      </c>
      <c r="S19" s="403">
        <v>-205</v>
      </c>
      <c r="T19" s="115"/>
      <c r="U19" s="116">
        <f>IF(MAX(CQ19:CS19)&gt;0,MAX(ABS(Q19)*CQ19,ABS(R19)*CR19,CS19*ABS(S19)),0)</f>
        <v>192.5</v>
      </c>
      <c r="V19" s="117">
        <f>IF(OR(O19=0,U19=0),0,O19+U19)</f>
        <v>497.5</v>
      </c>
      <c r="W19" s="402">
        <v>227.5</v>
      </c>
      <c r="X19" s="402">
        <v>250</v>
      </c>
      <c r="Y19" s="402">
        <v>260</v>
      </c>
      <c r="Z19" s="115"/>
      <c r="AA19" s="116">
        <f>IF(MAX(CW19:CY19)&gt;0,MAX(ABS(W19)*CW19,ABS(X19)*CX19,CY19*ABS(Y19)),0)</f>
        <v>260</v>
      </c>
      <c r="AB19" s="117">
        <f>AJ19*IF($AB$8="PL Total",AM19,IF($AB$8="Push Pull Total",AN19,IF($AB$8="Best Squat",O19,IF($AB$8="Best Bench",U19,AA19))))</f>
        <v>757.5</v>
      </c>
      <c r="AC19" s="118">
        <f>IF(OR(F19="",AB19=0),0,H19*IF(AND($G$3="Lb",$H$8="Wilks"),AB19/2.2046,AB19))</f>
        <v>444.99337500000001</v>
      </c>
      <c r="AD19" s="118">
        <f>IF(OR(AB19=0,D19="",D19&lt;40),0,VLOOKUP($D19,DATA!$A$2:$B$53,2,TRUE)*AC19)</f>
        <v>545.11688437500004</v>
      </c>
      <c r="AE19" s="178">
        <f ca="1">IF(E19="","",OFFSET(Setup!$Q$1,MATCH(E19,Setup!O:O,0)-1,0))</f>
        <v>1</v>
      </c>
      <c r="AF19" s="116" t="str">
        <f ca="1">IF(OR(AB19=0,AR19=0),0,CONCATENATE(AV19,"-",E19,IF(AE19=1,"-",""),IF(AE19=1,IF(G19="SHW",G19,ROUND(G19,1)),"")))</f>
        <v>1-M_MES_4_APF-100</v>
      </c>
      <c r="AG19" s="39">
        <f ca="1">IF(OR(AB19=0),0,VLOOKUP(AV19,Setup!$S$6:$T$15,2,TRUE))</f>
        <v>3</v>
      </c>
      <c r="AH19" s="119"/>
      <c r="AI19" s="114" t="s">
        <v>653</v>
      </c>
      <c r="AJ19" s="106">
        <f>IF(ISERROR(FIND($AJ$7,AI19)),0,1)</f>
        <v>1</v>
      </c>
      <c r="AK19" s="39">
        <f>IF(B19="","",VLOOKUP(B19,$BP$1:$BQ$8,2,FALSE))</f>
        <v>0</v>
      </c>
      <c r="AL19" s="26">
        <f>ROUND(IF($F$8="BWt (Kg)",F19,F19/2.2046),1)</f>
        <v>97.6</v>
      </c>
      <c r="AM19" s="26">
        <f>IF(OR(O19=0,U19=0,AA19=0),0,O19+U19+AA19)</f>
        <v>757.5</v>
      </c>
      <c r="AN19" s="26">
        <f>IF(OR(U19=0,AA19=0),0,U19+AA19)</f>
        <v>452.5</v>
      </c>
      <c r="AO19" s="38" t="str">
        <f>IF(E19="","",LEFT(E19,1))</f>
        <v>M</v>
      </c>
      <c r="AP19" s="38"/>
      <c r="AQ19" s="28">
        <f>IF(OR(ISERROR(E19),F19="",ISERROR(G19),AB19=0),0,1)</f>
        <v>1</v>
      </c>
      <c r="AR19" s="198">
        <f ca="1">IF(OR(ISERROR(AY19),ISERROR(AX19)),0,AY19)</f>
        <v>7908013006</v>
      </c>
      <c r="AS19" s="38">
        <f ca="1">RANK(AR19,INDIRECT($AS$7))</f>
        <v>6</v>
      </c>
      <c r="AT19" s="158">
        <f ca="1">INT(AR19/1000000)</f>
        <v>7908</v>
      </c>
      <c r="AU19" s="97">
        <f ca="1">RANK(AT19,INDIRECT($AU$7))</f>
        <v>6</v>
      </c>
      <c r="AV19" s="179">
        <f ca="1">AS19-AU19+1</f>
        <v>1</v>
      </c>
      <c r="AW19" s="162">
        <f>F19</f>
        <v>97.6</v>
      </c>
      <c r="AX19" s="26">
        <f>RANK(AW19,AW:AW)</f>
        <v>6</v>
      </c>
      <c r="AY19" s="198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7908013006</v>
      </c>
      <c r="AZ19" s="39"/>
      <c r="BA19" s="39"/>
      <c r="BB19" s="39"/>
      <c r="BC19" s="39"/>
      <c r="BD19" s="39"/>
      <c r="BE19" s="39"/>
      <c r="BF19" s="39"/>
      <c r="BG19" s="39"/>
      <c r="BH19" s="84"/>
      <c r="BI19" s="84"/>
      <c r="BJ19" s="84"/>
      <c r="BK19" s="84"/>
      <c r="BL19" s="84"/>
      <c r="BM19" s="84"/>
      <c r="BN19" s="30"/>
      <c r="CJ19" s="28">
        <v>0</v>
      </c>
      <c r="CK19" s="28">
        <v>1</v>
      </c>
      <c r="CL19" s="28">
        <v>1</v>
      </c>
      <c r="CM19" s="28">
        <v>1</v>
      </c>
      <c r="CN19" s="28">
        <v>0</v>
      </c>
      <c r="CO19" s="28">
        <v>0</v>
      </c>
      <c r="CP19" s="28">
        <v>0</v>
      </c>
      <c r="CQ19" s="28">
        <v>1</v>
      </c>
      <c r="CR19" s="28">
        <v>1</v>
      </c>
      <c r="CS19" s="28">
        <v>-1</v>
      </c>
      <c r="CT19" s="28">
        <v>0</v>
      </c>
      <c r="CU19" s="28">
        <v>0</v>
      </c>
      <c r="CV19" s="28">
        <v>0</v>
      </c>
      <c r="CW19" s="28">
        <v>1</v>
      </c>
      <c r="CX19" s="28">
        <v>1</v>
      </c>
      <c r="CY19" s="28">
        <v>1</v>
      </c>
      <c r="CZ19" s="28">
        <v>0</v>
      </c>
    </row>
    <row r="20" spans="1:104" s="28" customFormat="1" x14ac:dyDescent="0.25">
      <c r="A20" s="33">
        <f>IF(L20,ABS(L20+0.0001*I20),"")</f>
        <v>330</v>
      </c>
      <c r="B20" s="17" t="s">
        <v>32</v>
      </c>
      <c r="C20" s="200" t="s">
        <v>656</v>
      </c>
      <c r="D20" s="17">
        <v>25</v>
      </c>
      <c r="E20" s="17" t="s">
        <v>355</v>
      </c>
      <c r="F20" s="17">
        <v>155.4</v>
      </c>
      <c r="G20" s="39" t="str">
        <f>IF(OR(E20="",F20=""),"",IF(LEFT(E20,1)="M",VLOOKUP(F20,Setup!$J$9:$K$23,2,TRUE),VLOOKUP(F20,Setup!$L$9:$M$23,2,TRUE)))</f>
        <v>SHW</v>
      </c>
      <c r="H20" s="39">
        <f>IF(F20="",0,VLOOKUP(AL20,DATA!$L$2:$N$1910,IF(LEFT(E20,1)="F",3,2)))</f>
        <v>0.51900000000000002</v>
      </c>
      <c r="I20" s="17"/>
      <c r="J20" s="17"/>
      <c r="K20" s="402">
        <v>305</v>
      </c>
      <c r="L20" s="402">
        <v>330</v>
      </c>
      <c r="M20" s="115">
        <v>-340</v>
      </c>
      <c r="N20" s="115"/>
      <c r="O20" s="116">
        <f>IF(MAX(CK20:CM20)&gt;0,MAX(ABS(K20)*CK20,ABS(L20)*CL20,CM20*ABS(M20)),0)</f>
        <v>330</v>
      </c>
      <c r="P20" s="205"/>
      <c r="Q20" s="402">
        <v>182.5</v>
      </c>
      <c r="R20" s="402">
        <v>192.5</v>
      </c>
      <c r="S20" s="402">
        <v>200</v>
      </c>
      <c r="T20" s="115"/>
      <c r="U20" s="116">
        <f>IF(MAX(CQ20:CS20)&gt;0,MAX(ABS(Q20)*CQ20,ABS(R20)*CR20,CS20*ABS(S20)),0)</f>
        <v>200</v>
      </c>
      <c r="V20" s="117">
        <f>IF(OR(O20=0,U20=0),0,O20+U20)</f>
        <v>530</v>
      </c>
      <c r="W20" s="402">
        <v>265</v>
      </c>
      <c r="X20" s="115">
        <v>0</v>
      </c>
      <c r="Y20" s="115">
        <v>0</v>
      </c>
      <c r="Z20" s="115"/>
      <c r="AA20" s="116">
        <f>IF(MAX(CW20:CY20)&gt;0,MAX(ABS(W20)*CW20,ABS(X20)*CX20,CY20*ABS(Y20)),0)</f>
        <v>265</v>
      </c>
      <c r="AB20" s="117">
        <f>AJ20*IF($AB$8="PL Total",AM20,IF($AB$8="Push Pull Total",AN20,IF($AB$8="Best Squat",O20,IF($AB$8="Best Bench",U20,AA20))))</f>
        <v>795</v>
      </c>
      <c r="AC20" s="118">
        <f>IF(OR(F20="",AB20=0),0,H20*IF(AND($G$3="Lb",$H$8="Wilks"),AB20/2.2046,AB20))</f>
        <v>412.60500000000002</v>
      </c>
      <c r="AD20" s="118">
        <f>IF(OR(AB20=0,D20="",D20&lt;40),0,VLOOKUP($D20,DATA!$A$2:$B$53,2,TRUE)*AC20)</f>
        <v>0</v>
      </c>
      <c r="AE20" s="178">
        <f ca="1">IF(E20="","",OFFSET(Setup!$Q$1,MATCH(E20,Setup!O:O,0)-1,0))</f>
        <v>1</v>
      </c>
      <c r="AF20" s="116" t="str">
        <f ca="1">IF(OR(AB20=0,AR20=0),0,CONCATENATE(AV20,"-",E20,IF(AE20=1,"-",""),IF(AE20=1,IF(G20="SHW",G20,ROUND(G20,1)),"")))</f>
        <v>1-M_OCR_APF-SHW</v>
      </c>
      <c r="AG20" s="39">
        <f ca="1">IF(OR(AB20=0),0,VLOOKUP(AV20,Setup!$S$6:$T$15,2,TRUE))</f>
        <v>3</v>
      </c>
      <c r="AH20" s="119"/>
      <c r="AI20" s="114" t="s">
        <v>653</v>
      </c>
      <c r="AJ20" s="106">
        <f>IF(ISERROR(FIND($AJ$7,AI20)),0,1)</f>
        <v>1</v>
      </c>
      <c r="AK20" s="39">
        <f>IF(B20="","",VLOOKUP(B20,$BP$1:$BQ$8,2,FALSE))</f>
        <v>0</v>
      </c>
      <c r="AL20" s="26">
        <f>ROUND(IF($F$8="BWt (Kg)",F20,F20/2.2046),1)</f>
        <v>155.4</v>
      </c>
      <c r="AM20" s="26">
        <f>IF(OR(O20=0,U20=0,AA20=0),0,O20+U20+AA20)</f>
        <v>795</v>
      </c>
      <c r="AN20" s="26">
        <f>IF(OR(U20=0,AA20=0),0,U20+AA20)</f>
        <v>465</v>
      </c>
      <c r="AO20" s="38" t="str">
        <f>IF(E20="","",LEFT(E20,1))</f>
        <v>M</v>
      </c>
      <c r="AP20" s="38"/>
      <c r="AQ20" s="28">
        <f>IF(OR(ISERROR(E20),F20="",ISERROR(G20),AB20=0),0,1)</f>
        <v>1</v>
      </c>
      <c r="AR20" s="198">
        <f ca="1">IF(OR(ISERROR(AY20),ISERROR(AX20)),0,AY20)</f>
        <v>304014001</v>
      </c>
      <c r="AS20" s="38">
        <f ca="1">RANK(AR20,INDIRECT($AS$7))</f>
        <v>12</v>
      </c>
      <c r="AT20" s="158">
        <f ca="1">INT(AR20/1000000)</f>
        <v>304</v>
      </c>
      <c r="AU20" s="97">
        <f ca="1">RANK(AT20,INDIRECT($AU$7))</f>
        <v>12</v>
      </c>
      <c r="AV20" s="179">
        <f ca="1">AS20-AU20+1</f>
        <v>1</v>
      </c>
      <c r="AW20" s="162">
        <f>F20</f>
        <v>155.4</v>
      </c>
      <c r="AX20" s="26">
        <f>RANK(AW20,AW:AW)</f>
        <v>1</v>
      </c>
      <c r="AY20" s="198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304014001</v>
      </c>
      <c r="AZ20" s="39"/>
      <c r="BA20" s="39"/>
      <c r="BB20" s="39"/>
      <c r="BC20" s="39"/>
      <c r="BD20" s="39"/>
      <c r="BE20" s="39"/>
      <c r="BF20" s="39"/>
      <c r="BG20" s="39"/>
      <c r="BH20" s="84"/>
      <c r="BI20" s="84"/>
      <c r="BJ20" s="84"/>
      <c r="BK20" s="84"/>
      <c r="BL20" s="84"/>
      <c r="BM20" s="84"/>
      <c r="BN20" s="30"/>
      <c r="CJ20" s="28">
        <v>0</v>
      </c>
      <c r="CK20" s="28">
        <v>1</v>
      </c>
      <c r="CL20" s="28">
        <v>1</v>
      </c>
      <c r="CM20" s="28">
        <v>-1</v>
      </c>
      <c r="CN20" s="28">
        <v>0</v>
      </c>
      <c r="CO20" s="28">
        <v>0</v>
      </c>
      <c r="CP20" s="28">
        <v>0</v>
      </c>
      <c r="CQ20" s="28">
        <v>1</v>
      </c>
      <c r="CR20" s="28">
        <v>1</v>
      </c>
      <c r="CS20" s="28">
        <v>1</v>
      </c>
      <c r="CT20" s="28">
        <v>0</v>
      </c>
      <c r="CU20" s="28">
        <v>0</v>
      </c>
      <c r="CV20" s="28">
        <v>0</v>
      </c>
      <c r="CW20" s="28">
        <v>1</v>
      </c>
      <c r="CX20" s="28">
        <v>0</v>
      </c>
      <c r="CY20" s="28">
        <v>0</v>
      </c>
      <c r="CZ20" s="28">
        <v>0</v>
      </c>
    </row>
    <row r="21" spans="1:104" s="28" customFormat="1" x14ac:dyDescent="0.25">
      <c r="A21" s="33" t="str">
        <f>IF(L21,ABS(L21+0.0001*I21),"")</f>
        <v/>
      </c>
      <c r="B21" s="17" t="s">
        <v>32</v>
      </c>
      <c r="C21" s="200" t="s">
        <v>663</v>
      </c>
      <c r="D21" s="17">
        <v>48</v>
      </c>
      <c r="E21" s="17" t="s">
        <v>212</v>
      </c>
      <c r="F21" s="17">
        <v>119.8</v>
      </c>
      <c r="G21" s="39">
        <f>IF(OR(E21="",F21=""),"",IF(LEFT(E21,1)="M",VLOOKUP(F21,Setup!$J$9:$K$23,2,TRUE),VLOOKUP(F21,Setup!$L$9:$M$23,2,TRUE)))</f>
        <v>125</v>
      </c>
      <c r="H21" s="39">
        <f>IF(F21="",0,VLOOKUP(AL21,DATA!$L$2:$N$1910,IF(LEFT(E21,1)="F",3,2)))</f>
        <v>0.55115000000000003</v>
      </c>
      <c r="I21" s="17"/>
      <c r="J21" s="17"/>
      <c r="K21" s="115"/>
      <c r="L21" s="115">
        <v>0</v>
      </c>
      <c r="M21" s="115"/>
      <c r="N21" s="115"/>
      <c r="O21" s="116">
        <f>IF(MAX(CK21:CM21)&gt;0,MAX(ABS(K21)*CK21,ABS(L21)*CL21,CM21*ABS(M21)),0)</f>
        <v>0</v>
      </c>
      <c r="P21" s="205"/>
      <c r="Q21" s="402">
        <v>0</v>
      </c>
      <c r="R21" s="115"/>
      <c r="S21" s="115"/>
      <c r="T21" s="115"/>
      <c r="U21" s="116">
        <f>IF(MAX(CQ21:CS21)&gt;0,MAX(ABS(Q21)*CQ21,ABS(R21)*CR21,CS21*ABS(S21)),0)</f>
        <v>0</v>
      </c>
      <c r="V21" s="117">
        <f>IF(OR(O21=0,U21=0),0,O21+U21)</f>
        <v>0</v>
      </c>
      <c r="W21" s="402">
        <v>307.5</v>
      </c>
      <c r="X21" s="402">
        <v>325</v>
      </c>
      <c r="Y21" s="115">
        <v>-332.5</v>
      </c>
      <c r="Z21" s="115"/>
      <c r="AA21" s="116">
        <f>IF(MAX(CW21:CY21)&gt;0,MAX(ABS(W21)*CW21,ABS(X21)*CX21,CY21*ABS(Y21)),0)</f>
        <v>325</v>
      </c>
      <c r="AB21" s="117">
        <f>AJ21*IF($AB$8="PL Total",AM21,IF($AB$8="Push Pull Total",AN21,IF($AB$8="Best Squat",O21,IF($AB$8="Best Bench",U21,AA21))))</f>
        <v>0</v>
      </c>
      <c r="AC21" s="118">
        <f>IF(OR(F21="",AB21=0),0,H21*IF(AND($G$3="Lb",$H$8="Wilks"),AB21/2.2046,AB21))</f>
        <v>0</v>
      </c>
      <c r="AD21" s="118">
        <f>IF(OR(AB21=0,D21="",D21&lt;40),0,VLOOKUP($D21,DATA!$A$2:$B$53,2,TRUE)*AC21)</f>
        <v>0</v>
      </c>
      <c r="AE21" s="178">
        <f ca="1">IF(E21="","",OFFSET(Setup!$Q$1,MATCH(E21,Setup!O:O,0)-1,0))</f>
        <v>1</v>
      </c>
      <c r="AF21" s="116">
        <f ca="1">IF(OR(AB21=0,AR21=0),0,CONCATENATE(AV21,"-",E21,IF(AE21=1,"-",""),IF(AE21=1,IF(G21="SHW",G21,ROUND(G21,1)),"")))</f>
        <v>0</v>
      </c>
      <c r="AG21" s="39">
        <f>IF(OR(AB21=0),0,VLOOKUP(AV21,Setup!$S$6:$T$15,2,TRUE))</f>
        <v>0</v>
      </c>
      <c r="AH21" s="119"/>
      <c r="AI21" s="114" t="s">
        <v>351</v>
      </c>
      <c r="AJ21" s="106">
        <f>IF(ISERROR(FIND($AJ$7,AI21)),0,1)</f>
        <v>0</v>
      </c>
      <c r="AK21" s="39">
        <f>IF(B21="","",VLOOKUP(B21,$BP$1:$BQ$8,2,FALSE))</f>
        <v>0</v>
      </c>
      <c r="AL21" s="26">
        <f>ROUND(IF($F$8="BWt (Kg)",F21,F21/2.2046),1)</f>
        <v>119.8</v>
      </c>
      <c r="AM21" s="26">
        <f>IF(OR(O21=0,U21=0,AA21=0),0,O21+U21+AA21)</f>
        <v>0</v>
      </c>
      <c r="AN21" s="26">
        <f>IF(OR(U21=0,AA21=0),0,U21+AA21)</f>
        <v>0</v>
      </c>
      <c r="AO21" s="38" t="str">
        <f>IF(E21="","",LEFT(E21,1))</f>
        <v>M</v>
      </c>
      <c r="AP21" s="38"/>
      <c r="AQ21" s="28">
        <f>IF(OR(ISERROR(E21),F21="",ISERROR(G21),AB21=0),0,1)</f>
        <v>0</v>
      </c>
      <c r="AR21" s="198">
        <f ca="1">IF(OR(ISERROR(AY21),ISERROR(AX21)),0,AY21)</f>
        <v>5706000000</v>
      </c>
      <c r="AS21" s="38">
        <f ca="1">RANK(AR21,INDIRECT($AS$7))</f>
        <v>8</v>
      </c>
      <c r="AT21" s="158">
        <f ca="1">INT(AR21/1000000)</f>
        <v>5706</v>
      </c>
      <c r="AU21" s="97">
        <f ca="1">RANK(AT21,INDIRECT($AU$7))</f>
        <v>8</v>
      </c>
      <c r="AV21" s="179">
        <f ca="1">AS21-AU21+1</f>
        <v>1</v>
      </c>
      <c r="AW21" s="162">
        <f>F21</f>
        <v>119.8</v>
      </c>
      <c r="AX21" s="26">
        <f>RANK(AW21,AW:AW)</f>
        <v>2</v>
      </c>
      <c r="AY21" s="198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5706000000</v>
      </c>
      <c r="AZ21" s="39"/>
      <c r="BA21" s="39"/>
      <c r="BB21" s="39"/>
      <c r="BC21" s="39"/>
      <c r="BD21" s="39"/>
      <c r="BE21" s="39"/>
      <c r="BF21" s="39"/>
      <c r="BG21" s="39"/>
      <c r="BH21" s="84"/>
      <c r="BI21" s="84"/>
      <c r="BJ21" s="84"/>
      <c r="BK21" s="84"/>
      <c r="BL21" s="84"/>
      <c r="BM21" s="84"/>
      <c r="BN21" s="30"/>
      <c r="CJ21" s="28">
        <v>0</v>
      </c>
      <c r="CK21" s="28">
        <v>0</v>
      </c>
      <c r="CL21" s="28">
        <v>-1</v>
      </c>
      <c r="CM21" s="28">
        <v>0</v>
      </c>
      <c r="CN21" s="28">
        <v>0</v>
      </c>
      <c r="CO21" s="28">
        <v>0</v>
      </c>
      <c r="CP21" s="28">
        <v>0</v>
      </c>
      <c r="CQ21" s="28">
        <v>1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1</v>
      </c>
      <c r="CX21" s="28">
        <v>1</v>
      </c>
      <c r="CY21" s="28">
        <v>-1</v>
      </c>
      <c r="CZ21" s="28">
        <v>0</v>
      </c>
    </row>
    <row r="22" spans="1:104" s="28" customFormat="1" x14ac:dyDescent="0.25">
      <c r="A22" s="33" t="str">
        <f>IF(L22,ABS(L22+0.0001*I22),"")</f>
        <v/>
      </c>
      <c r="B22" s="17" t="s">
        <v>32</v>
      </c>
      <c r="C22" s="200"/>
      <c r="D22" s="17"/>
      <c r="E22" s="17"/>
      <c r="F22" s="17"/>
      <c r="G22" s="39" t="str">
        <f>IF(OR(E22="",F22=""),"",IF(LEFT(E22,1)="M",VLOOKUP(F22,Setup!$J$9:$K$23,2,TRUE),VLOOKUP(F22,Setup!$L$9:$M$23,2,TRUE)))</f>
        <v/>
      </c>
      <c r="H22" s="39">
        <f>IF(F22="",0,VLOOKUP(AL22,DATA!$L$2:$N$1910,IF(LEFT(E22,1)="F",3,2)))</f>
        <v>0</v>
      </c>
      <c r="I22" s="17"/>
      <c r="J22" s="17"/>
      <c r="K22" s="115"/>
      <c r="L22" s="115"/>
      <c r="M22" s="115"/>
      <c r="N22" s="115"/>
      <c r="O22" s="116">
        <f>IF(MAX(CK22:CM22)&gt;0,MAX(ABS(K22)*CK22,ABS(L22)*CL22,CM22*ABS(M22)),0)</f>
        <v>0</v>
      </c>
      <c r="P22" s="205"/>
      <c r="Q22" s="115"/>
      <c r="R22" s="115"/>
      <c r="S22" s="115"/>
      <c r="T22" s="115"/>
      <c r="U22" s="116">
        <f>IF(MAX(CQ22:CS22)&gt;0,MAX(ABS(Q22)*CQ22,ABS(R22)*CR22,CS22*ABS(S22)),0)</f>
        <v>0</v>
      </c>
      <c r="V22" s="117">
        <f>IF(OR(O22=0,U22=0),0,O22+U22)</f>
        <v>0</v>
      </c>
      <c r="W22" s="115"/>
      <c r="X22" s="115"/>
      <c r="Y22" s="115"/>
      <c r="Z22" s="115"/>
      <c r="AA22" s="116">
        <f>IF(MAX(CW22:CY22)&gt;0,MAX(ABS(W22)*CW22,ABS(X22)*CX22,CY22*ABS(Y22)),0)</f>
        <v>0</v>
      </c>
      <c r="AB22" s="117">
        <f>AJ22*IF($AB$8="PL Total",AM22,IF($AB$8="Push Pull Total",AN22,IF($AB$8="Best Squat",O22,IF($AB$8="Best Bench",U22,AA22))))</f>
        <v>0</v>
      </c>
      <c r="AC22" s="118">
        <f>IF(OR(F22="",AB22=0),0,H22*IF(AND($G$3="Lb",$H$8="Wilks"),AB22/2.2046,AB22))</f>
        <v>0</v>
      </c>
      <c r="AD22" s="118">
        <f>IF(OR(AB22=0,D22="",D22&lt;40),0,VLOOKUP($D22,DATA!$A$2:$B$53,2,TRUE)*AC22)</f>
        <v>0</v>
      </c>
      <c r="AE22" s="178" t="str">
        <f ca="1">IF(E22="","",OFFSET(Setup!$Q$1,MATCH(E22,Setup!O:O,0)-1,0))</f>
        <v/>
      </c>
      <c r="AF22" s="116">
        <f ca="1">IF(OR(AB22=0,AR22=0),0,CONCATENATE(AV22,"-",E22,IF(AE22=1,"-",""),IF(AE22=1,IF(G22="SHW",G22,ROUND(G22,1)),"")))</f>
        <v>0</v>
      </c>
      <c r="AG22" s="39">
        <f>IF(OR(AB22=0),0,VLOOKUP(AV22,Setup!$S$6:$T$15,2,TRUE))</f>
        <v>0</v>
      </c>
      <c r="AH22" s="119"/>
      <c r="AI22" s="114" t="s">
        <v>658</v>
      </c>
      <c r="AJ22" s="106">
        <f>IF(ISERROR(FIND($AJ$7,AI22)),0,1)</f>
        <v>0</v>
      </c>
      <c r="AK22" s="39">
        <f>IF(B22="","",VLOOKUP(B22,$BP$1:$BQ$8,2,FALSE))</f>
        <v>0</v>
      </c>
      <c r="AL22" s="26">
        <f>ROUND(IF($F$8="BWt (Kg)",F22,F22/2.2046),1)</f>
        <v>0</v>
      </c>
      <c r="AM22" s="26">
        <f>IF(OR(O22=0,U22=0,AA22=0),0,O22+U22+AA22)</f>
        <v>0</v>
      </c>
      <c r="AN22" s="26">
        <f>IF(OR(U22=0,AA22=0),0,U22+AA22)</f>
        <v>0</v>
      </c>
      <c r="AO22" s="38" t="str">
        <f>IF(E22="","",LEFT(E22,1))</f>
        <v/>
      </c>
      <c r="AP22" s="38"/>
      <c r="AQ22" s="28">
        <f>IF(OR(ISERROR(E22),F22="",ISERROR(G22),AB22=0),0,1)</f>
        <v>0</v>
      </c>
      <c r="AR22" s="198">
        <f ca="1">IF(OR(ISERROR(AY22),ISERROR(AX22)),0,AY22)</f>
        <v>0</v>
      </c>
      <c r="AS22" s="38">
        <f ca="1">RANK(AR22,INDIRECT($AS$7))</f>
        <v>13</v>
      </c>
      <c r="AT22" s="158">
        <f ca="1">INT(AR22/1000000)</f>
        <v>0</v>
      </c>
      <c r="AU22" s="97">
        <f ca="1">RANK(AT22,INDIRECT($AU$7))</f>
        <v>13</v>
      </c>
      <c r="AV22" s="179">
        <f ca="1">AS22-AU22+1</f>
        <v>1</v>
      </c>
      <c r="AW22" s="162">
        <f>F22</f>
        <v>0</v>
      </c>
      <c r="AX22" s="26">
        <f>RANK(AW22,AW:AW)</f>
        <v>13</v>
      </c>
      <c r="AY22" s="198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0</v>
      </c>
      <c r="AZ22" s="39"/>
      <c r="BA22" s="39"/>
      <c r="BB22" s="39"/>
      <c r="BC22" s="39"/>
      <c r="BD22" s="39"/>
      <c r="BE22" s="39"/>
      <c r="BF22" s="39"/>
      <c r="BG22" s="39"/>
      <c r="BH22" s="84"/>
      <c r="BI22" s="84"/>
      <c r="BJ22" s="84"/>
      <c r="BK22" s="84"/>
      <c r="BL22" s="84"/>
      <c r="BM22" s="84"/>
      <c r="BN22" s="30"/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</row>
  </sheetData>
  <sortState ref="A10:XFD22"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H1:I1"/>
    <mergeCell ref="F2:G2"/>
    <mergeCell ref="D4:F4"/>
    <mergeCell ref="B1:E1"/>
    <mergeCell ref="F1:G1"/>
    <mergeCell ref="AE2:AE6"/>
    <mergeCell ref="D3:F3"/>
    <mergeCell ref="B3:C3"/>
    <mergeCell ref="B4:C4"/>
    <mergeCell ref="B2:E2"/>
    <mergeCell ref="F5:G5"/>
  </mergeCells>
  <phoneticPr fontId="0" type="noConversion"/>
  <conditionalFormatting sqref="B9">
    <cfRule type="expression" dxfId="61" priority="753" stopIfTrue="1">
      <formula>AND($B9&lt;&gt;RIGHT($B$8,1))</formula>
    </cfRule>
  </conditionalFormatting>
  <conditionalFormatting sqref="K9:N9 Q9:T9 W9:Z9">
    <cfRule type="expression" dxfId="60" priority="756" stopIfTrue="1">
      <formula>AND(COLUMN(K9)=$A$3,ROW(K9)=$A$4)</formula>
    </cfRule>
    <cfRule type="cellIs" dxfId="59" priority="757" stopIfTrue="1" operator="lessThan">
      <formula>0</formula>
    </cfRule>
    <cfRule type="expression" dxfId="58" priority="758" stopIfTrue="1">
      <formula>OR(AND(ROW(K9)=$A$4,COLUMN(K9)&lt;$A$3,CK9=1),AND(ROW(K9)&lt;$A$4,COLUMN(K9)=$A$3,CK9=1))</formula>
    </cfRule>
  </conditionalFormatting>
  <conditionalFormatting sqref="I9:J9 D9:F9">
    <cfRule type="expression" dxfId="57" priority="759" stopIfTrue="1">
      <formula>AND(ROW(D9)=$A$4)</formula>
    </cfRule>
    <cfRule type="expression" dxfId="56" priority="760" stopIfTrue="1">
      <formula>AND($B9&lt;&gt;RIGHT($B$8,1))</formula>
    </cfRule>
  </conditionalFormatting>
  <conditionalFormatting sqref="O9:P9 U9">
    <cfRule type="expression" dxfId="55" priority="761" stopIfTrue="1">
      <formula>AND(ROW(K9)=$A$4,COLUMN(K9)&lt;$A$3)</formula>
    </cfRule>
  </conditionalFormatting>
  <conditionalFormatting sqref="V9">
    <cfRule type="expression" dxfId="54" priority="762" stopIfTrue="1">
      <formula>AND(ROW(R9)=$A$4,COLUMN(R9)&lt;$A$3)</formula>
    </cfRule>
  </conditionalFormatting>
  <conditionalFormatting sqref="AA9">
    <cfRule type="expression" dxfId="53" priority="763" stopIfTrue="1">
      <formula>AND(ROW(W9)=$A$4,$A$3&gt;21)</formula>
    </cfRule>
  </conditionalFormatting>
  <conditionalFormatting sqref="AB9">
    <cfRule type="expression" dxfId="52" priority="770" stopIfTrue="1">
      <formula>AND(ROW(X9)=$A$4)</formula>
    </cfRule>
    <cfRule type="expression" dxfId="51" priority="771" stopIfTrue="1">
      <formula>AND(AE9=1)</formula>
    </cfRule>
  </conditionalFormatting>
  <conditionalFormatting sqref="AC9">
    <cfRule type="expression" dxfId="50" priority="772" stopIfTrue="1">
      <formula>AND(AE9=2)</formula>
    </cfRule>
  </conditionalFormatting>
  <conditionalFormatting sqref="AD9">
    <cfRule type="expression" dxfId="49" priority="773" stopIfTrue="1">
      <formula>AND(AE9=3)</formula>
    </cfRule>
  </conditionalFormatting>
  <conditionalFormatting sqref="H3:I4">
    <cfRule type="expression" dxfId="48" priority="764" stopIfTrue="1">
      <formula>AND(COLUMN(H3)=$K$3,ROW(H3)=VALUE(RIGHT(#REF!,1)))</formula>
    </cfRule>
  </conditionalFormatting>
  <conditionalFormatting sqref="D3:F4">
    <cfRule type="expression" dxfId="47" priority="765" stopIfTrue="1">
      <formula>NOT($A$2=$H$4)</formula>
    </cfRule>
    <cfRule type="cellIs" dxfId="46" priority="766" stopIfTrue="1" operator="lessThan">
      <formula>0</formula>
    </cfRule>
    <cfRule type="expression" dxfId="45" priority="767" stopIfTrue="1">
      <formula>OR($A$2=$H$4)</formula>
    </cfRule>
  </conditionalFormatting>
  <conditionalFormatting sqref="K8:N8 Q8:T8 W8:Z8">
    <cfRule type="cellIs" dxfId="44" priority="768" stopIfTrue="1" operator="equal">
      <formula>$B$3</formula>
    </cfRule>
  </conditionalFormatting>
  <conditionalFormatting sqref="G9:H9">
    <cfRule type="expression" dxfId="43" priority="769" stopIfTrue="1">
      <formula>AND(ROW(G9)=$A$4)</formula>
    </cfRule>
  </conditionalFormatting>
  <conditionalFormatting sqref="C9">
    <cfRule type="cellIs" dxfId="42" priority="779" stopIfTrue="1" operator="equal">
      <formula>$B$2</formula>
    </cfRule>
    <cfRule type="expression" dxfId="41" priority="780" stopIfTrue="1">
      <formula>AND($B9&lt;&gt;RIGHT($B$8,1))</formula>
    </cfRule>
  </conditionalFormatting>
  <conditionalFormatting sqref="B10:B22">
    <cfRule type="expression" dxfId="40" priority="1" stopIfTrue="1">
      <formula>AND($B10&lt;&gt;RIGHT($B$8,1))</formula>
    </cfRule>
  </conditionalFormatting>
  <conditionalFormatting sqref="K10:N22 Q10:T22 W10:Z22">
    <cfRule type="expression" dxfId="39" priority="2" stopIfTrue="1">
      <formula>AND(COLUMN(K10)=$A$3,ROW(K10)=$A$4)</formula>
    </cfRule>
    <cfRule type="cellIs" dxfId="38" priority="3" stopIfTrue="1" operator="lessThan">
      <formula>0</formula>
    </cfRule>
    <cfRule type="expression" dxfId="37" priority="4" stopIfTrue="1">
      <formula>OR(AND(ROW(K10)=$A$4,COLUMN(K10)&lt;$A$3,CK10=1),AND(ROW(K10)&lt;$A$4,COLUMN(K10)=$A$3,CK10=1))</formula>
    </cfRule>
  </conditionalFormatting>
  <conditionalFormatting sqref="I10:J22 D10:F22">
    <cfRule type="expression" dxfId="36" priority="5" stopIfTrue="1">
      <formula>AND(ROW(D10)=$A$4)</formula>
    </cfRule>
    <cfRule type="expression" dxfId="35" priority="6" stopIfTrue="1">
      <formula>AND($B10&lt;&gt;RIGHT($B$8,1))</formula>
    </cfRule>
  </conditionalFormatting>
  <conditionalFormatting sqref="O10:P22 U10:U22">
    <cfRule type="expression" dxfId="34" priority="7" stopIfTrue="1">
      <formula>AND(ROW(K10)=$A$4,COLUMN(K10)&lt;$A$3)</formula>
    </cfRule>
  </conditionalFormatting>
  <conditionalFormatting sqref="V10:V22">
    <cfRule type="expression" dxfId="33" priority="8" stopIfTrue="1">
      <formula>AND(ROW(R10)=$A$4,COLUMN(R10)&lt;$A$3)</formula>
    </cfRule>
  </conditionalFormatting>
  <conditionalFormatting sqref="AA10:AA22">
    <cfRule type="expression" dxfId="32" priority="9" stopIfTrue="1">
      <formula>AND(ROW(W10)=$A$4,$A$3&gt;21)</formula>
    </cfRule>
  </conditionalFormatting>
  <conditionalFormatting sqref="AB10:AB22">
    <cfRule type="expression" dxfId="31" priority="11" stopIfTrue="1">
      <formula>AND(ROW(X10)=$A$4)</formula>
    </cfRule>
    <cfRule type="expression" dxfId="30" priority="12" stopIfTrue="1">
      <formula>AND(AE10=1)</formula>
    </cfRule>
  </conditionalFormatting>
  <conditionalFormatting sqref="AC10:AC22">
    <cfRule type="expression" dxfId="29" priority="13" stopIfTrue="1">
      <formula>AND(AE10=2)</formula>
    </cfRule>
  </conditionalFormatting>
  <conditionalFormatting sqref="AD10:AD22">
    <cfRule type="expression" dxfId="28" priority="14" stopIfTrue="1">
      <formula>AND(AE10=3)</formula>
    </cfRule>
  </conditionalFormatting>
  <conditionalFormatting sqref="G10:H22">
    <cfRule type="expression" dxfId="27" priority="10" stopIfTrue="1">
      <formula>AND(ROW(G10)=$A$4)</formula>
    </cfRule>
  </conditionalFormatting>
  <conditionalFormatting sqref="C10:C22">
    <cfRule type="cellIs" dxfId="26" priority="15" stopIfTrue="1" operator="equal">
      <formula>$B$2</formula>
    </cfRule>
    <cfRule type="expression" dxfId="25" priority="16" stopIfTrue="1">
      <formula>AND($B10&lt;&gt;RIGHT($B$8,1))</formula>
    </cfRule>
  </conditionalFormatting>
  <dataValidations count="12">
    <dataValidation type="list" allowBlank="1" showInputMessage="1" showErrorMessage="1" sqref="F5:G5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>
      <formula1>"Flt A,Flt B,Flt C,Flt D,Flt E,Flt F, Flt G,Flt H"</formula1>
    </dataValidation>
    <dataValidation type="list" allowBlank="1" showInputMessage="1" showErrorMessage="1" sqref="B2:E2">
      <formula1>INDIRECT($A$7)</formula1>
    </dataValidation>
    <dataValidation type="list" allowBlank="1" showInputMessage="1" showErrorMessage="1" sqref="AB8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>
      <formula1>INDIRECT($BA$1)</formula1>
    </dataValidation>
    <dataValidation allowBlank="1" showInputMessage="1" showErrorMessage="1" prompt="Don't enter anything here, these are calculated automatically." sqref="AU9:AU22 AB9:AD22 G9:H22 AG9:AG22 V9:V22"/>
    <dataValidation type="custom" errorStyle="warning" allowBlank="1" showInputMessage="1" showErrorMessage="1" error="Must be a multiple of 2.5 unless record attempt" sqref="K9:K22 Q9:Q22 W9:W22">
      <formula1>AND(MOD(K9,2.5)=0)</formula1>
    </dataValidation>
    <dataValidation type="list" allowBlank="1" showInputMessage="1" showErrorMessage="1" sqref="B9:B22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22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22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22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X9:Z22 L9:N22 R9:T22">
      <formula1>AND(MOD(L9,2.5)=0,L9&gt;=ABS(K9),L9&gt;K9)</formula1>
    </dataValidation>
  </dataValidations>
  <pageMargins left="0.75" right="0.75" top="1" bottom="1" header="0.5" footer="0.5"/>
  <pageSetup scale="105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1036320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236220</xdr:colOff>
                    <xdr:row>5</xdr:row>
                    <xdr:rowOff>38100</xdr:rowOff>
                  </from>
                  <to>
                    <xdr:col>7</xdr:col>
                    <xdr:colOff>403860</xdr:colOff>
                    <xdr:row>5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7"/>
  <sheetViews>
    <sheetView zoomScale="70" zoomScaleNormal="70" workbookViewId="0">
      <selection activeCell="I21" sqref="I21"/>
    </sheetView>
  </sheetViews>
  <sheetFormatPr defaultColWidth="9.109375" defaultRowHeight="36" customHeight="1" x14ac:dyDescent="0.25"/>
  <cols>
    <col min="2" max="2" width="10" customWidth="1"/>
    <col min="3" max="3" width="9.109375" customWidth="1"/>
    <col min="8" max="8" width="9.5546875" customWidth="1"/>
  </cols>
  <sheetData>
    <row r="1" spans="1:18" ht="36" customHeight="1" x14ac:dyDescent="0.25">
      <c r="A1" s="376" t="str">
        <f>IF(RIGHT(Lifting!$B$2,1) = ")",MID(Lifting!$B$2,1,(SEARCH("(",Lifting!$B$2,1)-2)),Lifting!$B$2)</f>
        <v>Trey Love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8"/>
      <c r="Q1" s="221"/>
    </row>
    <row r="2" spans="1:18" ht="36" customHeight="1" x14ac:dyDescent="0.25">
      <c r="A2" s="379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1"/>
      <c r="Q2" s="221"/>
    </row>
    <row r="3" spans="1:18" ht="48.75" customHeight="1" x14ac:dyDescent="0.25">
      <c r="A3" s="388">
        <f ca="1">INDIRECT("Lifting!AH"&amp;Lifting!A4)</f>
        <v>0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Q3" s="221"/>
    </row>
    <row r="4" spans="1:18" ht="33" customHeight="1" x14ac:dyDescent="0.25">
      <c r="A4" s="382" t="str">
        <f>Lifting!B8</f>
        <v>Flt A</v>
      </c>
      <c r="B4" s="383"/>
      <c r="C4" s="383" t="str">
        <f>Lifting!B3</f>
        <v xml:space="preserve"> Squat  2</v>
      </c>
      <c r="D4" s="383"/>
      <c r="E4" s="383"/>
      <c r="F4" s="390" t="s">
        <v>169</v>
      </c>
      <c r="G4" s="390"/>
      <c r="H4" s="390">
        <f ca="1">Lifting!H2</f>
        <v>125</v>
      </c>
      <c r="I4" s="390"/>
      <c r="J4" s="243"/>
      <c r="K4" s="243"/>
      <c r="L4" s="384" t="str">
        <f ca="1">Lifting!B4</f>
        <v xml:space="preserve">Rack - </v>
      </c>
      <c r="M4" s="384"/>
      <c r="N4" s="384"/>
      <c r="O4" s="384"/>
      <c r="P4" s="385"/>
      <c r="Q4" s="221"/>
    </row>
    <row r="5" spans="1:18" ht="36" customHeight="1" x14ac:dyDescent="0.25">
      <c r="K5" s="64"/>
      <c r="L5" s="384" t="str">
        <f ca="1">CONCATENATE("#25 - ",Setup!H12)</f>
        <v>#25 - 0</v>
      </c>
      <c r="M5" s="384"/>
      <c r="N5" s="384"/>
      <c r="O5" s="384"/>
      <c r="P5" s="385"/>
      <c r="Q5" s="221"/>
    </row>
    <row r="6" spans="1:18" ht="36" customHeight="1" x14ac:dyDescent="0.25">
      <c r="A6" s="386">
        <f ca="1">Lifting!D3</f>
        <v>0</v>
      </c>
      <c r="B6" s="387"/>
      <c r="C6" s="387"/>
      <c r="D6" s="387"/>
      <c r="E6" s="387"/>
      <c r="F6" s="387"/>
      <c r="G6" s="387"/>
      <c r="H6" s="387"/>
      <c r="I6" s="226"/>
      <c r="J6" s="372" t="str">
        <f xml:space="preserve"> Lifting!G3</f>
        <v>Kg</v>
      </c>
      <c r="K6" s="372"/>
      <c r="L6" s="372"/>
      <c r="M6" s="372"/>
      <c r="N6" s="372"/>
      <c r="O6" s="372"/>
      <c r="P6" s="373"/>
      <c r="Q6" s="221"/>
    </row>
    <row r="7" spans="1:18" ht="36" customHeight="1" x14ac:dyDescent="0.25">
      <c r="A7" s="386"/>
      <c r="B7" s="387"/>
      <c r="C7" s="387"/>
      <c r="D7" s="387"/>
      <c r="E7" s="387"/>
      <c r="F7" s="387"/>
      <c r="G7" s="387"/>
      <c r="H7" s="387"/>
      <c r="I7" s="227"/>
      <c r="J7" s="372"/>
      <c r="K7" s="372"/>
      <c r="L7" s="372"/>
      <c r="M7" s="372"/>
      <c r="N7" s="372"/>
      <c r="O7" s="372"/>
      <c r="P7" s="373"/>
      <c r="Q7" s="221"/>
    </row>
    <row r="8" spans="1:18" ht="36" customHeight="1" x14ac:dyDescent="0.25">
      <c r="A8" s="221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242"/>
      <c r="Q8" s="221"/>
      <c r="R8" s="5"/>
    </row>
    <row r="9" spans="1:18" ht="36" customHeight="1" x14ac:dyDescent="0.25">
      <c r="A9" s="221"/>
      <c r="B9" s="64"/>
      <c r="C9" s="64"/>
      <c r="D9" s="64"/>
      <c r="E9" s="64"/>
      <c r="F9" s="64"/>
      <c r="G9" s="64"/>
      <c r="H9" s="64"/>
      <c r="I9" s="226"/>
      <c r="J9" s="64"/>
      <c r="K9" s="64"/>
      <c r="L9" s="64"/>
      <c r="M9" s="64"/>
      <c r="N9" s="64"/>
      <c r="O9" s="64"/>
      <c r="P9" s="242"/>
      <c r="Q9" s="221"/>
    </row>
    <row r="10" spans="1:18" ht="36" customHeight="1" x14ac:dyDescent="0.25">
      <c r="A10" s="221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242"/>
      <c r="Q10" s="221"/>
    </row>
    <row r="11" spans="1:18" ht="36" customHeight="1" x14ac:dyDescent="0.25">
      <c r="A11" s="221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242"/>
      <c r="Q11" s="221"/>
    </row>
    <row r="12" spans="1:18" ht="36" customHeight="1" x14ac:dyDescent="0.25">
      <c r="A12" s="221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42"/>
      <c r="Q12" s="221"/>
    </row>
    <row r="13" spans="1:18" ht="36" customHeight="1" x14ac:dyDescent="0.25">
      <c r="A13" s="221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42"/>
      <c r="Q13" s="221"/>
    </row>
    <row r="14" spans="1:18" ht="36" customHeight="1" x14ac:dyDescent="0.25">
      <c r="A14" s="22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242"/>
      <c r="Q14" s="221"/>
    </row>
    <row r="15" spans="1:18" ht="36" customHeight="1" x14ac:dyDescent="0.25">
      <c r="A15" s="22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242"/>
      <c r="Q15" s="221"/>
    </row>
    <row r="16" spans="1:18" ht="36" customHeight="1" x14ac:dyDescent="0.25">
      <c r="A16" s="368">
        <f ca="1">Lifting!D4</f>
        <v>0</v>
      </c>
      <c r="B16" s="369"/>
      <c r="C16" s="369"/>
      <c r="D16" s="369"/>
      <c r="E16" s="369"/>
      <c r="F16" s="369"/>
      <c r="G16" s="369"/>
      <c r="H16" s="369"/>
      <c r="I16" s="226"/>
      <c r="J16" s="372" t="str">
        <f>Lifting!G4</f>
        <v>Lb</v>
      </c>
      <c r="K16" s="372"/>
      <c r="L16" s="372"/>
      <c r="M16" s="372"/>
      <c r="N16" s="372"/>
      <c r="O16" s="372"/>
      <c r="P16" s="373"/>
      <c r="Q16" s="221"/>
    </row>
    <row r="17" spans="1:17" ht="36" customHeight="1" x14ac:dyDescent="0.25">
      <c r="A17" s="370"/>
      <c r="B17" s="371"/>
      <c r="C17" s="371"/>
      <c r="D17" s="371"/>
      <c r="E17" s="371"/>
      <c r="F17" s="371"/>
      <c r="G17" s="371"/>
      <c r="H17" s="371"/>
      <c r="I17" s="228"/>
      <c r="J17" s="374"/>
      <c r="K17" s="374"/>
      <c r="L17" s="374"/>
      <c r="M17" s="374"/>
      <c r="N17" s="374"/>
      <c r="O17" s="374"/>
      <c r="P17" s="375"/>
      <c r="Q17" s="22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  <webPublishItems count="1">
    <webPublishItem id="14334" divId="Senior_nat_ltw_14334" sourceType="range" sourceRef="A1:P17" destinationFile="C:\wamp\www\BarLoad\NextLifter_BarLoad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85"/>
  <sheetViews>
    <sheetView zoomScale="90" zoomScaleNormal="90" workbookViewId="0">
      <selection activeCell="U9" sqref="U9"/>
    </sheetView>
  </sheetViews>
  <sheetFormatPr defaultColWidth="9.109375" defaultRowHeight="13.2" x14ac:dyDescent="0.25"/>
  <cols>
    <col min="1" max="1" width="4.44140625" style="7" customWidth="1"/>
    <col min="2" max="2" width="26.88671875" style="7" customWidth="1"/>
    <col min="3" max="3" width="9.109375" style="7" customWidth="1"/>
    <col min="4" max="4" width="6.5546875" style="7" customWidth="1"/>
    <col min="5" max="5" width="21" style="7" customWidth="1"/>
    <col min="6" max="6" width="9.6640625" style="7" customWidth="1"/>
    <col min="7" max="7" width="9.109375" style="7"/>
    <col min="8" max="8" width="5" style="7" customWidth="1"/>
    <col min="9" max="9" width="5.109375" style="7" customWidth="1"/>
    <col min="10" max="10" width="22.6640625" style="7" customWidth="1"/>
    <col min="11" max="11" width="5.109375" style="7" hidden="1" customWidth="1"/>
    <col min="12" max="12" width="13.88671875" style="7" customWidth="1"/>
    <col min="13" max="13" width="0.109375" style="7" hidden="1" customWidth="1"/>
    <col min="14" max="14" width="9.44140625" style="7" customWidth="1"/>
    <col min="15" max="15" width="9.5546875" style="7" customWidth="1"/>
    <col min="16" max="16384" width="9.109375" style="7"/>
  </cols>
  <sheetData>
    <row r="1" spans="1:7" x14ac:dyDescent="0.25">
      <c r="A1"/>
      <c r="B1"/>
      <c r="C1"/>
      <c r="D1"/>
      <c r="E1"/>
      <c r="F1"/>
      <c r="G1"/>
    </row>
    <row r="2" spans="1:7" ht="23.25" customHeight="1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s="233" customFormat="1" x14ac:dyDescent="0.25">
      <c r="A4"/>
      <c r="B4"/>
      <c r="C4"/>
      <c r="D4"/>
      <c r="E4"/>
      <c r="F4"/>
      <c r="G4"/>
    </row>
    <row r="5" spans="1:7" s="241" customFormat="1" x14ac:dyDescent="0.25">
      <c r="A5"/>
      <c r="B5"/>
      <c r="C5"/>
      <c r="D5"/>
      <c r="E5"/>
      <c r="F5"/>
      <c r="G5"/>
    </row>
    <row r="6" spans="1:7" s="241" customFormat="1" x14ac:dyDescent="0.25">
      <c r="A6"/>
      <c r="B6"/>
      <c r="C6"/>
      <c r="D6"/>
      <c r="E6"/>
      <c r="F6"/>
      <c r="G6"/>
    </row>
    <row r="7" spans="1:7" s="241" customFormat="1" x14ac:dyDescent="0.25">
      <c r="A7"/>
      <c r="B7"/>
      <c r="C7"/>
      <c r="D7"/>
      <c r="E7"/>
      <c r="F7"/>
      <c r="G7"/>
    </row>
    <row r="8" spans="1:7" s="241" customFormat="1" x14ac:dyDescent="0.25">
      <c r="A8"/>
      <c r="B8"/>
      <c r="C8"/>
      <c r="D8"/>
      <c r="E8"/>
      <c r="F8"/>
      <c r="G8"/>
    </row>
    <row r="9" spans="1:7" s="241" customFormat="1" x14ac:dyDescent="0.25">
      <c r="A9"/>
      <c r="B9"/>
      <c r="C9"/>
      <c r="D9"/>
      <c r="E9"/>
      <c r="F9"/>
      <c r="G9"/>
    </row>
    <row r="10" spans="1:7" s="241" customFormat="1" x14ac:dyDescent="0.25">
      <c r="A10"/>
      <c r="B10"/>
      <c r="C10"/>
      <c r="D10"/>
      <c r="E10"/>
      <c r="F10"/>
      <c r="G10"/>
    </row>
    <row r="11" spans="1:7" s="241" customFormat="1" x14ac:dyDescent="0.25">
      <c r="A11"/>
      <c r="B11"/>
      <c r="C11"/>
      <c r="D11"/>
      <c r="E11"/>
      <c r="F11"/>
      <c r="G11"/>
    </row>
    <row r="12" spans="1:7" s="241" customFormat="1" x14ac:dyDescent="0.25">
      <c r="A12"/>
      <c r="B12"/>
      <c r="C12"/>
      <c r="D12"/>
      <c r="E12"/>
      <c r="F12"/>
      <c r="G12"/>
    </row>
    <row r="13" spans="1:7" s="241" customFormat="1" x14ac:dyDescent="0.25">
      <c r="A13"/>
      <c r="B13"/>
      <c r="C13"/>
      <c r="D13"/>
      <c r="E13"/>
      <c r="F13"/>
      <c r="G13"/>
    </row>
    <row r="14" spans="1:7" s="241" customFormat="1" x14ac:dyDescent="0.25">
      <c r="A14"/>
      <c r="B14"/>
      <c r="C14"/>
      <c r="D14"/>
      <c r="E14"/>
      <c r="F14"/>
      <c r="G14"/>
    </row>
    <row r="15" spans="1:7" s="241" customFormat="1" x14ac:dyDescent="0.25">
      <c r="A15"/>
      <c r="B15"/>
      <c r="C15"/>
      <c r="D15"/>
      <c r="E15"/>
      <c r="F15"/>
      <c r="G15"/>
    </row>
    <row r="16" spans="1:7" s="241" customFormat="1" x14ac:dyDescent="0.25">
      <c r="A16"/>
      <c r="B16"/>
      <c r="C16"/>
      <c r="D16"/>
      <c r="E16"/>
      <c r="F16"/>
      <c r="G16"/>
    </row>
    <row r="17" spans="1:7" s="241" customFormat="1" x14ac:dyDescent="0.25">
      <c r="A17"/>
      <c r="B17"/>
      <c r="C17"/>
      <c r="D17"/>
      <c r="E17"/>
      <c r="F17"/>
      <c r="G17"/>
    </row>
    <row r="18" spans="1:7" s="241" customFormat="1" x14ac:dyDescent="0.25">
      <c r="A18"/>
      <c r="B18"/>
      <c r="C18"/>
      <c r="D18"/>
      <c r="E18"/>
      <c r="F18"/>
      <c r="G18"/>
    </row>
    <row r="19" spans="1:7" s="241" customFormat="1" x14ac:dyDescent="0.25">
      <c r="A19"/>
      <c r="B19"/>
      <c r="C19"/>
      <c r="D19"/>
      <c r="E19"/>
      <c r="F19"/>
      <c r="G19"/>
    </row>
    <row r="20" spans="1:7" s="241" customFormat="1" x14ac:dyDescent="0.25">
      <c r="A20"/>
      <c r="B20"/>
      <c r="C20"/>
      <c r="D20"/>
      <c r="E20"/>
      <c r="F20"/>
      <c r="G20"/>
    </row>
    <row r="21" spans="1:7" s="241" customFormat="1" x14ac:dyDescent="0.25">
      <c r="A21"/>
      <c r="B21"/>
      <c r="C21"/>
      <c r="D21"/>
      <c r="E21"/>
      <c r="F21"/>
      <c r="G21"/>
    </row>
    <row r="22" spans="1:7" s="241" customFormat="1" x14ac:dyDescent="0.25">
      <c r="A22"/>
      <c r="B22"/>
      <c r="C22"/>
      <c r="D22"/>
      <c r="E22"/>
      <c r="F22"/>
      <c r="G22"/>
    </row>
    <row r="23" spans="1:7" s="241" customFormat="1" x14ac:dyDescent="0.25">
      <c r="A23"/>
      <c r="B23"/>
      <c r="C23"/>
      <c r="D23"/>
      <c r="E23"/>
      <c r="F23"/>
      <c r="G23"/>
    </row>
    <row r="24" spans="1:7" s="241" customFormat="1" x14ac:dyDescent="0.25">
      <c r="A24"/>
      <c r="B24"/>
      <c r="C24"/>
      <c r="D24"/>
      <c r="E24"/>
      <c r="F24"/>
      <c r="G24"/>
    </row>
    <row r="25" spans="1:7" s="241" customFormat="1" x14ac:dyDescent="0.25">
      <c r="A25"/>
      <c r="B25"/>
      <c r="C25"/>
      <c r="D25"/>
      <c r="E25"/>
      <c r="F25"/>
      <c r="G25"/>
    </row>
    <row r="26" spans="1:7" s="241" customFormat="1" x14ac:dyDescent="0.25">
      <c r="A26"/>
      <c r="B26"/>
      <c r="C26"/>
      <c r="D26"/>
      <c r="E26"/>
      <c r="F26"/>
      <c r="G26"/>
    </row>
    <row r="27" spans="1:7" s="241" customFormat="1" x14ac:dyDescent="0.25">
      <c r="A27"/>
      <c r="B27"/>
      <c r="C27"/>
      <c r="D27"/>
      <c r="E27"/>
      <c r="F27"/>
      <c r="G27"/>
    </row>
    <row r="28" spans="1:7" s="241" customFormat="1" x14ac:dyDescent="0.25">
      <c r="A28"/>
      <c r="B28"/>
      <c r="C28"/>
      <c r="D28"/>
      <c r="E28"/>
      <c r="F28"/>
      <c r="G28"/>
    </row>
    <row r="29" spans="1:7" s="241" customFormat="1" x14ac:dyDescent="0.25">
      <c r="A29"/>
      <c r="B29"/>
      <c r="C29"/>
      <c r="D29"/>
      <c r="E29"/>
      <c r="F29"/>
      <c r="G29"/>
    </row>
    <row r="30" spans="1:7" s="241" customFormat="1" x14ac:dyDescent="0.25">
      <c r="A30"/>
      <c r="B30"/>
      <c r="C30"/>
      <c r="D30"/>
      <c r="E30"/>
      <c r="F30"/>
      <c r="G30"/>
    </row>
    <row r="31" spans="1:7" s="241" customFormat="1" x14ac:dyDescent="0.25">
      <c r="A31"/>
      <c r="B31"/>
      <c r="C31"/>
      <c r="D31"/>
      <c r="E31"/>
      <c r="F31"/>
      <c r="G31"/>
    </row>
    <row r="32" spans="1:7" s="241" customFormat="1" x14ac:dyDescent="0.25">
      <c r="A32"/>
      <c r="B32"/>
      <c r="C32"/>
      <c r="D32"/>
      <c r="E32"/>
      <c r="F32"/>
      <c r="G32"/>
    </row>
    <row r="33" spans="1:7" s="241" customFormat="1" x14ac:dyDescent="0.25">
      <c r="A33"/>
      <c r="B33"/>
      <c r="C33"/>
      <c r="D33"/>
      <c r="E33"/>
      <c r="F33"/>
      <c r="G33"/>
    </row>
    <row r="34" spans="1:7" s="241" customFormat="1" x14ac:dyDescent="0.25">
      <c r="A34"/>
      <c r="B34"/>
      <c r="C34"/>
      <c r="D34"/>
      <c r="E34"/>
      <c r="F34"/>
      <c r="G34"/>
    </row>
    <row r="35" spans="1:7" s="241" customFormat="1" x14ac:dyDescent="0.25">
      <c r="A35"/>
      <c r="B35"/>
      <c r="C35"/>
      <c r="D35"/>
      <c r="E35"/>
      <c r="F35"/>
      <c r="G35"/>
    </row>
    <row r="36" spans="1:7" s="241" customFormat="1" x14ac:dyDescent="0.25">
      <c r="A36"/>
      <c r="B36"/>
      <c r="C36"/>
      <c r="D36"/>
      <c r="E36"/>
      <c r="F36"/>
      <c r="G36"/>
    </row>
    <row r="37" spans="1:7" s="241" customFormat="1" x14ac:dyDescent="0.25">
      <c r="A37"/>
      <c r="B37"/>
      <c r="C37"/>
      <c r="D37"/>
      <c r="E37"/>
      <c r="F37"/>
      <c r="G37"/>
    </row>
    <row r="38" spans="1:7" s="241" customFormat="1" x14ac:dyDescent="0.25">
      <c r="A38"/>
      <c r="B38"/>
      <c r="C38"/>
      <c r="D38"/>
      <c r="E38"/>
      <c r="F38"/>
      <c r="G38"/>
    </row>
    <row r="39" spans="1:7" s="241" customFormat="1" x14ac:dyDescent="0.25">
      <c r="A39"/>
      <c r="B39"/>
      <c r="C39"/>
      <c r="D39"/>
      <c r="E39"/>
      <c r="F39"/>
      <c r="G39"/>
    </row>
    <row r="40" spans="1:7" s="241" customFormat="1" x14ac:dyDescent="0.25">
      <c r="A40"/>
      <c r="B40"/>
      <c r="C40"/>
    </row>
    <row r="41" spans="1:7" s="241" customFormat="1" x14ac:dyDescent="0.25">
      <c r="A41"/>
      <c r="B41"/>
      <c r="C41"/>
    </row>
    <row r="42" spans="1:7" s="241" customFormat="1" x14ac:dyDescent="0.25">
      <c r="A42"/>
      <c r="B42"/>
      <c r="C42"/>
    </row>
    <row r="43" spans="1:7" s="241" customFormat="1" x14ac:dyDescent="0.25">
      <c r="A43"/>
      <c r="B43"/>
      <c r="C43"/>
    </row>
    <row r="44" spans="1:7" s="241" customFormat="1" x14ac:dyDescent="0.25">
      <c r="A44"/>
      <c r="B44"/>
      <c r="C44"/>
    </row>
    <row r="45" spans="1:7" s="241" customFormat="1" x14ac:dyDescent="0.25">
      <c r="A45"/>
      <c r="B45"/>
      <c r="C45"/>
    </row>
    <row r="46" spans="1:7" s="241" customFormat="1" x14ac:dyDescent="0.25">
      <c r="A46"/>
      <c r="B46"/>
      <c r="C46"/>
    </row>
    <row r="47" spans="1:7" s="241" customFormat="1" x14ac:dyDescent="0.25">
      <c r="A47"/>
      <c r="B47"/>
      <c r="C47"/>
    </row>
    <row r="48" spans="1:7" s="241" customFormat="1" x14ac:dyDescent="0.25">
      <c r="A48"/>
      <c r="B48"/>
      <c r="C48"/>
    </row>
    <row r="49" spans="1:3" s="241" customFormat="1" x14ac:dyDescent="0.25">
      <c r="A49"/>
      <c r="B49"/>
      <c r="C49"/>
    </row>
    <row r="50" spans="1:3" s="241" customFormat="1" x14ac:dyDescent="0.25">
      <c r="A50"/>
      <c r="B50"/>
      <c r="C50"/>
    </row>
    <row r="51" spans="1:3" s="241" customFormat="1" x14ac:dyDescent="0.25">
      <c r="A51"/>
      <c r="B51"/>
      <c r="C51"/>
    </row>
    <row r="52" spans="1:3" s="241" customFormat="1" x14ac:dyDescent="0.25">
      <c r="A52"/>
      <c r="B52"/>
      <c r="C52"/>
    </row>
    <row r="53" spans="1:3" s="241" customFormat="1" x14ac:dyDescent="0.25">
      <c r="A53"/>
      <c r="B53"/>
      <c r="C53"/>
    </row>
    <row r="54" spans="1:3" s="241" customFormat="1" x14ac:dyDescent="0.25">
      <c r="A54"/>
      <c r="B54"/>
      <c r="C54"/>
    </row>
    <row r="55" spans="1:3" s="241" customFormat="1" x14ac:dyDescent="0.25">
      <c r="A55"/>
      <c r="B55"/>
      <c r="C55"/>
    </row>
    <row r="56" spans="1:3" s="241" customFormat="1" x14ac:dyDescent="0.25">
      <c r="A56"/>
      <c r="B56"/>
      <c r="C56"/>
    </row>
    <row r="57" spans="1:3" s="241" customFormat="1" x14ac:dyDescent="0.25"/>
    <row r="58" spans="1:3" s="241" customFormat="1" x14ac:dyDescent="0.25"/>
    <row r="59" spans="1:3" s="241" customFormat="1" x14ac:dyDescent="0.25"/>
    <row r="60" spans="1:3" s="241" customFormat="1" x14ac:dyDescent="0.25"/>
    <row r="61" spans="1:3" s="241" customFormat="1" x14ac:dyDescent="0.25"/>
    <row r="62" spans="1:3" s="241" customFormat="1" x14ac:dyDescent="0.25"/>
    <row r="63" spans="1:3" s="241" customFormat="1" x14ac:dyDescent="0.25"/>
    <row r="64" spans="1:3" s="241" customFormat="1" x14ac:dyDescent="0.25"/>
    <row r="65" s="241" customFormat="1" x14ac:dyDescent="0.25"/>
    <row r="66" s="241" customFormat="1" x14ac:dyDescent="0.25"/>
    <row r="67" s="241" customFormat="1" x14ac:dyDescent="0.25"/>
    <row r="68" s="241" customFormat="1" x14ac:dyDescent="0.25"/>
    <row r="69" s="241" customFormat="1" x14ac:dyDescent="0.25"/>
    <row r="70" s="241" customFormat="1" x14ac:dyDescent="0.25"/>
    <row r="71" s="241" customFormat="1" x14ac:dyDescent="0.25"/>
    <row r="72" s="241" customFormat="1" x14ac:dyDescent="0.25"/>
    <row r="73" s="241" customFormat="1" x14ac:dyDescent="0.25"/>
    <row r="74" s="241" customFormat="1" x14ac:dyDescent="0.25"/>
    <row r="75" s="241" customFormat="1" x14ac:dyDescent="0.25"/>
    <row r="76" s="241" customFormat="1" x14ac:dyDescent="0.25"/>
    <row r="77" s="241" customFormat="1" x14ac:dyDescent="0.25"/>
    <row r="78" s="241" customFormat="1" x14ac:dyDescent="0.25"/>
    <row r="79" s="241" customFormat="1" x14ac:dyDescent="0.25"/>
    <row r="80" s="241" customFormat="1" x14ac:dyDescent="0.25"/>
    <row r="81" s="241" customFormat="1" x14ac:dyDescent="0.25"/>
    <row r="82" s="241" customFormat="1" x14ac:dyDescent="0.25"/>
    <row r="83" s="241" customFormat="1" x14ac:dyDescent="0.25"/>
    <row r="84" s="241" customFormat="1" x14ac:dyDescent="0.25"/>
    <row r="85" s="241" customFormat="1" x14ac:dyDescent="0.25"/>
    <row r="86" s="241" customFormat="1" x14ac:dyDescent="0.25"/>
    <row r="87" s="241" customFormat="1" x14ac:dyDescent="0.25"/>
    <row r="88" s="241" customFormat="1" x14ac:dyDescent="0.25"/>
    <row r="89" s="241" customFormat="1" x14ac:dyDescent="0.25"/>
    <row r="90" s="241" customFormat="1" x14ac:dyDescent="0.25"/>
    <row r="91" s="241" customFormat="1" x14ac:dyDescent="0.25"/>
    <row r="92" s="241" customFormat="1" x14ac:dyDescent="0.25"/>
    <row r="93" s="241" customFormat="1" x14ac:dyDescent="0.25"/>
    <row r="94" s="241" customFormat="1" x14ac:dyDescent="0.25"/>
    <row r="95" s="241" customFormat="1" x14ac:dyDescent="0.25"/>
    <row r="96" s="241" customFormat="1" x14ac:dyDescent="0.25"/>
    <row r="97" s="241" customFormat="1" x14ac:dyDescent="0.25"/>
    <row r="98" s="241" customFormat="1" x14ac:dyDescent="0.25"/>
    <row r="99" s="241" customFormat="1" x14ac:dyDescent="0.25"/>
    <row r="100" s="241" customFormat="1" x14ac:dyDescent="0.25"/>
    <row r="101" s="241" customFormat="1" x14ac:dyDescent="0.25"/>
    <row r="102" s="241" customFormat="1" x14ac:dyDescent="0.25"/>
    <row r="103" s="241" customFormat="1" x14ac:dyDescent="0.25"/>
    <row r="104" s="241" customFormat="1" x14ac:dyDescent="0.25"/>
    <row r="105" s="241" customFormat="1" x14ac:dyDescent="0.25"/>
    <row r="106" s="241" customFormat="1" x14ac:dyDescent="0.25"/>
    <row r="107" s="241" customFormat="1" x14ac:dyDescent="0.25"/>
    <row r="108" s="241" customFormat="1" x14ac:dyDescent="0.25"/>
    <row r="109" s="241" customFormat="1" x14ac:dyDescent="0.25"/>
    <row r="110" s="241" customFormat="1" x14ac:dyDescent="0.25"/>
    <row r="111" s="241" customFormat="1" x14ac:dyDescent="0.25"/>
    <row r="112" s="241" customFormat="1" x14ac:dyDescent="0.25"/>
    <row r="113" s="241" customFormat="1" x14ac:dyDescent="0.25"/>
    <row r="114" s="241" customFormat="1" x14ac:dyDescent="0.25"/>
    <row r="115" s="241" customFormat="1" x14ac:dyDescent="0.25"/>
    <row r="116" s="241" customFormat="1" x14ac:dyDescent="0.25"/>
    <row r="117" s="241" customFormat="1" x14ac:dyDescent="0.25"/>
    <row r="118" s="241" customFormat="1" x14ac:dyDescent="0.25"/>
    <row r="119" s="241" customFormat="1" x14ac:dyDescent="0.25"/>
    <row r="120" s="241" customFormat="1" x14ac:dyDescent="0.25"/>
    <row r="121" s="241" customFormat="1" x14ac:dyDescent="0.25"/>
    <row r="122" s="241" customFormat="1" x14ac:dyDescent="0.25"/>
    <row r="123" s="241" customFormat="1" x14ac:dyDescent="0.25"/>
    <row r="124" s="241" customFormat="1" x14ac:dyDescent="0.25"/>
    <row r="125" s="241" customFormat="1" x14ac:dyDescent="0.25"/>
    <row r="126" s="241" customFormat="1" x14ac:dyDescent="0.25"/>
    <row r="127" s="241" customFormat="1" x14ac:dyDescent="0.25"/>
    <row r="128" s="241" customFormat="1" x14ac:dyDescent="0.25"/>
    <row r="129" s="241" customFormat="1" x14ac:dyDescent="0.25"/>
    <row r="130" s="241" customFormat="1" x14ac:dyDescent="0.25"/>
    <row r="131" s="241" customFormat="1" x14ac:dyDescent="0.25"/>
    <row r="132" s="241" customFormat="1" x14ac:dyDescent="0.25"/>
    <row r="133" s="241" customFormat="1" x14ac:dyDescent="0.25"/>
    <row r="134" s="241" customFormat="1" x14ac:dyDescent="0.25"/>
    <row r="135" s="241" customFormat="1" x14ac:dyDescent="0.25"/>
    <row r="136" s="241" customFormat="1" x14ac:dyDescent="0.25"/>
    <row r="137" s="241" customFormat="1" x14ac:dyDescent="0.25"/>
    <row r="138" s="241" customFormat="1" x14ac:dyDescent="0.25"/>
    <row r="139" s="241" customFormat="1" x14ac:dyDescent="0.25"/>
    <row r="140" s="241" customFormat="1" x14ac:dyDescent="0.25"/>
    <row r="141" s="241" customFormat="1" x14ac:dyDescent="0.25"/>
    <row r="142" s="241" customFormat="1" x14ac:dyDescent="0.25"/>
    <row r="143" s="241" customFormat="1" x14ac:dyDescent="0.25"/>
    <row r="144" s="241" customFormat="1" x14ac:dyDescent="0.25"/>
    <row r="145" s="241" customFormat="1" x14ac:dyDescent="0.25"/>
    <row r="146" s="241" customFormat="1" x14ac:dyDescent="0.25"/>
    <row r="147" s="241" customFormat="1" x14ac:dyDescent="0.25"/>
    <row r="148" s="241" customFormat="1" x14ac:dyDescent="0.25"/>
    <row r="149" s="241" customFormat="1" x14ac:dyDescent="0.25"/>
    <row r="150" s="241" customFormat="1" x14ac:dyDescent="0.25"/>
    <row r="151" s="241" customFormat="1" x14ac:dyDescent="0.25"/>
    <row r="152" s="241" customFormat="1" x14ac:dyDescent="0.25"/>
    <row r="153" s="241" customFormat="1" x14ac:dyDescent="0.25"/>
    <row r="154" s="241" customFormat="1" x14ac:dyDescent="0.25"/>
    <row r="155" s="241" customFormat="1" x14ac:dyDescent="0.25"/>
    <row r="156" s="241" customFormat="1" x14ac:dyDescent="0.25"/>
    <row r="157" s="241" customFormat="1" x14ac:dyDescent="0.25"/>
    <row r="158" s="241" customFormat="1" x14ac:dyDescent="0.25"/>
    <row r="159" s="241" customFormat="1" x14ac:dyDescent="0.25"/>
    <row r="160" s="241" customFormat="1" x14ac:dyDescent="0.25"/>
    <row r="161" s="241" customFormat="1" x14ac:dyDescent="0.25"/>
    <row r="162" s="241" customFormat="1" x14ac:dyDescent="0.25"/>
    <row r="163" s="241" customFormat="1" x14ac:dyDescent="0.25"/>
    <row r="164" s="241" customFormat="1" x14ac:dyDescent="0.25"/>
    <row r="165" s="241" customFormat="1" x14ac:dyDescent="0.25"/>
    <row r="166" s="241" customFormat="1" x14ac:dyDescent="0.25"/>
    <row r="167" s="241" customFormat="1" x14ac:dyDescent="0.25"/>
    <row r="168" s="241" customFormat="1" x14ac:dyDescent="0.25"/>
    <row r="169" s="241" customFormat="1" x14ac:dyDescent="0.25"/>
    <row r="170" s="241" customFormat="1" x14ac:dyDescent="0.25"/>
    <row r="171" s="241" customFormat="1" x14ac:dyDescent="0.25"/>
    <row r="172" s="241" customFormat="1" x14ac:dyDescent="0.25"/>
    <row r="173" s="241" customFormat="1" x14ac:dyDescent="0.25"/>
    <row r="174" s="241" customFormat="1" x14ac:dyDescent="0.25"/>
    <row r="175" s="241" customFormat="1" x14ac:dyDescent="0.25"/>
    <row r="176" s="241" customFormat="1" x14ac:dyDescent="0.25"/>
    <row r="177" s="241" customFormat="1" x14ac:dyDescent="0.25"/>
    <row r="178" s="241" customFormat="1" x14ac:dyDescent="0.25"/>
    <row r="179" s="241" customFormat="1" x14ac:dyDescent="0.25"/>
    <row r="180" s="241" customFormat="1" x14ac:dyDescent="0.25"/>
    <row r="181" s="241" customFormat="1" x14ac:dyDescent="0.25"/>
    <row r="182" s="241" customFormat="1" x14ac:dyDescent="0.25"/>
    <row r="183" s="241" customFormat="1" x14ac:dyDescent="0.25"/>
    <row r="184" s="241" customFormat="1" x14ac:dyDescent="0.25"/>
    <row r="185" s="241" customForma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W48"/>
  <sheetViews>
    <sheetView tabSelected="1" zoomScale="85" zoomScaleNormal="85" workbookViewId="0">
      <pane ySplit="2" topLeftCell="A3" activePane="bottomLeft" state="frozen"/>
      <selection pane="bottomLeft" activeCell="S29" sqref="S29"/>
    </sheetView>
  </sheetViews>
  <sheetFormatPr defaultRowHeight="13.2" x14ac:dyDescent="0.25"/>
  <cols>
    <col min="1" max="1" width="18.77734375" customWidth="1"/>
    <col min="2" max="2" width="5.77734375" style="5" customWidth="1"/>
    <col min="3" max="3" width="6.33203125" style="5" customWidth="1"/>
    <col min="4" max="4" width="6.5546875" style="5" customWidth="1"/>
    <col min="5" max="22" width="7.5546875" style="5" customWidth="1"/>
    <col min="23" max="25" width="9.77734375" style="414" customWidth="1"/>
    <col min="26" max="27" width="11.77734375" style="410" customWidth="1"/>
    <col min="28" max="29" width="8.88671875" style="5"/>
  </cols>
  <sheetData>
    <row r="1" spans="1:101" s="121" customFormat="1" ht="30" customHeight="1" thickBot="1" x14ac:dyDescent="0.3">
      <c r="A1" s="415" t="s">
        <v>684</v>
      </c>
      <c r="B1" s="121" t="s">
        <v>685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11"/>
      <c r="X1" s="411"/>
      <c r="Y1" s="411"/>
      <c r="Z1" s="408"/>
      <c r="AA1" s="408"/>
      <c r="AB1" s="407"/>
      <c r="AC1" s="407"/>
    </row>
    <row r="2" spans="1:101" s="91" customFormat="1" ht="28.5" customHeight="1" thickBot="1" x14ac:dyDescent="0.3">
      <c r="A2" s="87" t="s">
        <v>0</v>
      </c>
      <c r="B2" s="88" t="s">
        <v>1</v>
      </c>
      <c r="C2" s="89" t="s">
        <v>29</v>
      </c>
      <c r="D2" s="89" t="s">
        <v>159</v>
      </c>
      <c r="E2" s="89" t="s">
        <v>103</v>
      </c>
      <c r="F2" s="95" t="s">
        <v>157</v>
      </c>
      <c r="G2" s="90" t="s">
        <v>22</v>
      </c>
      <c r="H2" s="90" t="s">
        <v>23</v>
      </c>
      <c r="I2" s="90" t="s">
        <v>24</v>
      </c>
      <c r="J2" s="90" t="s">
        <v>25</v>
      </c>
      <c r="K2" s="89" t="s">
        <v>11</v>
      </c>
      <c r="L2" s="90" t="s">
        <v>12</v>
      </c>
      <c r="M2" s="90" t="s">
        <v>13</v>
      </c>
      <c r="N2" s="90" t="s">
        <v>14</v>
      </c>
      <c r="O2" s="90" t="s">
        <v>113</v>
      </c>
      <c r="P2" s="89" t="s">
        <v>15</v>
      </c>
      <c r="Q2" s="89" t="s">
        <v>16</v>
      </c>
      <c r="R2" s="90" t="s">
        <v>17</v>
      </c>
      <c r="S2" s="90" t="s">
        <v>18</v>
      </c>
      <c r="T2" s="90" t="s">
        <v>19</v>
      </c>
      <c r="U2" s="90" t="s">
        <v>20</v>
      </c>
      <c r="V2" s="90" t="s">
        <v>21</v>
      </c>
      <c r="W2" s="412" t="s">
        <v>68</v>
      </c>
      <c r="X2" s="413" t="s">
        <v>90</v>
      </c>
      <c r="Y2" s="413" t="s">
        <v>95</v>
      </c>
      <c r="Z2" s="409" t="s">
        <v>135</v>
      </c>
      <c r="AA2" s="409" t="s">
        <v>30</v>
      </c>
      <c r="AB2" s="89" t="s">
        <v>136</v>
      </c>
      <c r="AC2" s="105" t="s">
        <v>44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3" spans="1:101" x14ac:dyDescent="0.25">
      <c r="A3" t="s">
        <v>659</v>
      </c>
      <c r="B3" s="5">
        <v>12</v>
      </c>
      <c r="C3" s="5" t="s">
        <v>669</v>
      </c>
      <c r="D3" s="5">
        <v>64</v>
      </c>
      <c r="E3" s="5">
        <v>67.5</v>
      </c>
      <c r="F3" s="5">
        <v>0.93805000000000005</v>
      </c>
      <c r="G3" s="5">
        <v>47.5</v>
      </c>
      <c r="H3" s="5">
        <v>-52.5</v>
      </c>
      <c r="I3" s="5">
        <v>-52.5</v>
      </c>
      <c r="K3" s="5">
        <v>47.5</v>
      </c>
      <c r="L3" s="5">
        <v>27.5</v>
      </c>
      <c r="M3" s="5">
        <v>30</v>
      </c>
      <c r="N3" s="5">
        <v>-32.5</v>
      </c>
      <c r="P3" s="5">
        <v>30</v>
      </c>
      <c r="Q3" s="5">
        <v>77.5</v>
      </c>
      <c r="R3" s="5">
        <v>-67.5</v>
      </c>
      <c r="S3" s="5">
        <v>67.5</v>
      </c>
      <c r="T3" s="5">
        <v>72.5</v>
      </c>
      <c r="V3" s="5">
        <v>72.5</v>
      </c>
      <c r="W3" s="414">
        <v>150</v>
      </c>
      <c r="X3" s="414">
        <v>140.70750000000001</v>
      </c>
      <c r="Y3" s="414">
        <v>0</v>
      </c>
      <c r="Z3" s="410">
        <v>1</v>
      </c>
      <c r="AA3" s="410" t="s">
        <v>671</v>
      </c>
      <c r="AB3" s="5">
        <v>3</v>
      </c>
    </row>
    <row r="4" spans="1:101" s="248" customFormat="1" x14ac:dyDescent="0.25">
      <c r="A4" s="248" t="s">
        <v>666</v>
      </c>
      <c r="B4" s="417">
        <v>55</v>
      </c>
      <c r="C4" s="417" t="s">
        <v>316</v>
      </c>
      <c r="D4" s="417">
        <v>81</v>
      </c>
      <c r="E4" s="417">
        <v>82.5</v>
      </c>
      <c r="F4" s="417">
        <v>0.79554999999999998</v>
      </c>
      <c r="G4" s="417">
        <v>190</v>
      </c>
      <c r="H4" s="417">
        <v>-195</v>
      </c>
      <c r="I4" s="417">
        <v>0</v>
      </c>
      <c r="J4" s="417"/>
      <c r="K4" s="417">
        <v>190</v>
      </c>
      <c r="L4" s="417">
        <v>105</v>
      </c>
      <c r="M4" s="417">
        <v>112.5</v>
      </c>
      <c r="N4" s="417">
        <v>115</v>
      </c>
      <c r="O4" s="417"/>
      <c r="P4" s="417">
        <v>115</v>
      </c>
      <c r="Q4" s="417">
        <v>305</v>
      </c>
      <c r="R4" s="417">
        <v>147.5</v>
      </c>
      <c r="S4" s="417">
        <v>170</v>
      </c>
      <c r="T4" s="417">
        <v>-185</v>
      </c>
      <c r="U4" s="417"/>
      <c r="V4" s="417">
        <v>170</v>
      </c>
      <c r="W4" s="421">
        <v>475</v>
      </c>
      <c r="X4" s="421">
        <v>377.88625000000002</v>
      </c>
      <c r="Y4" s="421">
        <v>462.91065625000005</v>
      </c>
      <c r="Z4" s="419">
        <v>1</v>
      </c>
      <c r="AA4" s="419" t="s">
        <v>675</v>
      </c>
      <c r="AB4" s="417">
        <v>3</v>
      </c>
      <c r="AC4" s="417" t="s">
        <v>658</v>
      </c>
    </row>
    <row r="5" spans="1:101" s="248" customFormat="1" x14ac:dyDescent="0.25">
      <c r="A5" s="248" t="s">
        <v>662</v>
      </c>
      <c r="B5" s="417">
        <v>14</v>
      </c>
      <c r="C5" s="417" t="s">
        <v>515</v>
      </c>
      <c r="D5" s="417">
        <v>67.2</v>
      </c>
      <c r="E5" s="417">
        <v>67.5</v>
      </c>
      <c r="F5" s="417">
        <v>0.90280000000000005</v>
      </c>
      <c r="G5" s="417">
        <v>97.5</v>
      </c>
      <c r="H5" s="417">
        <v>102.5</v>
      </c>
      <c r="I5" s="417">
        <v>107.5</v>
      </c>
      <c r="J5" s="417"/>
      <c r="K5" s="417">
        <v>107.5</v>
      </c>
      <c r="L5" s="417">
        <v>42.5</v>
      </c>
      <c r="M5" s="417">
        <v>45</v>
      </c>
      <c r="N5" s="417">
        <v>-50</v>
      </c>
      <c r="O5" s="417"/>
      <c r="P5" s="417">
        <v>45</v>
      </c>
      <c r="Q5" s="417">
        <v>152.5</v>
      </c>
      <c r="R5" s="417">
        <v>97.5</v>
      </c>
      <c r="S5" s="417">
        <v>102.5</v>
      </c>
      <c r="T5" s="417">
        <v>107.5</v>
      </c>
      <c r="U5" s="417"/>
      <c r="V5" s="417">
        <v>107.5</v>
      </c>
      <c r="W5" s="421">
        <v>260</v>
      </c>
      <c r="X5" s="421">
        <v>234.72800000000001</v>
      </c>
      <c r="Y5" s="421">
        <v>0</v>
      </c>
      <c r="Z5" s="419">
        <v>1</v>
      </c>
      <c r="AA5" s="419" t="s">
        <v>672</v>
      </c>
      <c r="AB5" s="417">
        <v>3</v>
      </c>
      <c r="AC5" s="417"/>
    </row>
    <row r="6" spans="1:101" s="248" customFormat="1" x14ac:dyDescent="0.25">
      <c r="A6" s="248" t="s">
        <v>660</v>
      </c>
      <c r="B6" s="417">
        <v>71</v>
      </c>
      <c r="C6" s="417" t="s">
        <v>246</v>
      </c>
      <c r="D6" s="417">
        <v>97</v>
      </c>
      <c r="E6" s="417">
        <v>100</v>
      </c>
      <c r="F6" s="417">
        <v>0.58909999999999996</v>
      </c>
      <c r="G6" s="417">
        <v>115</v>
      </c>
      <c r="H6" s="417">
        <v>120</v>
      </c>
      <c r="I6" s="417">
        <v>127.5</v>
      </c>
      <c r="J6" s="417"/>
      <c r="K6" s="417">
        <v>127.5</v>
      </c>
      <c r="L6" s="417">
        <v>-145</v>
      </c>
      <c r="M6" s="417">
        <v>145</v>
      </c>
      <c r="N6" s="417">
        <v>-155</v>
      </c>
      <c r="O6" s="417"/>
      <c r="P6" s="417">
        <v>145</v>
      </c>
      <c r="Q6" s="417">
        <v>272.5</v>
      </c>
      <c r="R6" s="417">
        <v>-160</v>
      </c>
      <c r="S6" s="417">
        <v>170</v>
      </c>
      <c r="T6" s="417">
        <v>182.5</v>
      </c>
      <c r="U6" s="417"/>
      <c r="V6" s="417">
        <v>182.5</v>
      </c>
      <c r="W6" s="421">
        <v>455</v>
      </c>
      <c r="X6" s="421">
        <v>268.04050000000001</v>
      </c>
      <c r="Y6" s="421">
        <v>450.57608050000005</v>
      </c>
      <c r="Z6" s="419">
        <v>1</v>
      </c>
      <c r="AA6" s="419" t="s">
        <v>674</v>
      </c>
      <c r="AB6" s="417">
        <v>3</v>
      </c>
      <c r="AC6" s="417"/>
    </row>
    <row r="7" spans="1:101" s="248" customFormat="1" x14ac:dyDescent="0.25">
      <c r="A7" s="248" t="s">
        <v>664</v>
      </c>
      <c r="B7" s="417">
        <v>69</v>
      </c>
      <c r="C7" s="417" t="s">
        <v>240</v>
      </c>
      <c r="D7" s="417">
        <v>98</v>
      </c>
      <c r="E7" s="417">
        <v>100</v>
      </c>
      <c r="F7" s="417">
        <v>0.58635000000000004</v>
      </c>
      <c r="G7" s="417">
        <v>175</v>
      </c>
      <c r="H7" s="417">
        <v>197.5</v>
      </c>
      <c r="I7" s="417">
        <v>0</v>
      </c>
      <c r="J7" s="417"/>
      <c r="K7" s="417">
        <v>197.5</v>
      </c>
      <c r="L7" s="417">
        <v>92.5</v>
      </c>
      <c r="M7" s="417">
        <v>100</v>
      </c>
      <c r="N7" s="417">
        <v>0</v>
      </c>
      <c r="O7" s="417"/>
      <c r="P7" s="417">
        <v>100</v>
      </c>
      <c r="Q7" s="417">
        <v>297.5</v>
      </c>
      <c r="R7" s="417">
        <v>-175</v>
      </c>
      <c r="S7" s="417">
        <v>175</v>
      </c>
      <c r="T7" s="417">
        <v>0</v>
      </c>
      <c r="U7" s="417"/>
      <c r="V7" s="417">
        <v>175</v>
      </c>
      <c r="W7" s="421">
        <v>472.5</v>
      </c>
      <c r="X7" s="421">
        <v>277.05037500000003</v>
      </c>
      <c r="Y7" s="421">
        <v>446.0511037500001</v>
      </c>
      <c r="Z7" s="419">
        <v>1</v>
      </c>
      <c r="AA7" s="419" t="s">
        <v>679</v>
      </c>
      <c r="AB7" s="417">
        <v>3</v>
      </c>
      <c r="AC7" s="417"/>
    </row>
    <row r="8" spans="1:101" s="247" customFormat="1" x14ac:dyDescent="0.25">
      <c r="A8" s="247" t="s">
        <v>665</v>
      </c>
      <c r="B8" s="416">
        <v>55</v>
      </c>
      <c r="C8" s="416" t="s">
        <v>228</v>
      </c>
      <c r="D8" s="416">
        <v>97.6</v>
      </c>
      <c r="E8" s="416">
        <v>100</v>
      </c>
      <c r="F8" s="416">
        <v>0.58745000000000003</v>
      </c>
      <c r="G8" s="416">
        <v>275</v>
      </c>
      <c r="H8" s="416">
        <v>295</v>
      </c>
      <c r="I8" s="416">
        <v>305</v>
      </c>
      <c r="J8" s="416"/>
      <c r="K8" s="416">
        <v>305</v>
      </c>
      <c r="L8" s="416">
        <v>170</v>
      </c>
      <c r="M8" s="416">
        <v>192.5</v>
      </c>
      <c r="N8" s="416">
        <v>-205</v>
      </c>
      <c r="O8" s="416"/>
      <c r="P8" s="416">
        <v>192.5</v>
      </c>
      <c r="Q8" s="416">
        <v>497.5</v>
      </c>
      <c r="R8" s="416">
        <v>227.5</v>
      </c>
      <c r="S8" s="416">
        <v>250</v>
      </c>
      <c r="T8" s="416">
        <v>260</v>
      </c>
      <c r="U8" s="416"/>
      <c r="V8" s="416">
        <v>260</v>
      </c>
      <c r="W8" s="420">
        <v>757.5</v>
      </c>
      <c r="X8" s="420">
        <v>444.99337500000001</v>
      </c>
      <c r="Y8" s="420">
        <v>545.11688437500004</v>
      </c>
      <c r="Z8" s="418">
        <v>1</v>
      </c>
      <c r="AA8" s="418" t="s">
        <v>678</v>
      </c>
      <c r="AB8" s="416">
        <v>3</v>
      </c>
      <c r="AC8" s="416"/>
    </row>
    <row r="9" spans="1:101" s="248" customFormat="1" x14ac:dyDescent="0.25">
      <c r="A9" s="248" t="s">
        <v>661</v>
      </c>
      <c r="B9" s="417">
        <v>49</v>
      </c>
      <c r="C9" s="417" t="s">
        <v>425</v>
      </c>
      <c r="D9" s="417">
        <v>109.8</v>
      </c>
      <c r="E9" s="417">
        <v>110</v>
      </c>
      <c r="F9" s="417">
        <v>0.56274999999999997</v>
      </c>
      <c r="G9" s="417">
        <v>192.5</v>
      </c>
      <c r="H9" s="417">
        <v>205</v>
      </c>
      <c r="I9" s="417">
        <v>-210</v>
      </c>
      <c r="J9" s="417"/>
      <c r="K9" s="417">
        <v>205</v>
      </c>
      <c r="L9" s="417">
        <v>102.5</v>
      </c>
      <c r="M9" s="417">
        <v>115</v>
      </c>
      <c r="N9" s="417">
        <v>120</v>
      </c>
      <c r="O9" s="417"/>
      <c r="P9" s="417">
        <v>120</v>
      </c>
      <c r="Q9" s="417">
        <v>325</v>
      </c>
      <c r="R9" s="417">
        <v>192.5</v>
      </c>
      <c r="S9" s="417">
        <v>205</v>
      </c>
      <c r="T9" s="417">
        <v>-210</v>
      </c>
      <c r="U9" s="417"/>
      <c r="V9" s="417">
        <v>205</v>
      </c>
      <c r="W9" s="421">
        <v>530</v>
      </c>
      <c r="X9" s="421">
        <v>298.25749999999999</v>
      </c>
      <c r="Y9" s="421">
        <v>331.96059750000001</v>
      </c>
      <c r="Z9" s="419">
        <v>1</v>
      </c>
      <c r="AA9" s="419" t="s">
        <v>676</v>
      </c>
      <c r="AB9" s="417">
        <v>3</v>
      </c>
      <c r="AC9" s="417"/>
    </row>
    <row r="10" spans="1:101" s="248" customFormat="1" x14ac:dyDescent="0.25">
      <c r="A10" s="248" t="s">
        <v>655</v>
      </c>
      <c r="B10" s="417">
        <v>34</v>
      </c>
      <c r="C10" s="417" t="s">
        <v>200</v>
      </c>
      <c r="D10" s="417">
        <v>90.8</v>
      </c>
      <c r="E10" s="417">
        <v>100</v>
      </c>
      <c r="F10" s="417">
        <v>0.6089500000000001</v>
      </c>
      <c r="G10" s="417">
        <v>185</v>
      </c>
      <c r="H10" s="417">
        <v>-192.5</v>
      </c>
      <c r="I10" s="417">
        <v>-192.5</v>
      </c>
      <c r="J10" s="417"/>
      <c r="K10" s="417">
        <v>185</v>
      </c>
      <c r="L10" s="417">
        <v>125</v>
      </c>
      <c r="M10" s="417">
        <v>145</v>
      </c>
      <c r="N10" s="417">
        <v>150</v>
      </c>
      <c r="O10" s="417"/>
      <c r="P10" s="417">
        <v>150</v>
      </c>
      <c r="Q10" s="417">
        <v>335</v>
      </c>
      <c r="R10" s="417">
        <v>210</v>
      </c>
      <c r="S10" s="417">
        <v>235</v>
      </c>
      <c r="T10" s="417">
        <v>240</v>
      </c>
      <c r="U10" s="417"/>
      <c r="V10" s="417">
        <v>240</v>
      </c>
      <c r="W10" s="421">
        <v>575</v>
      </c>
      <c r="X10" s="421">
        <v>350.14625000000007</v>
      </c>
      <c r="Y10" s="421">
        <v>0</v>
      </c>
      <c r="Z10" s="419">
        <v>1</v>
      </c>
      <c r="AA10" s="419" t="s">
        <v>677</v>
      </c>
      <c r="AB10" s="417">
        <v>3</v>
      </c>
      <c r="AC10" s="417"/>
    </row>
    <row r="11" spans="1:101" s="248" customFormat="1" x14ac:dyDescent="0.25">
      <c r="A11" s="248" t="s">
        <v>657</v>
      </c>
      <c r="B11" s="417">
        <v>25</v>
      </c>
      <c r="C11" s="417" t="s">
        <v>355</v>
      </c>
      <c r="D11" s="417">
        <v>87.8</v>
      </c>
      <c r="E11" s="417">
        <v>90</v>
      </c>
      <c r="F11" s="417">
        <v>0.62050000000000005</v>
      </c>
      <c r="G11" s="417">
        <v>170</v>
      </c>
      <c r="H11" s="417">
        <v>182.5</v>
      </c>
      <c r="I11" s="417">
        <v>0</v>
      </c>
      <c r="J11" s="417"/>
      <c r="K11" s="417">
        <v>182.5</v>
      </c>
      <c r="L11" s="417">
        <v>102.5</v>
      </c>
      <c r="M11" s="417">
        <v>-110</v>
      </c>
      <c r="N11" s="417">
        <v>-117.5</v>
      </c>
      <c r="O11" s="417"/>
      <c r="P11" s="417">
        <v>102.5</v>
      </c>
      <c r="Q11" s="417">
        <v>285</v>
      </c>
      <c r="R11" s="417">
        <v>162.5</v>
      </c>
      <c r="S11" s="417">
        <v>172.5</v>
      </c>
      <c r="T11" s="417">
        <v>175</v>
      </c>
      <c r="U11" s="417"/>
      <c r="V11" s="417">
        <v>175</v>
      </c>
      <c r="W11" s="421">
        <v>460</v>
      </c>
      <c r="X11" s="421">
        <v>285.43</v>
      </c>
      <c r="Y11" s="421">
        <v>0</v>
      </c>
      <c r="Z11" s="419">
        <v>1</v>
      </c>
      <c r="AA11" s="419" t="s">
        <v>673</v>
      </c>
      <c r="AB11" s="417">
        <v>3</v>
      </c>
      <c r="AC11" s="417"/>
    </row>
    <row r="12" spans="1:101" s="248" customFormat="1" x14ac:dyDescent="0.25">
      <c r="A12" s="248" t="s">
        <v>654</v>
      </c>
      <c r="B12" s="417">
        <v>46</v>
      </c>
      <c r="C12" s="417" t="s">
        <v>355</v>
      </c>
      <c r="D12" s="417">
        <v>107.9</v>
      </c>
      <c r="E12" s="417">
        <v>110</v>
      </c>
      <c r="F12" s="417">
        <v>0.56640000000000001</v>
      </c>
      <c r="G12" s="417">
        <v>227.5</v>
      </c>
      <c r="H12" s="417">
        <v>250</v>
      </c>
      <c r="I12" s="417">
        <v>-275</v>
      </c>
      <c r="J12" s="417"/>
      <c r="K12" s="417">
        <v>250</v>
      </c>
      <c r="L12" s="417">
        <v>157.5</v>
      </c>
      <c r="M12" s="417">
        <v>167.5</v>
      </c>
      <c r="N12" s="417">
        <v>172.5</v>
      </c>
      <c r="O12" s="417"/>
      <c r="P12" s="417">
        <v>172.5</v>
      </c>
      <c r="Q12" s="417">
        <v>422.5</v>
      </c>
      <c r="R12" s="417">
        <v>227.5</v>
      </c>
      <c r="S12" s="417">
        <v>237.5</v>
      </c>
      <c r="T12" s="417">
        <v>0</v>
      </c>
      <c r="U12" s="417"/>
      <c r="V12" s="417">
        <v>237.5</v>
      </c>
      <c r="W12" s="421">
        <v>660</v>
      </c>
      <c r="X12" s="421">
        <v>373.82400000000001</v>
      </c>
      <c r="Y12" s="421">
        <v>399.24403200000006</v>
      </c>
      <c r="Z12" s="419">
        <v>1</v>
      </c>
      <c r="AA12" s="419" t="s">
        <v>680</v>
      </c>
      <c r="AB12" s="417">
        <v>3</v>
      </c>
      <c r="AC12" s="417"/>
    </row>
    <row r="13" spans="1:101" s="248" customFormat="1" x14ac:dyDescent="0.25">
      <c r="A13" s="248" t="s">
        <v>656</v>
      </c>
      <c r="B13" s="417">
        <v>25</v>
      </c>
      <c r="C13" s="417" t="s">
        <v>355</v>
      </c>
      <c r="D13" s="417">
        <v>155.4</v>
      </c>
      <c r="E13" s="417" t="s">
        <v>81</v>
      </c>
      <c r="F13" s="417">
        <v>0.51900000000000002</v>
      </c>
      <c r="G13" s="417">
        <v>305</v>
      </c>
      <c r="H13" s="417">
        <v>330</v>
      </c>
      <c r="I13" s="417">
        <v>-340</v>
      </c>
      <c r="J13" s="417"/>
      <c r="K13" s="417">
        <v>330</v>
      </c>
      <c r="L13" s="417">
        <v>182.5</v>
      </c>
      <c r="M13" s="417">
        <v>192.5</v>
      </c>
      <c r="N13" s="417">
        <v>200</v>
      </c>
      <c r="O13" s="417"/>
      <c r="P13" s="417">
        <v>200</v>
      </c>
      <c r="Q13" s="417">
        <v>530</v>
      </c>
      <c r="R13" s="417">
        <v>265</v>
      </c>
      <c r="S13" s="417">
        <v>0</v>
      </c>
      <c r="T13" s="417">
        <v>0</v>
      </c>
      <c r="U13" s="417"/>
      <c r="V13" s="417">
        <v>265</v>
      </c>
      <c r="W13" s="421">
        <v>795</v>
      </c>
      <c r="X13" s="421">
        <v>412.60500000000002</v>
      </c>
      <c r="Y13" s="421">
        <v>0</v>
      </c>
      <c r="Z13" s="419">
        <v>1</v>
      </c>
      <c r="AA13" s="419" t="s">
        <v>681</v>
      </c>
      <c r="AB13" s="417">
        <v>3</v>
      </c>
      <c r="AC13" s="417"/>
    </row>
    <row r="14" spans="1:101" s="248" customFormat="1" ht="22.8" x14ac:dyDescent="0.25">
      <c r="A14" s="121"/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11"/>
      <c r="X14" s="411"/>
      <c r="Y14" s="411"/>
      <c r="Z14" s="408"/>
      <c r="AA14" s="408"/>
      <c r="AB14" s="407"/>
      <c r="AC14" s="407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</row>
    <row r="15" spans="1:101" s="121" customFormat="1" ht="30" customHeight="1" thickBot="1" x14ac:dyDescent="0.3">
      <c r="A15" s="415"/>
      <c r="B15" s="121" t="s">
        <v>686</v>
      </c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11"/>
      <c r="X15" s="411"/>
      <c r="Y15" s="411"/>
      <c r="Z15" s="408"/>
      <c r="AA15" s="408"/>
      <c r="AB15" s="407"/>
      <c r="AC15" s="407"/>
    </row>
    <row r="16" spans="1:101" s="248" customFormat="1" ht="27" thickBot="1" x14ac:dyDescent="0.3">
      <c r="A16" s="87" t="s">
        <v>0</v>
      </c>
      <c r="B16" s="88" t="s">
        <v>1</v>
      </c>
      <c r="C16" s="89" t="s">
        <v>29</v>
      </c>
      <c r="D16" s="89" t="s">
        <v>159</v>
      </c>
      <c r="E16" s="89" t="s">
        <v>103</v>
      </c>
      <c r="F16" s="422" t="s">
        <v>157</v>
      </c>
      <c r="G16" s="90" t="s">
        <v>22</v>
      </c>
      <c r="H16" s="90" t="s">
        <v>23</v>
      </c>
      <c r="I16" s="90" t="s">
        <v>24</v>
      </c>
      <c r="J16" s="90" t="s">
        <v>25</v>
      </c>
      <c r="K16" s="89" t="s">
        <v>11</v>
      </c>
      <c r="L16" s="90" t="s">
        <v>12</v>
      </c>
      <c r="M16" s="90" t="s">
        <v>13</v>
      </c>
      <c r="N16" s="90" t="s">
        <v>14</v>
      </c>
      <c r="O16" s="90" t="s">
        <v>113</v>
      </c>
      <c r="P16" s="89" t="s">
        <v>15</v>
      </c>
      <c r="Q16" s="89" t="s">
        <v>16</v>
      </c>
      <c r="R16" s="90" t="s">
        <v>17</v>
      </c>
      <c r="S16" s="90" t="s">
        <v>18</v>
      </c>
      <c r="T16" s="90" t="s">
        <v>19</v>
      </c>
      <c r="U16" s="90" t="s">
        <v>20</v>
      </c>
      <c r="V16" s="90" t="s">
        <v>21</v>
      </c>
      <c r="W16" s="423" t="s">
        <v>68</v>
      </c>
      <c r="X16" s="413" t="s">
        <v>90</v>
      </c>
      <c r="Y16" s="413" t="s">
        <v>95</v>
      </c>
      <c r="Z16" s="409" t="s">
        <v>135</v>
      </c>
      <c r="AA16" s="409" t="s">
        <v>30</v>
      </c>
      <c r="AB16" s="89" t="s">
        <v>136</v>
      </c>
      <c r="AC16" s="105" t="s">
        <v>44</v>
      </c>
    </row>
    <row r="17" spans="1:29" s="248" customFormat="1" x14ac:dyDescent="0.25">
      <c r="A17" s="248" t="s">
        <v>659</v>
      </c>
      <c r="B17" s="417">
        <v>12</v>
      </c>
      <c r="C17" s="417" t="s">
        <v>669</v>
      </c>
      <c r="D17" s="417">
        <v>64</v>
      </c>
      <c r="E17" s="417">
        <v>67.5</v>
      </c>
      <c r="F17" s="417">
        <v>0.93805000000000005</v>
      </c>
      <c r="G17" s="417">
        <v>104.71850000000001</v>
      </c>
      <c r="H17" s="417">
        <v>-115.7415</v>
      </c>
      <c r="I17" s="417">
        <v>-115.7415</v>
      </c>
      <c r="J17" s="417">
        <v>0</v>
      </c>
      <c r="K17" s="417">
        <v>104.71850000000001</v>
      </c>
      <c r="L17" s="417">
        <v>60.6265</v>
      </c>
      <c r="M17" s="417">
        <v>66.138000000000005</v>
      </c>
      <c r="N17" s="417">
        <v>-71.649500000000003</v>
      </c>
      <c r="O17" s="417">
        <v>0</v>
      </c>
      <c r="P17" s="417">
        <v>66.138000000000005</v>
      </c>
      <c r="Q17" s="417">
        <v>170.85650000000001</v>
      </c>
      <c r="R17" s="417">
        <v>-148.81050000000002</v>
      </c>
      <c r="S17" s="417">
        <v>148.81050000000002</v>
      </c>
      <c r="T17" s="417">
        <v>159.83350000000002</v>
      </c>
      <c r="U17" s="417">
        <v>0</v>
      </c>
      <c r="V17" s="417">
        <v>159.83350000000002</v>
      </c>
      <c r="W17" s="421">
        <v>330.69</v>
      </c>
      <c r="X17" s="421">
        <v>140.70750000000001</v>
      </c>
      <c r="Y17" s="421">
        <v>0</v>
      </c>
      <c r="Z17" s="419">
        <v>1</v>
      </c>
      <c r="AA17" s="419" t="s">
        <v>671</v>
      </c>
      <c r="AB17" s="417">
        <v>3</v>
      </c>
      <c r="AC17" s="417"/>
    </row>
    <row r="18" spans="1:29" s="248" customFormat="1" x14ac:dyDescent="0.25">
      <c r="A18" s="248" t="s">
        <v>666</v>
      </c>
      <c r="B18" s="417">
        <v>55</v>
      </c>
      <c r="C18" s="417" t="s">
        <v>316</v>
      </c>
      <c r="D18" s="417">
        <v>81</v>
      </c>
      <c r="E18" s="417">
        <v>82.5</v>
      </c>
      <c r="F18" s="417">
        <v>0.79554999999999998</v>
      </c>
      <c r="G18" s="417">
        <v>418.87400000000002</v>
      </c>
      <c r="H18" s="417">
        <v>-429.89700000000005</v>
      </c>
      <c r="I18" s="417">
        <v>0</v>
      </c>
      <c r="J18" s="417">
        <v>0</v>
      </c>
      <c r="K18" s="417">
        <v>418.87400000000002</v>
      </c>
      <c r="L18" s="417">
        <v>231.483</v>
      </c>
      <c r="M18" s="417">
        <v>248.01750000000001</v>
      </c>
      <c r="N18" s="417">
        <v>253.52900000000002</v>
      </c>
      <c r="O18" s="417">
        <v>0</v>
      </c>
      <c r="P18" s="417">
        <v>253.52900000000002</v>
      </c>
      <c r="Q18" s="417">
        <v>672.40300000000002</v>
      </c>
      <c r="R18" s="417">
        <v>325.17850000000004</v>
      </c>
      <c r="S18" s="417">
        <v>374.78200000000004</v>
      </c>
      <c r="T18" s="417">
        <v>-407.851</v>
      </c>
      <c r="U18" s="417">
        <v>0</v>
      </c>
      <c r="V18" s="417">
        <v>374.78200000000004</v>
      </c>
      <c r="W18" s="421">
        <v>1047.1849999999999</v>
      </c>
      <c r="X18" s="421">
        <v>377.88625000000002</v>
      </c>
      <c r="Y18" s="421">
        <v>462.91065625000005</v>
      </c>
      <c r="Z18" s="419">
        <v>1</v>
      </c>
      <c r="AA18" s="419" t="s">
        <v>675</v>
      </c>
      <c r="AB18" s="417">
        <v>3</v>
      </c>
      <c r="AC18" s="417" t="s">
        <v>658</v>
      </c>
    </row>
    <row r="19" spans="1:29" s="248" customFormat="1" x14ac:dyDescent="0.25">
      <c r="A19" s="248" t="s">
        <v>662</v>
      </c>
      <c r="B19" s="417">
        <v>14</v>
      </c>
      <c r="C19" s="417" t="s">
        <v>515</v>
      </c>
      <c r="D19" s="417">
        <v>67.2</v>
      </c>
      <c r="E19" s="417">
        <v>67.5</v>
      </c>
      <c r="F19" s="417">
        <v>0.90280000000000005</v>
      </c>
      <c r="G19" s="417">
        <v>214.94850000000002</v>
      </c>
      <c r="H19" s="417">
        <v>225.97150000000002</v>
      </c>
      <c r="I19" s="417">
        <v>236.99450000000002</v>
      </c>
      <c r="J19" s="417">
        <v>0</v>
      </c>
      <c r="K19" s="417">
        <v>236.99450000000002</v>
      </c>
      <c r="L19" s="417">
        <v>93.69550000000001</v>
      </c>
      <c r="M19" s="417">
        <v>99.207000000000008</v>
      </c>
      <c r="N19" s="417">
        <v>-110.23</v>
      </c>
      <c r="O19" s="417">
        <v>0</v>
      </c>
      <c r="P19" s="417">
        <v>99.207000000000008</v>
      </c>
      <c r="Q19" s="417">
        <v>336.20150000000001</v>
      </c>
      <c r="R19" s="417">
        <v>214.94850000000002</v>
      </c>
      <c r="S19" s="417">
        <v>225.97150000000002</v>
      </c>
      <c r="T19" s="417">
        <v>236.99450000000002</v>
      </c>
      <c r="U19" s="417">
        <v>0</v>
      </c>
      <c r="V19" s="417">
        <v>236.99450000000002</v>
      </c>
      <c r="W19" s="421">
        <v>573.19600000000003</v>
      </c>
      <c r="X19" s="421">
        <v>234.72800000000001</v>
      </c>
      <c r="Y19" s="421">
        <v>0</v>
      </c>
      <c r="Z19" s="419">
        <v>1</v>
      </c>
      <c r="AA19" s="419" t="s">
        <v>672</v>
      </c>
      <c r="AB19" s="417">
        <v>3</v>
      </c>
      <c r="AC19" s="417"/>
    </row>
    <row r="20" spans="1:29" s="248" customFormat="1" x14ac:dyDescent="0.25">
      <c r="A20" s="248" t="s">
        <v>660</v>
      </c>
      <c r="B20" s="417">
        <v>71</v>
      </c>
      <c r="C20" s="417" t="s">
        <v>246</v>
      </c>
      <c r="D20" s="417">
        <v>97</v>
      </c>
      <c r="E20" s="417">
        <v>100</v>
      </c>
      <c r="F20" s="417">
        <v>0.58909999999999996</v>
      </c>
      <c r="G20" s="417">
        <v>253.52900000000002</v>
      </c>
      <c r="H20" s="417">
        <v>264.55200000000002</v>
      </c>
      <c r="I20" s="417">
        <v>281.0865</v>
      </c>
      <c r="J20" s="417">
        <v>0</v>
      </c>
      <c r="K20" s="417">
        <v>281.0865</v>
      </c>
      <c r="L20" s="417">
        <v>-319.66700000000003</v>
      </c>
      <c r="M20" s="417">
        <v>319.66700000000003</v>
      </c>
      <c r="N20" s="417">
        <v>-341.71300000000002</v>
      </c>
      <c r="O20" s="417">
        <v>0</v>
      </c>
      <c r="P20" s="417">
        <v>319.66700000000003</v>
      </c>
      <c r="Q20" s="417">
        <v>600.75350000000003</v>
      </c>
      <c r="R20" s="417">
        <v>-352.73599999999999</v>
      </c>
      <c r="S20" s="417">
        <v>374.78200000000004</v>
      </c>
      <c r="T20" s="417">
        <v>402.33950000000004</v>
      </c>
      <c r="U20" s="417">
        <v>0</v>
      </c>
      <c r="V20" s="417">
        <v>402.33950000000004</v>
      </c>
      <c r="W20" s="421">
        <v>1003.0930000000001</v>
      </c>
      <c r="X20" s="421">
        <v>268.04050000000001</v>
      </c>
      <c r="Y20" s="421">
        <v>450.57608050000005</v>
      </c>
      <c r="Z20" s="419">
        <v>1</v>
      </c>
      <c r="AA20" s="419" t="s">
        <v>674</v>
      </c>
      <c r="AB20" s="417">
        <v>3</v>
      </c>
      <c r="AC20" s="417"/>
    </row>
    <row r="21" spans="1:29" s="248" customFormat="1" x14ac:dyDescent="0.25">
      <c r="A21" s="248" t="s">
        <v>664</v>
      </c>
      <c r="B21" s="417">
        <v>69</v>
      </c>
      <c r="C21" s="417" t="s">
        <v>240</v>
      </c>
      <c r="D21" s="417">
        <v>98</v>
      </c>
      <c r="E21" s="417">
        <v>100</v>
      </c>
      <c r="F21" s="417">
        <v>0.58635000000000004</v>
      </c>
      <c r="G21" s="417">
        <v>385.80500000000001</v>
      </c>
      <c r="H21" s="417">
        <v>435.4085</v>
      </c>
      <c r="I21" s="417">
        <v>0</v>
      </c>
      <c r="J21" s="417">
        <v>0</v>
      </c>
      <c r="K21" s="417">
        <v>435.4085</v>
      </c>
      <c r="L21" s="417">
        <v>203.9255</v>
      </c>
      <c r="M21" s="417">
        <v>220.46</v>
      </c>
      <c r="N21" s="417">
        <v>0</v>
      </c>
      <c r="O21" s="417">
        <v>0</v>
      </c>
      <c r="P21" s="417">
        <v>220.46</v>
      </c>
      <c r="Q21" s="417">
        <v>655.86850000000004</v>
      </c>
      <c r="R21" s="417">
        <v>-385.80500000000001</v>
      </c>
      <c r="S21" s="417">
        <v>385.80500000000001</v>
      </c>
      <c r="T21" s="417">
        <v>0</v>
      </c>
      <c r="U21" s="417">
        <v>0</v>
      </c>
      <c r="V21" s="417">
        <v>385.80500000000001</v>
      </c>
      <c r="W21" s="421">
        <v>1041.6735000000001</v>
      </c>
      <c r="X21" s="421">
        <v>277.05037500000003</v>
      </c>
      <c r="Y21" s="421">
        <v>446.0511037500001</v>
      </c>
      <c r="Z21" s="419">
        <v>1</v>
      </c>
      <c r="AA21" s="419" t="s">
        <v>679</v>
      </c>
      <c r="AB21" s="417">
        <v>3</v>
      </c>
      <c r="AC21" s="417"/>
    </row>
    <row r="22" spans="1:29" s="247" customFormat="1" x14ac:dyDescent="0.25">
      <c r="A22" s="247" t="s">
        <v>665</v>
      </c>
      <c r="B22" s="416">
        <v>55</v>
      </c>
      <c r="C22" s="416" t="s">
        <v>228</v>
      </c>
      <c r="D22" s="416">
        <v>97.6</v>
      </c>
      <c r="E22" s="416">
        <v>100</v>
      </c>
      <c r="F22" s="416">
        <v>0.58745000000000003</v>
      </c>
      <c r="G22" s="416">
        <v>606.26499999999999</v>
      </c>
      <c r="H22" s="416">
        <v>650.35700000000008</v>
      </c>
      <c r="I22" s="416">
        <v>672.40300000000002</v>
      </c>
      <c r="J22" s="416">
        <v>0</v>
      </c>
      <c r="K22" s="416">
        <v>672.40300000000002</v>
      </c>
      <c r="L22" s="416">
        <v>374.78200000000004</v>
      </c>
      <c r="M22" s="416">
        <v>424.38550000000004</v>
      </c>
      <c r="N22" s="416">
        <v>-451.94300000000004</v>
      </c>
      <c r="O22" s="416">
        <v>0</v>
      </c>
      <c r="P22" s="416">
        <v>424.38550000000004</v>
      </c>
      <c r="Q22" s="416">
        <v>1096.7885000000001</v>
      </c>
      <c r="R22" s="416">
        <v>501.54650000000004</v>
      </c>
      <c r="S22" s="416">
        <v>551.15</v>
      </c>
      <c r="T22" s="416">
        <v>573.19600000000003</v>
      </c>
      <c r="U22" s="416">
        <v>0</v>
      </c>
      <c r="V22" s="416">
        <v>573.19600000000003</v>
      </c>
      <c r="W22" s="420">
        <v>1669.9845</v>
      </c>
      <c r="X22" s="420">
        <v>444.99337500000001</v>
      </c>
      <c r="Y22" s="420">
        <v>545.11688437500004</v>
      </c>
      <c r="Z22" s="418">
        <v>1</v>
      </c>
      <c r="AA22" s="418" t="s">
        <v>678</v>
      </c>
      <c r="AB22" s="416">
        <v>3</v>
      </c>
      <c r="AC22" s="416"/>
    </row>
    <row r="23" spans="1:29" s="248" customFormat="1" x14ac:dyDescent="0.25">
      <c r="A23" s="248" t="s">
        <v>661</v>
      </c>
      <c r="B23" s="417">
        <v>49</v>
      </c>
      <c r="C23" s="417" t="s">
        <v>425</v>
      </c>
      <c r="D23" s="417">
        <v>109.8</v>
      </c>
      <c r="E23" s="417">
        <v>110</v>
      </c>
      <c r="F23" s="417">
        <v>0.56274999999999997</v>
      </c>
      <c r="G23" s="417">
        <v>424.38550000000004</v>
      </c>
      <c r="H23" s="417">
        <v>451.94300000000004</v>
      </c>
      <c r="I23" s="417">
        <v>-462.96600000000001</v>
      </c>
      <c r="J23" s="417">
        <v>0</v>
      </c>
      <c r="K23" s="417">
        <v>451.94300000000004</v>
      </c>
      <c r="L23" s="417">
        <v>225.97150000000002</v>
      </c>
      <c r="M23" s="417">
        <v>253.52900000000002</v>
      </c>
      <c r="N23" s="417">
        <v>264.55200000000002</v>
      </c>
      <c r="O23" s="417">
        <v>0</v>
      </c>
      <c r="P23" s="417">
        <v>264.55200000000002</v>
      </c>
      <c r="Q23" s="417">
        <v>716.495</v>
      </c>
      <c r="R23" s="417">
        <v>424.38550000000004</v>
      </c>
      <c r="S23" s="417">
        <v>451.94300000000004</v>
      </c>
      <c r="T23" s="417">
        <v>-462.96600000000001</v>
      </c>
      <c r="U23" s="417">
        <v>0</v>
      </c>
      <c r="V23" s="417">
        <v>451.94300000000004</v>
      </c>
      <c r="W23" s="421">
        <v>1168.4380000000001</v>
      </c>
      <c r="X23" s="421">
        <v>298.25749999999999</v>
      </c>
      <c r="Y23" s="421">
        <v>331.96059750000001</v>
      </c>
      <c r="Z23" s="419">
        <v>1</v>
      </c>
      <c r="AA23" s="419" t="s">
        <v>676</v>
      </c>
      <c r="AB23" s="417">
        <v>3</v>
      </c>
      <c r="AC23" s="417"/>
    </row>
    <row r="24" spans="1:29" s="248" customFormat="1" x14ac:dyDescent="0.25">
      <c r="A24" t="s">
        <v>655</v>
      </c>
      <c r="B24" s="5">
        <v>34</v>
      </c>
      <c r="C24" s="5" t="s">
        <v>200</v>
      </c>
      <c r="D24" s="5">
        <v>90.8</v>
      </c>
      <c r="E24" s="5">
        <v>100</v>
      </c>
      <c r="F24" s="5">
        <v>0.6089500000000001</v>
      </c>
      <c r="G24" s="5">
        <v>407.851</v>
      </c>
      <c r="H24" s="5">
        <v>-424.38550000000004</v>
      </c>
      <c r="I24" s="5">
        <v>-424.38550000000004</v>
      </c>
      <c r="J24" s="5">
        <v>0</v>
      </c>
      <c r="K24" s="5">
        <v>407.851</v>
      </c>
      <c r="L24" s="5">
        <v>275.57499999999999</v>
      </c>
      <c r="M24" s="5">
        <v>319.66700000000003</v>
      </c>
      <c r="N24" s="5">
        <v>330.69</v>
      </c>
      <c r="O24" s="5">
        <v>0</v>
      </c>
      <c r="P24" s="5">
        <v>330.69</v>
      </c>
      <c r="Q24" s="5">
        <v>738.54100000000005</v>
      </c>
      <c r="R24" s="5">
        <v>462.96600000000001</v>
      </c>
      <c r="S24" s="5">
        <v>518.08100000000002</v>
      </c>
      <c r="T24" s="5">
        <v>529.10400000000004</v>
      </c>
      <c r="U24" s="5">
        <v>0</v>
      </c>
      <c r="V24" s="5">
        <v>529.10400000000004</v>
      </c>
      <c r="W24" s="414">
        <v>1267.645</v>
      </c>
      <c r="X24" s="414">
        <v>350.14625000000007</v>
      </c>
      <c r="Y24" s="414">
        <v>0</v>
      </c>
      <c r="Z24" s="410">
        <v>1</v>
      </c>
      <c r="AA24" s="410" t="s">
        <v>677</v>
      </c>
      <c r="AB24" s="5">
        <v>3</v>
      </c>
      <c r="AC24" s="5"/>
    </row>
    <row r="25" spans="1:29" s="248" customFormat="1" x14ac:dyDescent="0.25">
      <c r="A25" t="s">
        <v>657</v>
      </c>
      <c r="B25" s="5">
        <v>25</v>
      </c>
      <c r="C25" s="5" t="s">
        <v>355</v>
      </c>
      <c r="D25" s="5">
        <v>87.8</v>
      </c>
      <c r="E25" s="5">
        <v>90</v>
      </c>
      <c r="F25" s="5">
        <v>0.62050000000000005</v>
      </c>
      <c r="G25" s="5">
        <v>374.78200000000004</v>
      </c>
      <c r="H25" s="5">
        <v>402.33950000000004</v>
      </c>
      <c r="I25" s="5">
        <v>0</v>
      </c>
      <c r="J25" s="5">
        <v>0</v>
      </c>
      <c r="K25" s="5">
        <v>402.33950000000004</v>
      </c>
      <c r="L25" s="5">
        <v>225.97150000000002</v>
      </c>
      <c r="M25" s="5">
        <v>-242.506</v>
      </c>
      <c r="N25" s="5">
        <v>-259.04050000000001</v>
      </c>
      <c r="O25" s="5">
        <v>0</v>
      </c>
      <c r="P25" s="5">
        <v>225.97150000000002</v>
      </c>
      <c r="Q25" s="5">
        <v>628.31100000000004</v>
      </c>
      <c r="R25" s="5">
        <v>358.2475</v>
      </c>
      <c r="S25" s="5">
        <v>380.29349999999999</v>
      </c>
      <c r="T25" s="5">
        <v>385.80500000000001</v>
      </c>
      <c r="U25" s="5">
        <v>0</v>
      </c>
      <c r="V25" s="5">
        <v>385.80500000000001</v>
      </c>
      <c r="W25" s="414">
        <v>1014.1160000000001</v>
      </c>
      <c r="X25" s="414">
        <v>285.43</v>
      </c>
      <c r="Y25" s="414">
        <v>0</v>
      </c>
      <c r="Z25" s="410">
        <v>1</v>
      </c>
      <c r="AA25" s="410" t="s">
        <v>673</v>
      </c>
      <c r="AB25" s="5">
        <v>3</v>
      </c>
      <c r="AC25" s="5"/>
    </row>
    <row r="26" spans="1:29" s="121" customFormat="1" ht="30" customHeight="1" x14ac:dyDescent="0.25">
      <c r="A26" s="248" t="s">
        <v>654</v>
      </c>
      <c r="B26" s="417">
        <v>46</v>
      </c>
      <c r="C26" s="417" t="s">
        <v>355</v>
      </c>
      <c r="D26" s="417">
        <v>107.9</v>
      </c>
      <c r="E26" s="417">
        <v>110</v>
      </c>
      <c r="F26" s="417">
        <v>0.56640000000000001</v>
      </c>
      <c r="G26" s="417">
        <v>501.54650000000004</v>
      </c>
      <c r="H26" s="417">
        <v>551.15</v>
      </c>
      <c r="I26" s="417">
        <v>-606.26499999999999</v>
      </c>
      <c r="J26" s="417">
        <v>0</v>
      </c>
      <c r="K26" s="417">
        <v>551.15</v>
      </c>
      <c r="L26" s="417">
        <v>347.22450000000003</v>
      </c>
      <c r="M26" s="417">
        <v>369.27050000000003</v>
      </c>
      <c r="N26" s="417">
        <v>380.29349999999999</v>
      </c>
      <c r="O26" s="417">
        <v>0</v>
      </c>
      <c r="P26" s="417">
        <v>380.29349999999999</v>
      </c>
      <c r="Q26" s="417">
        <v>931.44350000000009</v>
      </c>
      <c r="R26" s="417">
        <v>501.54650000000004</v>
      </c>
      <c r="S26" s="417">
        <v>523.59249999999997</v>
      </c>
      <c r="T26" s="417">
        <v>0</v>
      </c>
      <c r="U26" s="417">
        <v>0</v>
      </c>
      <c r="V26" s="417">
        <v>523.59249999999997</v>
      </c>
      <c r="W26" s="421">
        <v>1455.0360000000001</v>
      </c>
      <c r="X26" s="421">
        <v>373.82400000000001</v>
      </c>
      <c r="Y26" s="421">
        <v>399.24403200000006</v>
      </c>
      <c r="Z26" s="419">
        <v>1</v>
      </c>
      <c r="AA26" s="419" t="s">
        <v>680</v>
      </c>
      <c r="AB26" s="417">
        <v>3</v>
      </c>
      <c r="AC26" s="417"/>
    </row>
    <row r="27" spans="1:29" x14ac:dyDescent="0.25">
      <c r="A27" s="248" t="s">
        <v>656</v>
      </c>
      <c r="B27" s="417">
        <v>25</v>
      </c>
      <c r="C27" s="417" t="s">
        <v>355</v>
      </c>
      <c r="D27" s="417">
        <v>155.4</v>
      </c>
      <c r="E27" s="417" t="s">
        <v>81</v>
      </c>
      <c r="F27" s="417">
        <v>0.51900000000000002</v>
      </c>
      <c r="G27" s="417">
        <v>672.40300000000002</v>
      </c>
      <c r="H27" s="417">
        <v>727.51800000000003</v>
      </c>
      <c r="I27" s="417">
        <v>-749.56400000000008</v>
      </c>
      <c r="J27" s="417">
        <v>0</v>
      </c>
      <c r="K27" s="417">
        <v>727.51800000000003</v>
      </c>
      <c r="L27" s="417">
        <v>402.33950000000004</v>
      </c>
      <c r="M27" s="417">
        <v>424.38550000000004</v>
      </c>
      <c r="N27" s="417">
        <v>440.92</v>
      </c>
      <c r="O27" s="417">
        <v>0</v>
      </c>
      <c r="P27" s="417">
        <v>440.92</v>
      </c>
      <c r="Q27" s="417">
        <v>1168.4380000000001</v>
      </c>
      <c r="R27" s="417">
        <v>584.21900000000005</v>
      </c>
      <c r="S27" s="417">
        <v>0</v>
      </c>
      <c r="T27" s="417">
        <v>0</v>
      </c>
      <c r="U27" s="417">
        <v>0</v>
      </c>
      <c r="V27" s="417">
        <v>584.21900000000005</v>
      </c>
      <c r="W27" s="421">
        <v>1752.6570000000002</v>
      </c>
      <c r="X27" s="421">
        <v>412.60500000000002</v>
      </c>
      <c r="Y27" s="421">
        <v>0</v>
      </c>
      <c r="Z27" s="419">
        <v>1</v>
      </c>
      <c r="AA27" s="419" t="s">
        <v>681</v>
      </c>
      <c r="AB27" s="417">
        <v>3</v>
      </c>
      <c r="AC27" s="417"/>
    </row>
    <row r="29" spans="1:29" ht="13.8" thickBot="1" x14ac:dyDescent="0.3">
      <c r="A29" s="424" t="s">
        <v>684</v>
      </c>
      <c r="B29" s="425" t="s">
        <v>685</v>
      </c>
      <c r="C29" s="426"/>
      <c r="D29" s="426"/>
      <c r="E29" s="426"/>
      <c r="F29" s="426"/>
      <c r="G29" s="426"/>
      <c r="H29" s="426"/>
      <c r="I29" s="426"/>
      <c r="J29" s="426"/>
      <c r="K29" s="427"/>
      <c r="L29" s="427"/>
      <c r="M29" s="427"/>
      <c r="N29" s="428"/>
      <c r="O29" s="428"/>
      <c r="P29" s="426"/>
      <c r="Q29" s="426"/>
    </row>
    <row r="30" spans="1:29" ht="27" thickBot="1" x14ac:dyDescent="0.3">
      <c r="A30" s="87" t="s">
        <v>0</v>
      </c>
      <c r="B30" s="88" t="s">
        <v>1</v>
      </c>
      <c r="C30" s="89" t="s">
        <v>29</v>
      </c>
      <c r="D30" s="89" t="s">
        <v>159</v>
      </c>
      <c r="E30" s="89" t="s">
        <v>103</v>
      </c>
      <c r="F30" s="429" t="s">
        <v>157</v>
      </c>
      <c r="G30" s="89" t="s">
        <v>17</v>
      </c>
      <c r="H30" s="89" t="s">
        <v>18</v>
      </c>
      <c r="I30" s="89" t="s">
        <v>19</v>
      </c>
      <c r="J30" s="89" t="s">
        <v>20</v>
      </c>
      <c r="K30" s="412" t="s">
        <v>21</v>
      </c>
      <c r="L30" s="413" t="s">
        <v>90</v>
      </c>
      <c r="M30" s="413" t="s">
        <v>95</v>
      </c>
      <c r="N30" s="409" t="s">
        <v>135</v>
      </c>
      <c r="O30" s="409" t="s">
        <v>30</v>
      </c>
      <c r="P30" s="89" t="s">
        <v>136</v>
      </c>
      <c r="Q30" s="105" t="s">
        <v>44</v>
      </c>
    </row>
    <row r="31" spans="1:29" x14ac:dyDescent="0.25">
      <c r="A31" s="425" t="s">
        <v>663</v>
      </c>
      <c r="B31" s="426">
        <v>48</v>
      </c>
      <c r="C31" s="426" t="s">
        <v>212</v>
      </c>
      <c r="D31" s="426">
        <v>119.8</v>
      </c>
      <c r="E31" s="426">
        <v>125</v>
      </c>
      <c r="F31" s="426">
        <v>0.55115000000000003</v>
      </c>
      <c r="G31" s="426">
        <v>307.5</v>
      </c>
      <c r="H31" s="426">
        <v>325</v>
      </c>
      <c r="I31" s="426">
        <v>-332.5</v>
      </c>
      <c r="J31" s="426"/>
      <c r="K31" s="427">
        <v>325</v>
      </c>
      <c r="L31" s="427">
        <v>179.12375</v>
      </c>
      <c r="M31" s="427">
        <v>196.49875374999999</v>
      </c>
      <c r="N31" s="428">
        <v>1</v>
      </c>
      <c r="O31" s="428" t="s">
        <v>682</v>
      </c>
      <c r="P31" s="426">
        <v>3</v>
      </c>
      <c r="Q31" s="426"/>
    </row>
    <row r="32" spans="1:29" x14ac:dyDescent="0.25">
      <c r="A32" s="248"/>
      <c r="B32" s="417"/>
      <c r="C32" s="417"/>
      <c r="D32" s="417"/>
      <c r="E32" s="417"/>
      <c r="F32" s="417"/>
      <c r="G32" s="417"/>
      <c r="H32" s="417"/>
      <c r="I32" s="417"/>
      <c r="J32" s="417"/>
      <c r="K32" s="421"/>
      <c r="L32" s="421"/>
      <c r="M32" s="421"/>
      <c r="N32" s="419"/>
      <c r="O32" s="419"/>
      <c r="P32" s="417"/>
      <c r="Q32" s="417"/>
    </row>
    <row r="33" spans="1:29" ht="13.8" thickBot="1" x14ac:dyDescent="0.3">
      <c r="A33" s="424"/>
      <c r="B33" s="425" t="s">
        <v>686</v>
      </c>
      <c r="C33" s="426"/>
      <c r="D33" s="426"/>
      <c r="E33" s="426"/>
      <c r="F33" s="426"/>
      <c r="G33" s="426"/>
      <c r="H33" s="426"/>
      <c r="I33" s="426"/>
      <c r="J33" s="426"/>
      <c r="K33" s="427"/>
      <c r="L33" s="427"/>
      <c r="M33" s="427"/>
      <c r="N33" s="428"/>
      <c r="O33" s="428"/>
      <c r="P33" s="426"/>
      <c r="Q33" s="426"/>
    </row>
    <row r="34" spans="1:29" ht="27" thickBot="1" x14ac:dyDescent="0.3">
      <c r="A34" s="87" t="s">
        <v>0</v>
      </c>
      <c r="B34" s="88" t="s">
        <v>1</v>
      </c>
      <c r="C34" s="89" t="s">
        <v>29</v>
      </c>
      <c r="D34" s="89" t="s">
        <v>159</v>
      </c>
      <c r="E34" s="89" t="s">
        <v>103</v>
      </c>
      <c r="F34" s="429" t="s">
        <v>157</v>
      </c>
      <c r="G34" s="89" t="s">
        <v>17</v>
      </c>
      <c r="H34" s="89" t="s">
        <v>18</v>
      </c>
      <c r="I34" s="89" t="s">
        <v>19</v>
      </c>
      <c r="J34" s="89" t="s">
        <v>20</v>
      </c>
      <c r="K34" s="412" t="s">
        <v>21</v>
      </c>
      <c r="L34" s="413" t="s">
        <v>90</v>
      </c>
      <c r="M34" s="413" t="s">
        <v>95</v>
      </c>
      <c r="N34" s="409" t="s">
        <v>135</v>
      </c>
      <c r="O34" s="409" t="s">
        <v>30</v>
      </c>
      <c r="P34" s="89" t="s">
        <v>136</v>
      </c>
      <c r="Q34" s="105" t="s">
        <v>44</v>
      </c>
    </row>
    <row r="35" spans="1:29" x14ac:dyDescent="0.25">
      <c r="A35" s="425" t="s">
        <v>663</v>
      </c>
      <c r="B35" s="426">
        <v>48</v>
      </c>
      <c r="C35" s="426" t="s">
        <v>212</v>
      </c>
      <c r="D35" s="426">
        <v>119.8</v>
      </c>
      <c r="E35" s="426">
        <v>125</v>
      </c>
      <c r="F35" s="426">
        <v>0.55115000000000003</v>
      </c>
      <c r="G35" s="426">
        <v>677.91450000000009</v>
      </c>
      <c r="H35" s="426">
        <v>716.495</v>
      </c>
      <c r="I35" s="426">
        <v>-733.02949999999998</v>
      </c>
      <c r="J35" s="426">
        <v>0</v>
      </c>
      <c r="K35" s="427">
        <v>716.495</v>
      </c>
      <c r="L35" s="427">
        <v>179.12375</v>
      </c>
      <c r="M35" s="427">
        <v>196.49875374999999</v>
      </c>
      <c r="N35" s="428">
        <v>1</v>
      </c>
      <c r="O35" s="428" t="s">
        <v>682</v>
      </c>
      <c r="P35" s="426">
        <v>3</v>
      </c>
      <c r="Q35" s="426"/>
    </row>
    <row r="48" spans="1:29" s="121" customFormat="1" ht="12" customHeight="1" x14ac:dyDescent="0.25"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11"/>
      <c r="X48" s="411"/>
      <c r="Y48" s="411"/>
      <c r="Z48" s="408"/>
      <c r="AA48" s="408"/>
      <c r="AB48" s="407"/>
      <c r="AC48" s="407"/>
    </row>
  </sheetData>
  <phoneticPr fontId="0" type="noConversion"/>
  <conditionalFormatting sqref="G2:J2 L2:O2 R2:U2">
    <cfRule type="cellIs" dxfId="24" priority="4" stopIfTrue="1" operator="equal">
      <formula>#REF!</formula>
    </cfRule>
  </conditionalFormatting>
  <conditionalFormatting sqref="G16:J16 L16:O16 R16:U16">
    <cfRule type="cellIs" dxfId="23" priority="3" stopIfTrue="1" operator="equal">
      <formula>#REF!</formula>
    </cfRule>
  </conditionalFormatting>
  <conditionalFormatting sqref="G30:J30">
    <cfRule type="cellIs" dxfId="3" priority="2" stopIfTrue="1" operator="equal">
      <formula>#REF!</formula>
    </cfRule>
  </conditionalFormatting>
  <conditionalFormatting sqref="G34:J34">
    <cfRule type="cellIs" dxfId="1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G2"/>
  <sheetViews>
    <sheetView workbookViewId="0">
      <selection activeCell="A2" sqref="A2"/>
    </sheetView>
  </sheetViews>
  <sheetFormatPr defaultRowHeight="13.2" x14ac:dyDescent="0.25"/>
  <cols>
    <col min="1" max="1" width="18.77734375" customWidth="1"/>
    <col min="2" max="2" width="5.77734375" style="5" customWidth="1"/>
    <col min="3" max="3" width="6.33203125" style="5" customWidth="1"/>
    <col min="4" max="4" width="6.5546875" style="5" customWidth="1"/>
    <col min="5" max="10" width="7.5546875" style="5" customWidth="1"/>
    <col min="11" max="13" width="9.77734375" style="414" customWidth="1"/>
    <col min="14" max="15" width="11.77734375" style="410" customWidth="1"/>
    <col min="16" max="17" width="8.88671875" style="5"/>
  </cols>
  <sheetData>
    <row r="1" spans="1:33" s="121" customFormat="1" ht="30" customHeight="1" thickBot="1" x14ac:dyDescent="0.3">
      <c r="A1" s="415" t="s">
        <v>684</v>
      </c>
      <c r="B1" s="121" t="s">
        <v>685</v>
      </c>
      <c r="C1" s="407"/>
      <c r="D1" s="407"/>
      <c r="E1" s="407"/>
      <c r="F1" s="407"/>
      <c r="G1" s="407"/>
      <c r="H1" s="407"/>
      <c r="I1" s="407"/>
      <c r="J1" s="407"/>
      <c r="K1" s="411"/>
      <c r="L1" s="411"/>
      <c r="M1" s="411"/>
      <c r="N1" s="408"/>
      <c r="O1" s="408"/>
      <c r="P1" s="407"/>
      <c r="Q1" s="407"/>
    </row>
    <row r="2" spans="1:33" s="91" customFormat="1" ht="28.5" customHeight="1" thickBot="1" x14ac:dyDescent="0.3">
      <c r="A2" s="87" t="s">
        <v>0</v>
      </c>
      <c r="B2" s="88" t="s">
        <v>1</v>
      </c>
      <c r="C2" s="89" t="s">
        <v>29</v>
      </c>
      <c r="D2" s="89" t="s">
        <v>159</v>
      </c>
      <c r="E2" s="89" t="s">
        <v>103</v>
      </c>
      <c r="F2" s="95" t="s">
        <v>157</v>
      </c>
      <c r="G2" s="90" t="s">
        <v>22</v>
      </c>
      <c r="H2" s="90" t="s">
        <v>23</v>
      </c>
      <c r="I2" s="90" t="s">
        <v>24</v>
      </c>
      <c r="J2" s="90" t="s">
        <v>25</v>
      </c>
      <c r="K2" s="412" t="s">
        <v>11</v>
      </c>
      <c r="L2" s="413" t="s">
        <v>90</v>
      </c>
      <c r="M2" s="413" t="s">
        <v>95</v>
      </c>
      <c r="N2" s="409" t="s">
        <v>135</v>
      </c>
      <c r="O2" s="409" t="s">
        <v>30</v>
      </c>
      <c r="P2" s="89" t="s">
        <v>136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</sheetData>
  <phoneticPr fontId="0" type="noConversion"/>
  <conditionalFormatting sqref="G2:J2">
    <cfRule type="cellIs" dxfId="2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RowHeight="13.2" x14ac:dyDescent="0.25"/>
  <cols>
    <col min="1" max="1" width="18.77734375" customWidth="1"/>
    <col min="2" max="2" width="5.77734375" style="5" customWidth="1"/>
    <col min="3" max="3" width="6.33203125" style="5" customWidth="1"/>
    <col min="4" max="4" width="6.5546875" style="5" customWidth="1"/>
    <col min="5" max="10" width="7.5546875" style="5" customWidth="1"/>
    <col min="11" max="13" width="9.77734375" style="414" customWidth="1"/>
    <col min="14" max="15" width="11.77734375" style="410" customWidth="1"/>
    <col min="16" max="17" width="8.88671875" style="5"/>
  </cols>
  <sheetData>
    <row r="1" spans="1:89" s="121" customFormat="1" ht="30" customHeight="1" thickBot="1" x14ac:dyDescent="0.3">
      <c r="A1" s="415" t="s">
        <v>684</v>
      </c>
      <c r="B1" s="121" t="s">
        <v>685</v>
      </c>
      <c r="C1" s="407"/>
      <c r="D1" s="407"/>
      <c r="E1" s="407"/>
      <c r="F1" s="407"/>
      <c r="G1" s="407"/>
      <c r="H1" s="407"/>
      <c r="I1" s="407"/>
      <c r="J1" s="407"/>
      <c r="K1" s="411"/>
      <c r="L1" s="411"/>
      <c r="M1" s="411"/>
      <c r="N1" s="408"/>
      <c r="O1" s="408"/>
      <c r="P1" s="407"/>
      <c r="Q1" s="407"/>
    </row>
    <row r="2" spans="1:89" s="91" customFormat="1" ht="28.5" customHeight="1" thickBot="1" x14ac:dyDescent="0.3">
      <c r="A2" s="87" t="s">
        <v>0</v>
      </c>
      <c r="B2" s="88" t="s">
        <v>1</v>
      </c>
      <c r="C2" s="89" t="s">
        <v>29</v>
      </c>
      <c r="D2" s="89" t="s">
        <v>159</v>
      </c>
      <c r="E2" s="89" t="s">
        <v>103</v>
      </c>
      <c r="F2" s="95" t="s">
        <v>157</v>
      </c>
      <c r="G2" s="90" t="s">
        <v>12</v>
      </c>
      <c r="H2" s="90" t="s">
        <v>13</v>
      </c>
      <c r="I2" s="90" t="s">
        <v>14</v>
      </c>
      <c r="J2" s="90" t="s">
        <v>113</v>
      </c>
      <c r="K2" s="412" t="s">
        <v>15</v>
      </c>
      <c r="L2" s="413" t="s">
        <v>90</v>
      </c>
      <c r="M2" s="413" t="s">
        <v>95</v>
      </c>
      <c r="N2" s="409" t="s">
        <v>135</v>
      </c>
      <c r="O2" s="409" t="s">
        <v>30</v>
      </c>
      <c r="P2" s="89" t="s">
        <v>136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89" ht="22.8" x14ac:dyDescent="0.25">
      <c r="A3" s="121"/>
      <c r="B3" s="407"/>
      <c r="C3" s="407"/>
      <c r="D3" s="407"/>
      <c r="E3" s="407"/>
      <c r="F3" s="407"/>
      <c r="G3" s="407"/>
      <c r="H3" s="407"/>
      <c r="I3" s="407"/>
      <c r="J3" s="407"/>
      <c r="K3" s="411"/>
      <c r="L3" s="411"/>
      <c r="M3" s="411"/>
      <c r="N3" s="408"/>
      <c r="O3" s="408"/>
      <c r="P3" s="407"/>
      <c r="Q3" s="407"/>
    </row>
    <row r="11" spans="1:89" ht="13.5" customHeight="1" x14ac:dyDescent="0.25"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</row>
    <row r="14" spans="1:89" s="121" customFormat="1" ht="30" customHeight="1" x14ac:dyDescent="0.25">
      <c r="A14"/>
      <c r="B14" s="5"/>
      <c r="C14" s="5"/>
      <c r="D14" s="5"/>
      <c r="E14" s="5"/>
      <c r="F14" s="5"/>
      <c r="G14" s="5"/>
      <c r="H14" s="5"/>
      <c r="I14" s="5"/>
      <c r="J14" s="5"/>
      <c r="K14" s="414"/>
      <c r="L14" s="414"/>
      <c r="M14" s="414"/>
      <c r="N14" s="410"/>
      <c r="O14" s="410"/>
      <c r="P14" s="5"/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20" spans="2:17" ht="13.5" customHeight="1" x14ac:dyDescent="0.25"/>
    <row r="23" spans="2:17" s="121" customFormat="1" ht="11.25" customHeight="1" x14ac:dyDescent="0.25">
      <c r="B23" s="407"/>
      <c r="C23" s="407"/>
      <c r="D23" s="407"/>
      <c r="E23" s="407"/>
      <c r="F23" s="407"/>
      <c r="G23" s="407"/>
      <c r="H23" s="407"/>
      <c r="I23" s="407"/>
      <c r="J23" s="407"/>
      <c r="K23" s="411"/>
      <c r="L23" s="411"/>
      <c r="M23" s="411"/>
      <c r="N23" s="408"/>
      <c r="O23" s="408"/>
      <c r="P23" s="407"/>
      <c r="Q23" s="407"/>
    </row>
    <row r="36" ht="11.25" customHeight="1" x14ac:dyDescent="0.25"/>
    <row r="46" ht="13.5" customHeight="1" x14ac:dyDescent="0.25"/>
    <row r="56" spans="2:17" ht="12" customHeight="1" x14ac:dyDescent="0.25"/>
    <row r="61" spans="2:17" s="121" customFormat="1" ht="14.25" customHeight="1" x14ac:dyDescent="0.25">
      <c r="B61" s="407"/>
      <c r="C61" s="407"/>
      <c r="D61" s="407"/>
      <c r="E61" s="407"/>
      <c r="F61" s="407"/>
      <c r="G61" s="407"/>
      <c r="H61" s="407"/>
      <c r="I61" s="407"/>
      <c r="J61" s="407"/>
      <c r="K61" s="411"/>
      <c r="L61" s="411"/>
      <c r="M61" s="411"/>
      <c r="N61" s="408"/>
      <c r="O61" s="408"/>
      <c r="P61" s="407"/>
      <c r="Q61" s="407"/>
    </row>
    <row r="82" spans="2:17" ht="12.75" customHeight="1" x14ac:dyDescent="0.25"/>
    <row r="93" spans="2:17" s="121" customFormat="1" ht="30" customHeight="1" x14ac:dyDescent="0.25">
      <c r="B93" s="407"/>
      <c r="C93" s="407"/>
      <c r="D93" s="407"/>
      <c r="E93" s="407"/>
      <c r="F93" s="407"/>
      <c r="G93" s="407"/>
      <c r="H93" s="407"/>
      <c r="I93" s="407"/>
      <c r="J93" s="407"/>
      <c r="K93" s="411"/>
      <c r="L93" s="411"/>
      <c r="M93" s="411"/>
      <c r="N93" s="408"/>
      <c r="O93" s="408"/>
      <c r="P93" s="407"/>
      <c r="Q93" s="407"/>
    </row>
  </sheetData>
  <phoneticPr fontId="0" type="noConversion"/>
  <conditionalFormatting sqref="G2:J2">
    <cfRule type="cellIs" dxfId="21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Setup</vt:lpstr>
      <vt:lpstr>Weigh-in</vt:lpstr>
      <vt:lpstr>Loading Chart</vt:lpstr>
      <vt:lpstr>Lifting</vt:lpstr>
      <vt:lpstr>BarLoad</vt:lpstr>
      <vt:lpstr>Upcoming Flights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'3-Lift'!Print_Area</vt:lpstr>
      <vt:lpstr>Bench!Print_Area</vt:lpstr>
      <vt:lpstr>Deadlift!Print_Area</vt:lpstr>
      <vt:lpstr>PrintSheet!Print_Area</vt:lpstr>
      <vt:lpstr>'Push-Pull'!Print_Area</vt:lpstr>
      <vt:lpstr>Squat!Print_Area</vt:lpstr>
      <vt:lpstr>'Black &amp; White load sheet'!Print_Titles</vt:lpstr>
      <vt:lpstr>PrintSheet!Print_Titles</vt:lpstr>
    </vt:vector>
  </TitlesOfParts>
  <Company>GE Aircraft Engines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Amy</cp:lastModifiedBy>
  <cp:lastPrinted>2017-03-26T02:12:25Z</cp:lastPrinted>
  <dcterms:created xsi:type="dcterms:W3CDTF">2004-08-23T15:45:10Z</dcterms:created>
  <dcterms:modified xsi:type="dcterms:W3CDTF">2017-10-23T19:35:59Z</dcterms:modified>
</cp:coreProperties>
</file>