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11" windowHeight="13128" tabRatio="990"/>
  </bookViews>
  <sheets>
    <sheet name="WPC multi-ply benchpress" sheetId="1" r:id="rId1"/>
    <sheet name="WPC raw deadlift" sheetId="2" r:id="rId2"/>
    <sheet name="WPC raw benchpress DISABLED" sheetId="3" r:id="rId3"/>
    <sheet name="WPC raw benchpress" sheetId="4" r:id="rId4"/>
    <sheet name="WPC single-ply deadlift" sheetId="5" r:id="rId5"/>
    <sheet name="WPC multy-ply deadlift" sheetId="6" r:id="rId6"/>
    <sheet name="WPC single-ply benchpress" sheetId="7" r:id="rId7"/>
    <sheet name="WPC multi-ply powerlifting" sheetId="8" r:id="rId8"/>
    <sheet name="WPC single-ply powerlifting" sheetId="9" r:id="rId9"/>
    <sheet name="WPC raw powerlifting" sheetId="10" r:id="rId10"/>
    <sheet name="WPC Powerlifting Classic Raw" sheetId="11" r:id="rId11"/>
  </sheets>
  <definedNames>
    <definedName name="Excel_BuiltIn__FilterDatabase" localSheetId="10">'WPC Powerlifting Classic Raw'!$A$1:$R$3</definedName>
    <definedName name="_xlnm.Print_Area" localSheetId="0">'WPC multi-ply benchpress'!$A$1:$L$81</definedName>
    <definedName name="_xlnm.Print_Area" localSheetId="1">'WPC raw deadlift'!$A$1:$L$188</definedName>
    <definedName name="_xlnm.Print_Area" localSheetId="2">'WPC raw benchpress DISABLED'!$A$1:$L$33</definedName>
    <definedName name="_xlnm.Print_Area" localSheetId="3">'WPC raw benchpress'!$A$1:$L$287</definedName>
    <definedName name="_xlnm.Print_Area" localSheetId="4">'WPC single-ply deadlift'!$A$1:$L$82</definedName>
  </definedNames>
  <calcPr calcId="144525"/>
</workbook>
</file>

<file path=xl/sharedStrings.xml><?xml version="1.0" encoding="utf-8"?>
<sst xmlns="http://schemas.openxmlformats.org/spreadsheetml/2006/main" count="1951">
  <si>
    <t>World Championship WPC multi-ply benchpress
Dolgoprudniy, Russia 03-05 November 2017</t>
  </si>
  <si>
    <t>Name</t>
  </si>
  <si>
    <t xml:space="preserve">Age Categoty
Bith date/Age
</t>
  </si>
  <si>
    <t>Body
weight</t>
  </si>
  <si>
    <t>Gloss</t>
  </si>
  <si>
    <t>Team</t>
  </si>
  <si>
    <t>Benchpress</t>
  </si>
  <si>
    <t>Total</t>
  </si>
  <si>
    <t>Pts</t>
  </si>
  <si>
    <t>Coach</t>
  </si>
  <si>
    <t>Rec</t>
  </si>
  <si>
    <t>Body Weight Category  75</t>
  </si>
  <si>
    <t>Rubin Grigoriy</t>
  </si>
  <si>
    <t>Masters 80up (25.04.1937)/80</t>
  </si>
  <si>
    <t>73,90</t>
  </si>
  <si>
    <t>Israel</t>
  </si>
  <si>
    <t>105,0</t>
  </si>
  <si>
    <t>Body Weight Category  82.5</t>
  </si>
  <si>
    <t>Cacici Valentin</t>
  </si>
  <si>
    <t>Open (15.12.1989)/28</t>
  </si>
  <si>
    <t>82,30</t>
  </si>
  <si>
    <t>France</t>
  </si>
  <si>
    <t>265,0</t>
  </si>
  <si>
    <t>270,0</t>
  </si>
  <si>
    <t>285,0</t>
  </si>
  <si>
    <t>Theux Didier</t>
  </si>
  <si>
    <t>Open (01.05.1958)/59</t>
  </si>
  <si>
    <t>185,0</t>
  </si>
  <si>
    <t>200,0</t>
  </si>
  <si>
    <t>Wahlstrom Arttu</t>
  </si>
  <si>
    <t>Open (07.10.1986)/31</t>
  </si>
  <si>
    <t>81,20</t>
  </si>
  <si>
    <t>Finland</t>
  </si>
  <si>
    <t>240,0</t>
  </si>
  <si>
    <t>Masters 55-59 (01.05.1958)/59</t>
  </si>
  <si>
    <t>Body Weight Category  90</t>
  </si>
  <si>
    <t>Aliyev Bayram</t>
  </si>
  <si>
    <t>Open (20.06.1985)/32</t>
  </si>
  <si>
    <t>89,30</t>
  </si>
  <si>
    <t>Azerbaidjan</t>
  </si>
  <si>
    <t>260,0</t>
  </si>
  <si>
    <t>Huseynov Nijat</t>
  </si>
  <si>
    <t>Open (18.09.1989)/28</t>
  </si>
  <si>
    <t>89,80</t>
  </si>
  <si>
    <t>210,0</t>
  </si>
  <si>
    <t>0,0</t>
  </si>
  <si>
    <t>Petrov Aleksandr</t>
  </si>
  <si>
    <t>Masters 55-59 (17.07.1960)/57</t>
  </si>
  <si>
    <t>89,90</t>
  </si>
  <si>
    <t>Russia</t>
  </si>
  <si>
    <t>235,0</t>
  </si>
  <si>
    <t>245,0</t>
  </si>
  <si>
    <t>252,5</t>
  </si>
  <si>
    <t>Body Weight Category  100</t>
  </si>
  <si>
    <t>Mammadov Eldar</t>
  </si>
  <si>
    <t>Open (14.08.1978)/39</t>
  </si>
  <si>
    <t>99,40</t>
  </si>
  <si>
    <t>Body Weight Category  110</t>
  </si>
  <si>
    <t>Ivanov Sergey</t>
  </si>
  <si>
    <t>Open (08.06.1990)/27</t>
  </si>
  <si>
    <t>103,40</t>
  </si>
  <si>
    <t>Ukraine</t>
  </si>
  <si>
    <t>330,0</t>
  </si>
  <si>
    <t>345,0</t>
  </si>
  <si>
    <t>350,0</t>
  </si>
  <si>
    <t>330</t>
  </si>
  <si>
    <t>189,354</t>
  </si>
  <si>
    <t>Starodubskiy Sergey</t>
  </si>
  <si>
    <t>Open (20.12.1977)/40</t>
  </si>
  <si>
    <t>110,00</t>
  </si>
  <si>
    <t>292,5</t>
  </si>
  <si>
    <t>305,0</t>
  </si>
  <si>
    <t>Ahmadov Mustafa</t>
  </si>
  <si>
    <t>Open (15.10.1980)/37</t>
  </si>
  <si>
    <t>104,10</t>
  </si>
  <si>
    <t>290,0</t>
  </si>
  <si>
    <t>302,5</t>
  </si>
  <si>
    <t>Barros Garry</t>
  </si>
  <si>
    <t>Open (28.08.1983)/34</t>
  </si>
  <si>
    <t>109,40</t>
  </si>
  <si>
    <t>250,0</t>
  </si>
  <si>
    <t>Terentyev Aleksandr</t>
  </si>
  <si>
    <t>Open (15.02.1969)/48</t>
  </si>
  <si>
    <t>107,00</t>
  </si>
  <si>
    <t>300,0</t>
  </si>
  <si>
    <t>Riso Richard</t>
  </si>
  <si>
    <t>Masters 45-49 (18.07.1970)/47</t>
  </si>
  <si>
    <t>107,50</t>
  </si>
  <si>
    <t>230,0</t>
  </si>
  <si>
    <t>255,0</t>
  </si>
  <si>
    <t>Masters 45-49 (15.02.1969)/48</t>
  </si>
  <si>
    <t>Platel Eric</t>
  </si>
  <si>
    <t>Masters 45-49 (23.09.1971)/46</t>
  </si>
  <si>
    <t>255</t>
  </si>
  <si>
    <t>153,204</t>
  </si>
  <si>
    <t>William Roberts</t>
  </si>
  <si>
    <t>Masters 75-79 (16.10.1942)/75</t>
  </si>
  <si>
    <t>102,10</t>
  </si>
  <si>
    <t>USA</t>
  </si>
  <si>
    <t>85,0</t>
  </si>
  <si>
    <t>85</t>
  </si>
  <si>
    <t>89,9215</t>
  </si>
  <si>
    <t>Body Weight Category  125</t>
  </si>
  <si>
    <t>Gorbachev Dmitriy</t>
  </si>
  <si>
    <t>Open (06.03.1970)/47</t>
  </si>
  <si>
    <t>114,70</t>
  </si>
  <si>
    <t>Funtik Peter</t>
  </si>
  <si>
    <t>Open (31.10.1978)/39</t>
  </si>
  <si>
    <t>121,50</t>
  </si>
  <si>
    <t>Slovakia</t>
  </si>
  <si>
    <t>55,0</t>
  </si>
  <si>
    <t>Hosio Henrik</t>
  </si>
  <si>
    <t>Open (12.05.1979)/38</t>
  </si>
  <si>
    <t>118,00</t>
  </si>
  <si>
    <t>360,0</t>
  </si>
  <si>
    <t>380,0</t>
  </si>
  <si>
    <t>Masters 45-49 (06.03.1970)/47</t>
  </si>
  <si>
    <t>310,0</t>
  </si>
  <si>
    <t>320,0</t>
  </si>
  <si>
    <t>330,5</t>
  </si>
  <si>
    <t>La Comb</t>
  </si>
  <si>
    <t>Masters 50-54 (28.02.1967)/50</t>
  </si>
  <si>
    <t>124,60</t>
  </si>
  <si>
    <t>125,0</t>
  </si>
  <si>
    <t>227,5</t>
  </si>
  <si>
    <t>Body Weight Category  140</t>
  </si>
  <si>
    <t>Ylittalo-James Kalle</t>
  </si>
  <si>
    <t>Open (13.06.1983)/34</t>
  </si>
  <si>
    <t>129,40</t>
  </si>
  <si>
    <t>340,0</t>
  </si>
  <si>
    <t>357,5</t>
  </si>
  <si>
    <t>365,0</t>
  </si>
  <si>
    <t>Siska Jan</t>
  </si>
  <si>
    <t>Open (15.04.1980)/37</t>
  </si>
  <si>
    <t>125,80</t>
  </si>
  <si>
    <t>232,5</t>
  </si>
  <si>
    <t>Body Weight Category  140+</t>
  </si>
  <si>
    <t>Borcha Denis</t>
  </si>
  <si>
    <t>Teen 16-17 (31.01.2000)/17</t>
  </si>
  <si>
    <t>143,10</t>
  </si>
  <si>
    <t>180,0</t>
  </si>
  <si>
    <t>190,0</t>
  </si>
  <si>
    <t>180</t>
  </si>
  <si>
    <t>95,148</t>
  </si>
  <si>
    <t>Mihay Peter</t>
  </si>
  <si>
    <t>Masters 55-59 (27.06.1958)/59</t>
  </si>
  <si>
    <t>152,00</t>
  </si>
  <si>
    <t>160,0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</si>
  <si>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</si>
  <si>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</si>
  <si>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</si>
  <si>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</si>
  <si>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</si>
  <si>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</si>
  <si>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</si>
  <si>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</si>
  <si>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Open</t>
  </si>
  <si>
    <t>Age class</t>
  </si>
  <si>
    <t>WC</t>
  </si>
  <si>
    <t>Coef.</t>
  </si>
  <si>
    <t>140</t>
  </si>
  <si>
    <t>193,3825</t>
  </si>
  <si>
    <t xml:space="preserve">   Ivanov Sergey</t>
  </si>
  <si>
    <t>110</t>
  </si>
  <si>
    <t>82.5</t>
  </si>
  <si>
    <t>183,9960</t>
  </si>
  <si>
    <t>171,5625</t>
  </si>
  <si>
    <t>125</t>
  </si>
  <si>
    <t>166,9650</t>
  </si>
  <si>
    <t>165,9960</t>
  </si>
  <si>
    <t>90</t>
  </si>
  <si>
    <t>159,7830</t>
  </si>
  <si>
    <t>100</t>
  </si>
  <si>
    <t>151,5280</t>
  </si>
  <si>
    <t>140,8375</t>
  </si>
  <si>
    <t>129,1200</t>
  </si>
  <si>
    <t>126,6172</t>
  </si>
  <si>
    <t>30,2170</t>
  </si>
  <si>
    <t>Masters</t>
  </si>
  <si>
    <t>Masters 45-49</t>
  </si>
  <si>
    <t>192,6999</t>
  </si>
  <si>
    <t>Masters 55-59</t>
  </si>
  <si>
    <t>190,2016</t>
  </si>
  <si>
    <t>169,7928</t>
  </si>
  <si>
    <t>140,9294</t>
  </si>
  <si>
    <t>140+</t>
  </si>
  <si>
    <t>109,7604</t>
  </si>
  <si>
    <t>Masters 50-54</t>
  </si>
  <si>
    <t>77,1084</t>
  </si>
  <si>
    <t>World Championship WPC raw deadlift
Dolgoprudniy, Russia 03-05 November 2017</t>
  </si>
  <si>
    <t>Deadlift</t>
  </si>
  <si>
    <t>Body Weight Category  56</t>
  </si>
  <si>
    <t>Fox Yvette</t>
  </si>
  <si>
    <t>Masters 55-59 (03.10.1958)/59</t>
  </si>
  <si>
    <t>55,80</t>
  </si>
  <si>
    <t>110,0</t>
  </si>
  <si>
    <t>115,0</t>
  </si>
  <si>
    <t>Body Weight Category  67.5</t>
  </si>
  <si>
    <t>Chusovskaya Elizaveta</t>
  </si>
  <si>
    <t>Teen 18-19 (29.08.1998)/19</t>
  </si>
  <si>
    <t>60,80</t>
  </si>
  <si>
    <t>135,0</t>
  </si>
  <si>
    <t>140,0</t>
  </si>
  <si>
    <t>Papikyan Siranush</t>
  </si>
  <si>
    <t>Juniors 20-23 (02.04.1994)/23</t>
  </si>
  <si>
    <t>63,40</t>
  </si>
  <si>
    <t>165,0</t>
  </si>
  <si>
    <t>170,0</t>
  </si>
  <si>
    <t>165</t>
  </si>
  <si>
    <t>155,9415</t>
  </si>
  <si>
    <t>Pyrsina Yulia</t>
  </si>
  <si>
    <t>Open (09.05.1985)/32</t>
  </si>
  <si>
    <t>65,50</t>
  </si>
  <si>
    <t>150,0</t>
  </si>
  <si>
    <t>Platel Sandrine</t>
  </si>
  <si>
    <t>Masters 40-44 (22.07.1974)/43</t>
  </si>
  <si>
    <t>74,90</t>
  </si>
  <si>
    <t>155,0</t>
  </si>
  <si>
    <t>172,5</t>
  </si>
  <si>
    <t>182,5</t>
  </si>
  <si>
    <t>Hilander Maiju</t>
  </si>
  <si>
    <t>Masters 60-64 (22.07.1957)/60</t>
  </si>
  <si>
    <t>71,90</t>
  </si>
  <si>
    <t>Knuutila Virpi-Sisko</t>
  </si>
  <si>
    <t>Open (11.10.1967)/50</t>
  </si>
  <si>
    <t>81,40</t>
  </si>
  <si>
    <t>205,0</t>
  </si>
  <si>
    <t>215,0</t>
  </si>
  <si>
    <t>217,5</t>
  </si>
  <si>
    <t>Masters 50-54 (11.10.1967)/50</t>
  </si>
  <si>
    <t>Gadolin Natalia</t>
  </si>
  <si>
    <t>Juniors 20-23 (04.01.1994)/23</t>
  </si>
  <si>
    <t>89,40</t>
  </si>
  <si>
    <t>175,0</t>
  </si>
  <si>
    <t>Platel Theo</t>
  </si>
  <si>
    <t>Teen 16-17 (27.07.2000)/17</t>
  </si>
  <si>
    <t>67,10</t>
  </si>
  <si>
    <t>Sirdani Abolfazl</t>
  </si>
  <si>
    <t>Open (17.06.1987)/30</t>
  </si>
  <si>
    <t>66,90</t>
  </si>
  <si>
    <t>Iran</t>
  </si>
  <si>
    <t>Garipov Danila</t>
  </si>
  <si>
    <t>Teen 13-15 (26.06.2005)/12</t>
  </si>
  <si>
    <t>73,80</t>
  </si>
  <si>
    <t>90,0</t>
  </si>
  <si>
    <t>100,0</t>
  </si>
  <si>
    <t>Sakhbetov Ruslan</t>
  </si>
  <si>
    <t>Open (02.07.1987)/30</t>
  </si>
  <si>
    <t>75,00</t>
  </si>
  <si>
    <t>Kazakhstan</t>
  </si>
  <si>
    <t>Shvylev Aleksandr</t>
  </si>
  <si>
    <t>Open (31.08.1992)/25</t>
  </si>
  <si>
    <t>220,0</t>
  </si>
  <si>
    <t>242,5</t>
  </si>
  <si>
    <t>Kucheryavyh Petr</t>
  </si>
  <si>
    <t>Open (19.10.1988)/29</t>
  </si>
  <si>
    <t>Kyrgyzstan</t>
  </si>
  <si>
    <t>Pavlushin Oleg</t>
  </si>
  <si>
    <t>Masters 40-44 (07.03.1974)/43</t>
  </si>
  <si>
    <t>72,50</t>
  </si>
  <si>
    <t>Sejfo Shekhovich</t>
  </si>
  <si>
    <t>Masters 55-59 (13.08.1959)/58</t>
  </si>
  <si>
    <t>70,90</t>
  </si>
  <si>
    <t>Sarajevo</t>
  </si>
  <si>
    <t>225,0</t>
  </si>
  <si>
    <t>Laishin Boris</t>
  </si>
  <si>
    <t>Masters 65-69 (06.08.1950)/67</t>
  </si>
  <si>
    <t>68,30</t>
  </si>
  <si>
    <t>130,0</t>
  </si>
  <si>
    <t>145,0</t>
  </si>
  <si>
    <t>Dolmatov Boris</t>
  </si>
  <si>
    <t>Masters 70-74 (04.08.1945)/72</t>
  </si>
  <si>
    <t>68,90</t>
  </si>
  <si>
    <t>167,5</t>
  </si>
  <si>
    <t>Guliyev Parvin</t>
  </si>
  <si>
    <t>Open (14.03.1989)/28</t>
  </si>
  <si>
    <t>81,70</t>
  </si>
  <si>
    <t>Ahmadov Roman</t>
  </si>
  <si>
    <t>Open (13.02.1985)/32</t>
  </si>
  <si>
    <t>82,50</t>
  </si>
  <si>
    <t>Simon Csaba</t>
  </si>
  <si>
    <t>Masters 45-49 (15.03.1968)/49</t>
  </si>
  <si>
    <t>81,80</t>
  </si>
  <si>
    <t>Hungary</t>
  </si>
  <si>
    <t>Kabanchenko Anatoliy</t>
  </si>
  <si>
    <t>Masters 60-64 (10.11.1953)/64</t>
  </si>
  <si>
    <t>79,80</t>
  </si>
  <si>
    <t>Sichko Danila</t>
  </si>
  <si>
    <t>Teen 18-19 (05.04.1999)/18</t>
  </si>
  <si>
    <t>86,60</t>
  </si>
  <si>
    <t>190</t>
  </si>
  <si>
    <t>118,845</t>
  </si>
  <si>
    <t>Raevskiy Maksim</t>
  </si>
  <si>
    <t>Juniors 20-23 (06.03.1995)/22</t>
  </si>
  <si>
    <t>87,20</t>
  </si>
  <si>
    <t>Dursunov Kiamil</t>
  </si>
  <si>
    <t>Open (23.05.1990)/27</t>
  </si>
  <si>
    <t>Domanskiy Alexandr</t>
  </si>
  <si>
    <t>Open (21.11.1985)/32</t>
  </si>
  <si>
    <t>88,20</t>
  </si>
  <si>
    <t>Poryadin Valeriy</t>
  </si>
  <si>
    <t>Masters 50-54 (20.05.1966)/51</t>
  </si>
  <si>
    <t>89,00</t>
  </si>
  <si>
    <t>Khudoleev Evgeniy</t>
  </si>
  <si>
    <t>Masters 70-74 (10.09.1946)/71</t>
  </si>
  <si>
    <t>84,70</t>
  </si>
  <si>
    <t>Mirulloev Samim</t>
  </si>
  <si>
    <t>Juniors 20-23 (21.08.1995)/22</t>
  </si>
  <si>
    <t>99,80</t>
  </si>
  <si>
    <t>Tajikistan</t>
  </si>
  <si>
    <t>Gusto Jordan</t>
  </si>
  <si>
    <t>Open (02.09.1992)/25</t>
  </si>
  <si>
    <t>97,70</t>
  </si>
  <si>
    <t>325,0</t>
  </si>
  <si>
    <t>Ho-Bing-Huang Gregoire</t>
  </si>
  <si>
    <t>Open (09.08.1982)/35</t>
  </si>
  <si>
    <t>95,00</t>
  </si>
  <si>
    <t>332,5</t>
  </si>
  <si>
    <t>320</t>
  </si>
  <si>
    <t>190,368</t>
  </si>
  <si>
    <t>Belimov Aleksandr</t>
  </si>
  <si>
    <t>Open (27.12.1988)/29</t>
  </si>
  <si>
    <t>100,00</t>
  </si>
  <si>
    <t>275,0</t>
  </si>
  <si>
    <t>Altunin Oleg</t>
  </si>
  <si>
    <t>Open (21.10.1987)/30</t>
  </si>
  <si>
    <t>94,70</t>
  </si>
  <si>
    <t>257,5</t>
  </si>
  <si>
    <t>Zolotuev Petr</t>
  </si>
  <si>
    <t>Open (01.08.1992)/25</t>
  </si>
  <si>
    <t>95,50</t>
  </si>
  <si>
    <t>Bashiri Rahmatollah</t>
  </si>
  <si>
    <t>Open (21.01.1980)/37</t>
  </si>
  <si>
    <t>96,70</t>
  </si>
  <si>
    <t>Zaytsev Vadim</t>
  </si>
  <si>
    <t>Masters 55-59 (26.08.1960)/57</t>
  </si>
  <si>
    <t>91,10</t>
  </si>
  <si>
    <t>250</t>
  </si>
  <si>
    <t>192,7</t>
  </si>
  <si>
    <t>Battakhov Petr</t>
  </si>
  <si>
    <t>Masters 65-69 (21.04.1952)/65</t>
  </si>
  <si>
    <t>96,10</t>
  </si>
  <si>
    <t>212,5</t>
  </si>
  <si>
    <t>150</t>
  </si>
  <si>
    <t>131,34</t>
  </si>
  <si>
    <t>Kamyar Fahim</t>
  </si>
  <si>
    <t>Teen 16-17 (30.12.1999)/18</t>
  </si>
  <si>
    <t>280,0</t>
  </si>
  <si>
    <t>Shirokov Mikhail</t>
  </si>
  <si>
    <t>Teen 18-19 (03.06.1999)/18</t>
  </si>
  <si>
    <t>109,90</t>
  </si>
  <si>
    <t>297,5</t>
  </si>
  <si>
    <t>Frederic Gerard</t>
  </si>
  <si>
    <t>Open (08.01.1982)/35</t>
  </si>
  <si>
    <t>108,70</t>
  </si>
  <si>
    <t>Cetout Nael</t>
  </si>
  <si>
    <t>Open (12.03.1990)/27</t>
  </si>
  <si>
    <t>106,70</t>
  </si>
  <si>
    <t>Koptev Mikhail</t>
  </si>
  <si>
    <t>Open (17.06.1991)/26</t>
  </si>
  <si>
    <t>270</t>
  </si>
  <si>
    <t>153,117</t>
  </si>
  <si>
    <t>Mily Marian</t>
  </si>
  <si>
    <t>Masters 40-44 (16.05.1973)/44</t>
  </si>
  <si>
    <t>105,00</t>
  </si>
  <si>
    <t>107,136</t>
  </si>
  <si>
    <t>Korkea Ahti</t>
  </si>
  <si>
    <t>Masters 45-49 (17.10.1969)/48</t>
  </si>
  <si>
    <t>100,90</t>
  </si>
  <si>
    <t>Kamenev Oleg</t>
  </si>
  <si>
    <t>Masters 60-64 (16.12.1953)/64</t>
  </si>
  <si>
    <t>102,40</t>
  </si>
  <si>
    <t>160</t>
  </si>
  <si>
    <t>130,928</t>
  </si>
  <si>
    <t>130</t>
  </si>
  <si>
    <t>137,527</t>
  </si>
  <si>
    <t>Horchichiak Jacub</t>
  </si>
  <si>
    <t>Teen 18-19 (25.09.1998)/19</t>
  </si>
  <si>
    <t>123,00</t>
  </si>
  <si>
    <t>267,5</t>
  </si>
  <si>
    <t>Iskandarov Khayal</t>
  </si>
  <si>
    <t>Juniors 20-23 (12.04.1995)/22</t>
  </si>
  <si>
    <t>118,60</t>
  </si>
  <si>
    <t>Leon Jean-Luc</t>
  </si>
  <si>
    <t>Open (14.02.1989)/28</t>
  </si>
  <si>
    <t>118,30</t>
  </si>
  <si>
    <t>322,5</t>
  </si>
  <si>
    <t>Klimov Victor</t>
  </si>
  <si>
    <t>Open (10.03.1975)/42</t>
  </si>
  <si>
    <t>117,60</t>
  </si>
  <si>
    <t>307,5</t>
  </si>
  <si>
    <t>Berthet David</t>
  </si>
  <si>
    <t>Open (29.08.1979)/38</t>
  </si>
  <si>
    <t>121,80</t>
  </si>
  <si>
    <t>315,0</t>
  </si>
  <si>
    <t>Guliyev Bakhtiyar</t>
  </si>
  <si>
    <t>Masters 40-44 (17.12.1975)/42</t>
  </si>
  <si>
    <t>117,80</t>
  </si>
  <si>
    <t>335,0</t>
  </si>
  <si>
    <t>360,5</t>
  </si>
  <si>
    <t>Masters 40-44 (10.03.1975)/42</t>
  </si>
  <si>
    <t>Seppanen Timo</t>
  </si>
  <si>
    <t>Masters 40-44 (25.11.1975)/42</t>
  </si>
  <si>
    <t>112,00</t>
  </si>
  <si>
    <t>Bezborodov Valeriy</t>
  </si>
  <si>
    <t>Masters 40-44 (27.01.1976)/41</t>
  </si>
  <si>
    <t>115,70</t>
  </si>
  <si>
    <t>282,5</t>
  </si>
  <si>
    <t>Ivanov Aleksandr</t>
  </si>
  <si>
    <t>Masters 45-49 (27.03.1968)/49</t>
  </si>
  <si>
    <t>122,50</t>
  </si>
  <si>
    <t>Kasyanenko Vitaliy</t>
  </si>
  <si>
    <t>Masters 45-49 (14.08.1971)/46</t>
  </si>
  <si>
    <t>Isakov Aleksey</t>
  </si>
  <si>
    <t>Masters 50-54 (06.08.1963)/54</t>
  </si>
  <si>
    <t>120,20</t>
  </si>
  <si>
    <t>Shishkin Andrey</t>
  </si>
  <si>
    <t>Masters 55-59 (02.09.1962)/55</t>
  </si>
  <si>
    <t>113,20</t>
  </si>
  <si>
    <t>Jalali Mirjavad</t>
  </si>
  <si>
    <t>Teen 18-19 (31.07.1998)/19</t>
  </si>
  <si>
    <t>132,40</t>
  </si>
  <si>
    <t>Muskov Hristo</t>
  </si>
  <si>
    <t>Open (24.12.1985)/32</t>
  </si>
  <si>
    <t>125,60</t>
  </si>
  <si>
    <t>Bulgaria</t>
  </si>
  <si>
    <t>355,0</t>
  </si>
  <si>
    <t>Hondadakeri Raghavendra</t>
  </si>
  <si>
    <t>Open (30.12.1980)/37</t>
  </si>
  <si>
    <t>128,70</t>
  </si>
  <si>
    <t>India</t>
  </si>
  <si>
    <t>Rudenko Maksim</t>
  </si>
  <si>
    <t>Open (08.11.1981)/36</t>
  </si>
  <si>
    <t>129,70</t>
  </si>
  <si>
    <t>Ostanin Vasiliy</t>
  </si>
  <si>
    <t>Masters 40-44 (18.05.1974)/43</t>
  </si>
  <si>
    <t>127,50</t>
  </si>
  <si>
    <t>240</t>
  </si>
  <si>
    <t>134,304</t>
  </si>
  <si>
    <t>Jalali Nemat</t>
  </si>
  <si>
    <t>Open (11.09.1985)/32</t>
  </si>
  <si>
    <t>150,70</t>
  </si>
  <si>
    <t>406,0</t>
  </si>
  <si>
    <t>Women</t>
  </si>
  <si>
    <t>Teenagers</t>
  </si>
  <si>
    <t>Teen 18-19</t>
  </si>
  <si>
    <t>67.5</t>
  </si>
  <si>
    <t>136,8010</t>
  </si>
  <si>
    <t>Junior</t>
  </si>
  <si>
    <t xml:space="preserve">    Papikyan Siranush</t>
  </si>
  <si>
    <t>Juniors 20-23</t>
  </si>
  <si>
    <t>131,2850</t>
  </si>
  <si>
    <t>170,5165</t>
  </si>
  <si>
    <t>138,1650</t>
  </si>
  <si>
    <t>192,6836</t>
  </si>
  <si>
    <t>Masters 60-64</t>
  </si>
  <si>
    <t>75</t>
  </si>
  <si>
    <t>184,4590</t>
  </si>
  <si>
    <t>56</t>
  </si>
  <si>
    <t>151,4341</t>
  </si>
  <si>
    <t>Masters 40-44</t>
  </si>
  <si>
    <t>148,8317</t>
  </si>
  <si>
    <t>167,3884</t>
  </si>
  <si>
    <t>156,0142</t>
  </si>
  <si>
    <t>Teen 16-17</t>
  </si>
  <si>
    <t>147,4460</t>
  </si>
  <si>
    <t>142,4150</t>
  </si>
  <si>
    <t>120,3520</t>
  </si>
  <si>
    <t>Teen 13-15</t>
  </si>
  <si>
    <t>80,1378</t>
  </si>
  <si>
    <t>165,7200</t>
  </si>
  <si>
    <t>137,0600</t>
  </si>
  <si>
    <t>133,8140</t>
  </si>
  <si>
    <t>191,8960</t>
  </si>
  <si>
    <t>190,8237</t>
  </si>
  <si>
    <t>182,9188</t>
  </si>
  <si>
    <t>182,5113</t>
  </si>
  <si>
    <t>178,2457</t>
  </si>
  <si>
    <t>175,5802</t>
  </si>
  <si>
    <t>170,6280</t>
  </si>
  <si>
    <t>170,6040</t>
  </si>
  <si>
    <t>168,9861</t>
  </si>
  <si>
    <t>167,4035</t>
  </si>
  <si>
    <t>165,4185</t>
  </si>
  <si>
    <t>164,6185</t>
  </si>
  <si>
    <t>159,1850</t>
  </si>
  <si>
    <t>156,9510</t>
  </si>
  <si>
    <t>153,7340</t>
  </si>
  <si>
    <t>148,9625</t>
  </si>
  <si>
    <t>148,3625</t>
  </si>
  <si>
    <t>145,0350</t>
  </si>
  <si>
    <t>140,7884</t>
  </si>
  <si>
    <t>140,5560</t>
  </si>
  <si>
    <t>135,7470</t>
  </si>
  <si>
    <t>Masters 70-74</t>
  </si>
  <si>
    <t>211,7087</t>
  </si>
  <si>
    <t>208,8080</t>
  </si>
  <si>
    <t>191,8357</t>
  </si>
  <si>
    <t>187,5761</t>
  </si>
  <si>
    <t>187,1921</t>
  </si>
  <si>
    <t>170,7516</t>
  </si>
  <si>
    <t>167,5598</t>
  </si>
  <si>
    <t>Masters 65-69</t>
  </si>
  <si>
    <t>165,7988</t>
  </si>
  <si>
    <t>163,9508</t>
  </si>
  <si>
    <t>160,0425</t>
  </si>
  <si>
    <t>158,8968</t>
  </si>
  <si>
    <t>158,4838</t>
  </si>
  <si>
    <t>155,6158</t>
  </si>
  <si>
    <t>149,3020</t>
  </si>
  <si>
    <t>123,8107</t>
  </si>
  <si>
    <t>World Champions Cup AWPC raw benchpress
Dolgoprudniy, Russia 03-05 November 2017</t>
  </si>
  <si>
    <t>Body Weight Category  52</t>
  </si>
  <si>
    <t>Willis Richard</t>
  </si>
  <si>
    <t>Masters 45-49 (18.03.1969)/48</t>
  </si>
  <si>
    <t>50,60</t>
  </si>
  <si>
    <t>United Kingdom</t>
  </si>
  <si>
    <t>95,0</t>
  </si>
  <si>
    <t>97,5</t>
  </si>
  <si>
    <t>102,5</t>
  </si>
  <si>
    <t>Body Weight Category  60</t>
  </si>
  <si>
    <t>Miroshnikov Artemiy</t>
  </si>
  <si>
    <t>Open (05.11.1981)/36</t>
  </si>
  <si>
    <t>56,10</t>
  </si>
  <si>
    <t>92,5</t>
  </si>
  <si>
    <t>Gibson David</t>
  </si>
  <si>
    <t>Open (02.11.1966)/51</t>
  </si>
  <si>
    <t>84,90</t>
  </si>
  <si>
    <t>147,5</t>
  </si>
  <si>
    <t>152,5</t>
  </si>
  <si>
    <t>Toksharov Aysa</t>
  </si>
  <si>
    <t>Open (08.08.1980)/37</t>
  </si>
  <si>
    <t>89,60</t>
  </si>
  <si>
    <t>93,3822</t>
  </si>
  <si>
    <t>82,8022</t>
  </si>
  <si>
    <t>60</t>
  </si>
  <si>
    <t>80,1855</t>
  </si>
  <si>
    <t>52</t>
  </si>
  <si>
    <t>106,5671</t>
  </si>
  <si>
    <t>World Championship WPC raw benchpress
Dolgoprudniy, Russia 03-05 November 2017</t>
  </si>
  <si>
    <t>Guseva Tatjana</t>
  </si>
  <si>
    <t>Open (13.06.1982)/35</t>
  </si>
  <si>
    <t>51,30</t>
  </si>
  <si>
    <t>Latvia</t>
  </si>
  <si>
    <t>72,5</t>
  </si>
  <si>
    <t>77,5</t>
  </si>
  <si>
    <t>82,5</t>
  </si>
  <si>
    <t>Torres Vanessa</t>
  </si>
  <si>
    <t>Open (15.12.1986)/31</t>
  </si>
  <si>
    <t>59,00</t>
  </si>
  <si>
    <t>Romanovich Natalia</t>
  </si>
  <si>
    <t>Masters 45-49 (26.06.1969)/48</t>
  </si>
  <si>
    <t>59,40</t>
  </si>
  <si>
    <t>Fedorova Tatiana</t>
  </si>
  <si>
    <t>Masters 50-54 (12.02.1965)/52</t>
  </si>
  <si>
    <t>60,00</t>
  </si>
  <si>
    <t>57,5</t>
  </si>
  <si>
    <t>60,0</t>
  </si>
  <si>
    <t>Kolesnikova Anna</t>
  </si>
  <si>
    <t>Teen 18-19 (03.03.1998)/19</t>
  </si>
  <si>
    <t>65,30</t>
  </si>
  <si>
    <t>75,0</t>
  </si>
  <si>
    <t>80,0</t>
  </si>
  <si>
    <t>87,5</t>
  </si>
  <si>
    <t>Bies Johanna</t>
  </si>
  <si>
    <t>Open (28.07.1972)/45</t>
  </si>
  <si>
    <t>61,90</t>
  </si>
  <si>
    <t>95,571</t>
  </si>
  <si>
    <t>Maleeva Lyubov</t>
  </si>
  <si>
    <t>Open (25.08.1977)/40</t>
  </si>
  <si>
    <t>66,50</t>
  </si>
  <si>
    <t>Blotskaya Viktoriya</t>
  </si>
  <si>
    <t>Open (14.01.1985)/32</t>
  </si>
  <si>
    <t>67,30</t>
  </si>
  <si>
    <t>Open (03.03.1998)/19</t>
  </si>
  <si>
    <t>70,0</t>
  </si>
  <si>
    <t>Masters 40-44 (25.08.1977)/40</t>
  </si>
  <si>
    <t>Masters 45-49 (28.07.1972)/45</t>
  </si>
  <si>
    <t>106,701</t>
  </si>
  <si>
    <t>Herrmann Nelly</t>
  </si>
  <si>
    <t>Masters 70-74 (15.12.1944)/73</t>
  </si>
  <si>
    <t>65,00</t>
  </si>
  <si>
    <t>Switzerland</t>
  </si>
  <si>
    <t>67,5</t>
  </si>
  <si>
    <t>55,5</t>
  </si>
  <si>
    <t>Sukhanova Regina</t>
  </si>
  <si>
    <t>Open (30.07.1980)/37</t>
  </si>
  <si>
    <t>73,40</t>
  </si>
  <si>
    <t>Fadeeva Alina</t>
  </si>
  <si>
    <t>Open (09.09.1988)/29</t>
  </si>
  <si>
    <t>73,50</t>
  </si>
  <si>
    <t>112,5</t>
  </si>
  <si>
    <t>117,5</t>
  </si>
  <si>
    <t>Pellikka Krista</t>
  </si>
  <si>
    <t>Open (29.06.1987)/30</t>
  </si>
  <si>
    <t>74,50</t>
  </si>
  <si>
    <t>Croydon Catherine</t>
  </si>
  <si>
    <t>Open (10.03.1991)/26</t>
  </si>
  <si>
    <t>Ireland</t>
  </si>
  <si>
    <t>Baklykova Olga</t>
  </si>
  <si>
    <t>Masters 50-54 (07.05.1964)/53</t>
  </si>
  <si>
    <t>73,0</t>
  </si>
  <si>
    <t>Kodzaeva Yana</t>
  </si>
  <si>
    <t>Open (20.06.1993)/24</t>
  </si>
  <si>
    <t>79,30</t>
  </si>
  <si>
    <t>120,0</t>
  </si>
  <si>
    <t>120</t>
  </si>
  <si>
    <t>107,544</t>
  </si>
  <si>
    <t>Peledutse Luchian</t>
  </si>
  <si>
    <t>Teen 13-15 (16.08.2004)/13</t>
  </si>
  <si>
    <t>49,60</t>
  </si>
  <si>
    <t>35,0</t>
  </si>
  <si>
    <t>40,0</t>
  </si>
  <si>
    <t>45,0</t>
  </si>
  <si>
    <t>Davalle Richard</t>
  </si>
  <si>
    <t>Open (05.12.1983)/34</t>
  </si>
  <si>
    <t>55,20</t>
  </si>
  <si>
    <t>138,0</t>
  </si>
  <si>
    <t>Camicas Jean-Claude</t>
  </si>
  <si>
    <t>Masters 70-74 (19.03.1943)/74</t>
  </si>
  <si>
    <t>55,10</t>
  </si>
  <si>
    <t>Rusu Daniil</t>
  </si>
  <si>
    <t>Teen 13-15 (03.09.2003)/14</t>
  </si>
  <si>
    <t>62,90</t>
  </si>
  <si>
    <t>50,0</t>
  </si>
  <si>
    <t>Ryzhikh Evgeniy</t>
  </si>
  <si>
    <t>Teen 16-17 (15.05.2000)/17</t>
  </si>
  <si>
    <t>62,00</t>
  </si>
  <si>
    <t>Mouroux Thoma</t>
  </si>
  <si>
    <t>Juniors 20-23 (12.11.1996)/21</t>
  </si>
  <si>
    <t>67,00</t>
  </si>
  <si>
    <t>Raichonok Gint</t>
  </si>
  <si>
    <t>Juniors 20-23 (26.11.1995)/22</t>
  </si>
  <si>
    <t>66,60</t>
  </si>
  <si>
    <t>Martin Jose</t>
  </si>
  <si>
    <t>Masters 55-59 (19.03.1961)/56</t>
  </si>
  <si>
    <t>66,30</t>
  </si>
  <si>
    <t>Rapoport Mikhail</t>
  </si>
  <si>
    <t>Teen 18-19 (07.04.1999)/18</t>
  </si>
  <si>
    <t>74,80</t>
  </si>
  <si>
    <t>Pavlinov Kirill</t>
  </si>
  <si>
    <t>Juniors 20-23 (13.02.1994)/23</t>
  </si>
  <si>
    <t>71,50</t>
  </si>
  <si>
    <t>78,54</t>
  </si>
  <si>
    <t>Rzayev Ramin</t>
  </si>
  <si>
    <t>Open (24.07.1980)/37</t>
  </si>
  <si>
    <t>74,70</t>
  </si>
  <si>
    <t>192,5</t>
  </si>
  <si>
    <t>Chincharauli Georgi</t>
  </si>
  <si>
    <t>Open (15.04.1991)/26</t>
  </si>
  <si>
    <t>74,30</t>
  </si>
  <si>
    <t>114,411</t>
  </si>
  <si>
    <t>Kempes Cange</t>
  </si>
  <si>
    <t>Open (15.10.1993)/24</t>
  </si>
  <si>
    <t>Kungurtsev Pavel</t>
  </si>
  <si>
    <t>Masters 40-44 (01.10.1976)/41</t>
  </si>
  <si>
    <t>Eldin Vincent</t>
  </si>
  <si>
    <t>Masters 45-49 (15.04.1972)/45</t>
  </si>
  <si>
    <t>137,5</t>
  </si>
  <si>
    <t>95,095</t>
  </si>
  <si>
    <t>Ljadov Sergei</t>
  </si>
  <si>
    <t>Masters 60-64 (02.11.1956)/61</t>
  </si>
  <si>
    <t>Estonia</t>
  </si>
  <si>
    <t>107,5</t>
  </si>
  <si>
    <t>122,9155</t>
  </si>
  <si>
    <t>Sparberg Arvid</t>
  </si>
  <si>
    <t>Masters 70-74 (18.11.1945)/72</t>
  </si>
  <si>
    <t>70,30</t>
  </si>
  <si>
    <t>Terentyev Kirill</t>
  </si>
  <si>
    <t>Teen 16-17 (29.01.2001)/16</t>
  </si>
  <si>
    <t>80,40</t>
  </si>
  <si>
    <t>Efremenko Sergey</t>
  </si>
  <si>
    <t>Teen 18-19 (28.03.1999)/18</t>
  </si>
  <si>
    <t>81,60</t>
  </si>
  <si>
    <t>185,5</t>
  </si>
  <si>
    <t>Delbasteh Saleh</t>
  </si>
  <si>
    <t>Juniors 20-23 (09.05.1996)/21</t>
  </si>
  <si>
    <t>81,30</t>
  </si>
  <si>
    <t>177,5</t>
  </si>
  <si>
    <t>Volebob Maksim</t>
  </si>
  <si>
    <t>Juniors 20-23 (14.11.1995)/22</t>
  </si>
  <si>
    <t>80,30</t>
  </si>
  <si>
    <t>107,118</t>
  </si>
  <si>
    <t>Rohm Valentin</t>
  </si>
  <si>
    <t>Juniors 20-23 (17.03.1995)/22</t>
  </si>
  <si>
    <t>79,60</t>
  </si>
  <si>
    <t>Germany</t>
  </si>
  <si>
    <t>92,4</t>
  </si>
  <si>
    <t>Trafimov Andrey</t>
  </si>
  <si>
    <t>Juniors 20-23 (07.01.1995)/22</t>
  </si>
  <si>
    <t>77,00</t>
  </si>
  <si>
    <t>115</t>
  </si>
  <si>
    <t>77,6825</t>
  </si>
  <si>
    <t>Yugay Vladimir</t>
  </si>
  <si>
    <t>Open (10.10.1987)/30</t>
  </si>
  <si>
    <t>Ryabov Artem</t>
  </si>
  <si>
    <t>Open (08.04.1985)/32</t>
  </si>
  <si>
    <t>132,5</t>
  </si>
  <si>
    <t>Tayebi Fazlollah</t>
  </si>
  <si>
    <t>Masters 45-49 (23.05.1969)/48</t>
  </si>
  <si>
    <t>Klatik Sergey</t>
  </si>
  <si>
    <t>Masters 60-64 (12.09.1955)/62</t>
  </si>
  <si>
    <t>80,70</t>
  </si>
  <si>
    <t>Ryazanov Boris</t>
  </si>
  <si>
    <t>Masters 60-64 (13.06.1954)/63</t>
  </si>
  <si>
    <t>82,10</t>
  </si>
  <si>
    <t>Lambert Francois</t>
  </si>
  <si>
    <t>Masters 70-74 (17.12.1946)/71</t>
  </si>
  <si>
    <t>79,00</t>
  </si>
  <si>
    <t>98,235</t>
  </si>
  <si>
    <t>Herrmann Peter</t>
  </si>
  <si>
    <t>Masters 75-79 (13.03.1942)/75</t>
  </si>
  <si>
    <t>Sannikov Vladislav</t>
  </si>
  <si>
    <t>Masters 75-79 (29.10.1938)/79</t>
  </si>
  <si>
    <t>77,30</t>
  </si>
  <si>
    <t>Faizov Nail</t>
  </si>
  <si>
    <t>Masters 75-79 (19.06.1941)/76</t>
  </si>
  <si>
    <t>76,90</t>
  </si>
  <si>
    <t>65,0</t>
  </si>
  <si>
    <t>75,10</t>
  </si>
  <si>
    <t>Molotievskiy Pavel</t>
  </si>
  <si>
    <t>Teen 18-19 (17.06.1998)/19</t>
  </si>
  <si>
    <t>Timchenko Sergey</t>
  </si>
  <si>
    <t>Open (23.12.1979)/38</t>
  </si>
  <si>
    <t>Gafarov Kamil</t>
  </si>
  <si>
    <t>Open (23.03.1984)/33</t>
  </si>
  <si>
    <t>88,10</t>
  </si>
  <si>
    <t>210</t>
  </si>
  <si>
    <t>130,032</t>
  </si>
  <si>
    <t>Balandin Sergey</t>
  </si>
  <si>
    <t>Open (14.12.1984)/33</t>
  </si>
  <si>
    <t>88,40</t>
  </si>
  <si>
    <t>195,0</t>
  </si>
  <si>
    <t>197,5</t>
  </si>
  <si>
    <t>Karpov Roman</t>
  </si>
  <si>
    <t>Open (26.10.1979)/38</t>
  </si>
  <si>
    <t>Kasaraev Sergey</t>
  </si>
  <si>
    <t>Open (18.02.1974)/43</t>
  </si>
  <si>
    <t>86,30</t>
  </si>
  <si>
    <t>Bulakhov Evgeniy</t>
  </si>
  <si>
    <t>Open (07.06.1985)/32</t>
  </si>
  <si>
    <t>85,90</t>
  </si>
  <si>
    <t>Askarov Seymur</t>
  </si>
  <si>
    <t>Open (20.11.1984)/33</t>
  </si>
  <si>
    <t>88,50</t>
  </si>
  <si>
    <t>Pour Ahmadi</t>
  </si>
  <si>
    <t>Open (11.03.1987)/30</t>
  </si>
  <si>
    <t>88,30</t>
  </si>
  <si>
    <t>Spires Kent</t>
  </si>
  <si>
    <t>Open (05.05.1970)/47</t>
  </si>
  <si>
    <t>Masters 40-44 (18.02.1974)/43</t>
  </si>
  <si>
    <t>Bartenev Arleksey</t>
  </si>
  <si>
    <t>Masters 40-44 (01.03.1975)/42</t>
  </si>
  <si>
    <t>85,70</t>
  </si>
  <si>
    <t>200</t>
  </si>
  <si>
    <t>128,4</t>
  </si>
  <si>
    <t>Masters 45-49 (05.05.1970)/47</t>
  </si>
  <si>
    <t>233,5</t>
  </si>
  <si>
    <t>237,5</t>
  </si>
  <si>
    <t>Savelyev Eduard</t>
  </si>
  <si>
    <t>Masters 45-49 (12.03.1971)/46</t>
  </si>
  <si>
    <t>87,30</t>
  </si>
  <si>
    <t>Masters 50-54 (02.11.1966)/51</t>
  </si>
  <si>
    <t>Akhmedov Asaf</t>
  </si>
  <si>
    <t>Masters 50-54 (23.07.1965)/52</t>
  </si>
  <si>
    <t>83,60</t>
  </si>
  <si>
    <t>96,811</t>
  </si>
  <si>
    <t>Bazanov Sergey</t>
  </si>
  <si>
    <t>Masters 55-59 (22.06.1962)/55</t>
  </si>
  <si>
    <t>86,80</t>
  </si>
  <si>
    <t>162,5</t>
  </si>
  <si>
    <t>Cherkasov Egor</t>
  </si>
  <si>
    <t>Teen 18-19 (04.06.1998)/19</t>
  </si>
  <si>
    <t>91,30</t>
  </si>
  <si>
    <t>Virtanen Jani</t>
  </si>
  <si>
    <t>Juniors 20-23 (30.05.1995)/22</t>
  </si>
  <si>
    <t>96,90</t>
  </si>
  <si>
    <t>Lobov Ivan</t>
  </si>
  <si>
    <t>Open (20.05.1985)/32</t>
  </si>
  <si>
    <t>99,60</t>
  </si>
  <si>
    <t>222,5</t>
  </si>
  <si>
    <t>Solntsev Ivan</t>
  </si>
  <si>
    <t>Open (25.03.1974)/43</t>
  </si>
  <si>
    <t>Gurbanov Farid</t>
  </si>
  <si>
    <t>Open (22.08.1988)/29</t>
  </si>
  <si>
    <t>97,80</t>
  </si>
  <si>
    <t>Masters 40-44 (25.03.1974)/43</t>
  </si>
  <si>
    <t>Tsutskiridze Nodar</t>
  </si>
  <si>
    <t>Masters 40-44 (14.09.1976)/41</t>
  </si>
  <si>
    <t>97,50</t>
  </si>
  <si>
    <t>Pennington David</t>
  </si>
  <si>
    <t>Masters 50-54 (01.10.1966)/51</t>
  </si>
  <si>
    <t>99,90</t>
  </si>
  <si>
    <t>187,5</t>
  </si>
  <si>
    <t>Zheenaliev Sergek</t>
  </si>
  <si>
    <t>Masters 50-54 (22.04.1964)/53</t>
  </si>
  <si>
    <t>97,00</t>
  </si>
  <si>
    <t>Egorov Mikhail</t>
  </si>
  <si>
    <t>Masters 50-54 (27.09.1967)/50</t>
  </si>
  <si>
    <t>91,90</t>
  </si>
  <si>
    <t>Abayev Aslambek</t>
  </si>
  <si>
    <t>Masters 55-59 (28.06.1959)/58</t>
  </si>
  <si>
    <t>Matvejev Valeri</t>
  </si>
  <si>
    <t>Masters 55-59 (12.06.1960)/57</t>
  </si>
  <si>
    <t>93,10</t>
  </si>
  <si>
    <t>142,5</t>
  </si>
  <si>
    <t>Balabatko Igor</t>
  </si>
  <si>
    <t>Masters 55-59 (19.12.1960)/57</t>
  </si>
  <si>
    <t>92,60</t>
  </si>
  <si>
    <t>Ahmad Peykraftar</t>
  </si>
  <si>
    <t>Juniors 20-23 (26.06.1994)/23</t>
  </si>
  <si>
    <t>100,60</t>
  </si>
  <si>
    <t>175</t>
  </si>
  <si>
    <t>101,4825</t>
  </si>
  <si>
    <t>Colta Nicolae</t>
  </si>
  <si>
    <t>Juniors 20-23 (27.11.1995)/22</t>
  </si>
  <si>
    <t>102,00</t>
  </si>
  <si>
    <t>Moldova</t>
  </si>
  <si>
    <t>Synkov Vasiliy</t>
  </si>
  <si>
    <t>Open (07.09.1972)/45</t>
  </si>
  <si>
    <t>105,30</t>
  </si>
  <si>
    <t>Boss Daniel</t>
  </si>
  <si>
    <t>Open (10.10.1982)/35</t>
  </si>
  <si>
    <t>108,60</t>
  </si>
  <si>
    <t>Terentyev Igor</t>
  </si>
  <si>
    <t>Open (27.10.1979)/38</t>
  </si>
  <si>
    <t>103,60</t>
  </si>
  <si>
    <t>207,5</t>
  </si>
  <si>
    <t>Belov Anton</t>
  </si>
  <si>
    <t>Open (24.03.1985)/32</t>
  </si>
  <si>
    <t>106,60</t>
  </si>
  <si>
    <t>Abdulayev Bakhtiyar</t>
  </si>
  <si>
    <t>Open (24.07.1981)/36</t>
  </si>
  <si>
    <t>108,00</t>
  </si>
  <si>
    <t>202,5</t>
  </si>
  <si>
    <t>Sukhov Dmitriy</t>
  </si>
  <si>
    <t>Open (09.06.1975)/42</t>
  </si>
  <si>
    <t>106,40</t>
  </si>
  <si>
    <t>Kiryanov Aleksandr</t>
  </si>
  <si>
    <t>Masters 40-44 (15.04.1975)/42</t>
  </si>
  <si>
    <t>106,80</t>
  </si>
  <si>
    <t>Kotov Alexey</t>
  </si>
  <si>
    <t>Masters 40-44 (04.01.1974)/43</t>
  </si>
  <si>
    <t>105,80</t>
  </si>
  <si>
    <t>Aleksandrov Evgeniy</t>
  </si>
  <si>
    <t>Masters 40-44 (28.12.1974)/43</t>
  </si>
  <si>
    <t>107,30</t>
  </si>
  <si>
    <t>Masters 40-44 (09.06.1975)/42</t>
  </si>
  <si>
    <t>Valiollah Moosavi</t>
  </si>
  <si>
    <t>Masters 40-44 (23.09.1973)/44</t>
  </si>
  <si>
    <t>109,30</t>
  </si>
  <si>
    <t>Masters 45-49 (07.09.1972)/45</t>
  </si>
  <si>
    <t>Richard Spiroff</t>
  </si>
  <si>
    <t>Masters 45-49 (22.05.1969)/48</t>
  </si>
  <si>
    <t>106,90</t>
  </si>
  <si>
    <t>Chusovskoy Mikhail</t>
  </si>
  <si>
    <t>Masters 45-49 (21.09.1972)/45</t>
  </si>
  <si>
    <t>108,90</t>
  </si>
  <si>
    <t>Nosov Dmitriy</t>
  </si>
  <si>
    <t>Masters 45-49 (14.03.1971)/46</t>
  </si>
  <si>
    <t>103,70</t>
  </si>
  <si>
    <t>Beleckii Evgeniy</t>
  </si>
  <si>
    <t>Masters 50-54 (02.05.1964)/53</t>
  </si>
  <si>
    <t>103,50</t>
  </si>
  <si>
    <t>215,5</t>
  </si>
  <si>
    <t>Kurotchenko Igor</t>
  </si>
  <si>
    <t>Masters 55-59 (20.03.1962)/55</t>
  </si>
  <si>
    <t>Dyakonov Sergey</t>
  </si>
  <si>
    <t>Masters 60-64 (08.07.1957)/60</t>
  </si>
  <si>
    <t>Ponomarev Vitaliy</t>
  </si>
  <si>
    <t>Masters 60-64 (17.02.1957)/60</t>
  </si>
  <si>
    <t>102,90</t>
  </si>
  <si>
    <t>154,04</t>
  </si>
  <si>
    <t>Grachik Vaginakovich</t>
  </si>
  <si>
    <t>Masters 65-69 (10.08.1952)/65</t>
  </si>
  <si>
    <t>Listopad Ivan</t>
  </si>
  <si>
    <t>Juniors 20-23 (29.05.1995)/22</t>
  </si>
  <si>
    <t>114,60</t>
  </si>
  <si>
    <t>Karpov Aleksandr</t>
  </si>
  <si>
    <t>Open (01.07.1982)/35</t>
  </si>
  <si>
    <t>120,10</t>
  </si>
  <si>
    <t>Pronin Vadim</t>
  </si>
  <si>
    <t>Open (10.09.1979)/38</t>
  </si>
  <si>
    <t>Navarko Andrey</t>
  </si>
  <si>
    <t>Masters 40-44 (06.06.1975)/42</t>
  </si>
  <si>
    <t>120,30</t>
  </si>
  <si>
    <t>Veretennikov Anatoliy</t>
  </si>
  <si>
    <t>Masters 40-44 (14.07.1976)/41</t>
  </si>
  <si>
    <t>123,30</t>
  </si>
  <si>
    <t>195</t>
  </si>
  <si>
    <t>107,8155</t>
  </si>
  <si>
    <t>Kaekhtin Andrey</t>
  </si>
  <si>
    <t>Masters 45-49 (04.12.1968)/49</t>
  </si>
  <si>
    <t>Berman Yakov</t>
  </si>
  <si>
    <t>Masters 45-49 (22.06.1972)/45</t>
  </si>
  <si>
    <t>118,70</t>
  </si>
  <si>
    <t>Aladishev Sergey</t>
  </si>
  <si>
    <t>Masters 45-49 (08.05.1971)/46</t>
  </si>
  <si>
    <t>124,90</t>
  </si>
  <si>
    <t>Dorozhenko Dmitriy</t>
  </si>
  <si>
    <t>Masters 45-49 (14.04.1972)/45</t>
  </si>
  <si>
    <t>110,30</t>
  </si>
  <si>
    <t>Tikhonov Oleg</t>
  </si>
  <si>
    <t>Masters 45-49 (21.08.1969)/48</t>
  </si>
  <si>
    <t>112,10</t>
  </si>
  <si>
    <t>Chernyshenko Vasiliy</t>
  </si>
  <si>
    <t>Masters 50-54 (25.05.1963)/54</t>
  </si>
  <si>
    <t>116,90</t>
  </si>
  <si>
    <t>Nikolaev Mikhail</t>
  </si>
  <si>
    <t>Masters 55-59 (27.05.1961)/56</t>
  </si>
  <si>
    <t>125,00</t>
  </si>
  <si>
    <t>135,92</t>
  </si>
  <si>
    <t>Suzstay Erik</t>
  </si>
  <si>
    <t>Open (28.06.1972)/45</t>
  </si>
  <si>
    <t>132,60</t>
  </si>
  <si>
    <t>Salonen Sami</t>
  </si>
  <si>
    <t>Open (26.07.1969)/48</t>
  </si>
  <si>
    <t>137,80</t>
  </si>
  <si>
    <t>Nuruev Ramig</t>
  </si>
  <si>
    <t>Open (03.11.1984)/33</t>
  </si>
  <si>
    <t>133,10</t>
  </si>
  <si>
    <t>220</t>
  </si>
  <si>
    <t>118,184</t>
  </si>
  <si>
    <t>Dedyulya Valentin</t>
  </si>
  <si>
    <t>Masters 45-49 (28.06.1972)/45</t>
  </si>
  <si>
    <t>Masters 45-49 (26.07.1969)/48</t>
  </si>
  <si>
    <t>Savich Rade</t>
  </si>
  <si>
    <t>Open (27.04.1984)/33</t>
  </si>
  <si>
    <t>151,90</t>
  </si>
  <si>
    <t>Serbia</t>
  </si>
  <si>
    <t>Barashev Oleg</t>
  </si>
  <si>
    <t>Masters 40-44 (30.10.1975)/42</t>
  </si>
  <si>
    <t>143,60</t>
  </si>
  <si>
    <t>Lazarev Sergey</t>
  </si>
  <si>
    <t>Masters 55-59 (04.04.1960)/57</t>
  </si>
  <si>
    <t>151,30</t>
  </si>
  <si>
    <t>99,315</t>
  </si>
  <si>
    <t>73,8600</t>
  </si>
  <si>
    <t>114,5272</t>
  </si>
  <si>
    <t>100,1000</t>
  </si>
  <si>
    <t>99,5871</t>
  </si>
  <si>
    <t>93,2955</t>
  </si>
  <si>
    <t>92,3890</t>
  </si>
  <si>
    <t>86,7613</t>
  </si>
  <si>
    <t>85,7771</t>
  </si>
  <si>
    <t>84,6562</t>
  </si>
  <si>
    <t>78,9031</t>
  </si>
  <si>
    <t>109,9812</t>
  </si>
  <si>
    <t>106,4869</t>
  </si>
  <si>
    <t>87,5592</t>
  </si>
  <si>
    <t>83,5830</t>
  </si>
  <si>
    <t>77,6513</t>
  </si>
  <si>
    <t>66,1569</t>
  </si>
  <si>
    <t>120,1112</t>
  </si>
  <si>
    <t>96,5860</t>
  </si>
  <si>
    <t>82,6537</t>
  </si>
  <si>
    <t>76,6888</t>
  </si>
  <si>
    <t>70,4824</t>
  </si>
  <si>
    <t>63,9370</t>
  </si>
  <si>
    <t>43,8102</t>
  </si>
  <si>
    <t>40,7660</t>
  </si>
  <si>
    <t>113,8900</t>
  </si>
  <si>
    <t>111,9860</t>
  </si>
  <si>
    <t>100,9225</t>
  </si>
  <si>
    <t>90,3780</t>
  </si>
  <si>
    <t>83,4975</t>
  </si>
  <si>
    <t>136,3425</t>
  </si>
  <si>
    <t>132,5483</t>
  </si>
  <si>
    <t>130,8300</t>
  </si>
  <si>
    <t>129,5618</t>
  </si>
  <si>
    <t>127,7610</t>
  </si>
  <si>
    <t>127,0237</t>
  </si>
  <si>
    <t>122,5641</t>
  </si>
  <si>
    <t>122,0747</t>
  </si>
  <si>
    <t>121,8369</t>
  </si>
  <si>
    <t>121,0496</t>
  </si>
  <si>
    <t>120,9960</t>
  </si>
  <si>
    <t>120,6575</t>
  </si>
  <si>
    <t>120,2890</t>
  </si>
  <si>
    <t>119,1015</t>
  </si>
  <si>
    <t>118,7550</t>
  </si>
  <si>
    <t>117,7865</t>
  </si>
  <si>
    <t>117,0535</t>
  </si>
  <si>
    <t>116,5600</t>
  </si>
  <si>
    <t>116,2910</t>
  </si>
  <si>
    <t>114,2745</t>
  </si>
  <si>
    <t>113,6200</t>
  </si>
  <si>
    <t>112,9879</t>
  </si>
  <si>
    <t>110,1680</t>
  </si>
  <si>
    <t>107,9487</t>
  </si>
  <si>
    <t>160,4022</t>
  </si>
  <si>
    <t>154,4914</t>
  </si>
  <si>
    <t>154,2974</t>
  </si>
  <si>
    <t>142,9340</t>
  </si>
  <si>
    <t>141,5796</t>
  </si>
  <si>
    <t>139,8384</t>
  </si>
  <si>
    <t>139,7399</t>
  </si>
  <si>
    <t>138,9118</t>
  </si>
  <si>
    <t>134,3757</t>
  </si>
  <si>
    <t>133,9093</t>
  </si>
  <si>
    <t>Masters 80up</t>
  </si>
  <si>
    <t>130,4336</t>
  </si>
  <si>
    <t>128,0003</t>
  </si>
  <si>
    <t>Masters 75-79</t>
  </si>
  <si>
    <t>127,8399</t>
  </si>
  <si>
    <t>127,6508</t>
  </si>
  <si>
    <t>126,8763</t>
  </si>
  <si>
    <t>126,1717</t>
  </si>
  <si>
    <t>123,6016</t>
  </si>
  <si>
    <t>122,7936</t>
  </si>
  <si>
    <t>122,2126</t>
  </si>
  <si>
    <t>121,9429</t>
  </si>
  <si>
    <t>120,9054</t>
  </si>
  <si>
    <t>120,1734</t>
  </si>
  <si>
    <t>120,0668</t>
  </si>
  <si>
    <t>118,4197</t>
  </si>
  <si>
    <t>World Championship WPC single-ply deadlift
Dolgoprudniy, Russia 03-05 November 2017</t>
  </si>
  <si>
    <t>Telidis Kostas</t>
  </si>
  <si>
    <t>Open (18.04.1989)/28</t>
  </si>
  <si>
    <t>275,5</t>
  </si>
  <si>
    <t>Telidis Ye.O.</t>
  </si>
  <si>
    <t>Semenov Konstantin</t>
  </si>
  <si>
    <t>Open (24.08.1964)/53</t>
  </si>
  <si>
    <t>141,1425</t>
  </si>
  <si>
    <t>Manuilov Nikita</t>
  </si>
  <si>
    <t>Open (24.04.1993)/24</t>
  </si>
  <si>
    <t>74,00</t>
  </si>
  <si>
    <t>104,3775</t>
  </si>
  <si>
    <t>Masters 50-54 (24.08.1964)/53</t>
  </si>
  <si>
    <t>Batbold Otgonbaatar</t>
  </si>
  <si>
    <t>Juniors 20-23 (04.04.1996)/21</t>
  </si>
  <si>
    <t>82,20</t>
  </si>
  <si>
    <t>Mongolia</t>
  </si>
  <si>
    <t>Bulgarevich Stanislav</t>
  </si>
  <si>
    <t>Open (12.05.1986)/31</t>
  </si>
  <si>
    <t>77,60</t>
  </si>
  <si>
    <t>Kandaurov Sergey</t>
  </si>
  <si>
    <t>Masters 40-44 (29.05.1974)/43</t>
  </si>
  <si>
    <t>82,40</t>
  </si>
  <si>
    <t>127,5</t>
  </si>
  <si>
    <t>Aghaev Elshan</t>
  </si>
  <si>
    <t>Open (18.07.1983)/34</t>
  </si>
  <si>
    <t>Azerbaidzhan</t>
  </si>
  <si>
    <t>Open (20.05.1966)/51</t>
  </si>
  <si>
    <t>Matveev Alexandr</t>
  </si>
  <si>
    <t>Masters 40-44 (27.10.1974)/43</t>
  </si>
  <si>
    <t>Agaev Rufat</t>
  </si>
  <si>
    <t>Masters 40-44 (16.08.1975)/42</t>
  </si>
  <si>
    <t>90,00</t>
  </si>
  <si>
    <t>Rostovtsev Mikhail</t>
  </si>
  <si>
    <t>Masters 55-59 (28.05.1958)/59</t>
  </si>
  <si>
    <t>Eck Erno</t>
  </si>
  <si>
    <t>Juniors 20-23 (25.03.1994)/23</t>
  </si>
  <si>
    <t>96,80</t>
  </si>
  <si>
    <t>Luchnikov Ilya</t>
  </si>
  <si>
    <t>Open (11.03.1974)/43</t>
  </si>
  <si>
    <t>Yuriev Dmitriy</t>
  </si>
  <si>
    <t>Open (24.01.1992)/25</t>
  </si>
  <si>
    <t>Masters 40-44 (11.03.1974)/43</t>
  </si>
  <si>
    <t>Israilov Arbi</t>
  </si>
  <si>
    <t>Masters 45-49 (20.07.1968)/49</t>
  </si>
  <si>
    <t>Rezai Mostafa</t>
  </si>
  <si>
    <t>Open (23.08.1984)/33</t>
  </si>
  <si>
    <t>117,10</t>
  </si>
  <si>
    <t>Pivovarov Oleg</t>
  </si>
  <si>
    <t>Masters 50-54 (18.03.1963)/54</t>
  </si>
  <si>
    <t>111,00</t>
  </si>
  <si>
    <t>247,5</t>
  </si>
  <si>
    <t>Maheripourehir Peiman</t>
  </si>
  <si>
    <t>Open (10.05.1987)/30</t>
  </si>
  <si>
    <t>144,60</t>
  </si>
  <si>
    <t>385,0</t>
  </si>
  <si>
    <t>400,0</t>
  </si>
  <si>
    <t>405,0</t>
  </si>
  <si>
    <t>410,0</t>
  </si>
  <si>
    <t>135,6195</t>
  </si>
  <si>
    <t>213,5727</t>
  </si>
  <si>
    <t>186,1365</t>
  </si>
  <si>
    <t>182,4657</t>
  </si>
  <si>
    <t>177,2640</t>
  </si>
  <si>
    <t>172,0050</t>
  </si>
  <si>
    <t>162,3390</t>
  </si>
  <si>
    <t>141,6110</t>
  </si>
  <si>
    <t>133,0527</t>
  </si>
  <si>
    <t>83,9750</t>
  </si>
  <si>
    <t>191,9067</t>
  </si>
  <si>
    <t>189,0770</t>
  </si>
  <si>
    <t>180,3612</t>
  </si>
  <si>
    <t>167,2022</t>
  </si>
  <si>
    <t>167,1249</t>
  </si>
  <si>
    <t>162,4278</t>
  </si>
  <si>
    <t>162,0802</t>
  </si>
  <si>
    <t>156,2981</t>
  </si>
  <si>
    <t>129,0273</t>
  </si>
  <si>
    <t>World Championship WPC multy-ply deadlift
Dolgoprudniy, Russia 03-05 November 2017</t>
  </si>
  <si>
    <t>Pilipchatina Yuliya</t>
  </si>
  <si>
    <t>Open (29.09.1984)/33</t>
  </si>
  <si>
    <t>73,10</t>
  </si>
  <si>
    <t>Stoyanov Valeriy</t>
  </si>
  <si>
    <t>Masters 55-59 (25.11.1957)/60</t>
  </si>
  <si>
    <t>73,70</t>
  </si>
  <si>
    <t>Movahedazar Farshad</t>
  </si>
  <si>
    <t>Open (30.03.1992)/25</t>
  </si>
  <si>
    <t>Zhabin Vladimir</t>
  </si>
  <si>
    <t>Open (27.06.1980)/37</t>
  </si>
  <si>
    <t>89,20</t>
  </si>
  <si>
    <t>Eck Laszlo</t>
  </si>
  <si>
    <t>Open (27.05.1978)/39</t>
  </si>
  <si>
    <t>87,50</t>
  </si>
  <si>
    <t>Ahmadov Ramil</t>
  </si>
  <si>
    <t>Open (06.05.1988)/29</t>
  </si>
  <si>
    <t>97,40</t>
  </si>
  <si>
    <t>Nosov Aleksandr</t>
  </si>
  <si>
    <t>Open (01.01.1985)/32</t>
  </si>
  <si>
    <t>98,30</t>
  </si>
  <si>
    <t>277,5</t>
  </si>
  <si>
    <t>Mohammed Azamathulla</t>
  </si>
  <si>
    <t>Open (23.11.1977)/40</t>
  </si>
  <si>
    <t>95,90</t>
  </si>
  <si>
    <t>Ghazizadehkhosroshahi Mehdi</t>
  </si>
  <si>
    <t>Open (24.07.1985)/32</t>
  </si>
  <si>
    <t>Karimpourbakhshkandi Tohid</t>
  </si>
  <si>
    <t>Open (17.05.1982)/35</t>
  </si>
  <si>
    <t>121,10</t>
  </si>
  <si>
    <t>Hudak Ondrej</t>
  </si>
  <si>
    <t>Masters 40-44 (02.02.1975)/42</t>
  </si>
  <si>
    <t>116,30</t>
  </si>
  <si>
    <t>Repisky Karol</t>
  </si>
  <si>
    <t>Masters 50-54 (26.06.1964)/53</t>
  </si>
  <si>
    <t>130,30</t>
  </si>
  <si>
    <t>Shirin Ehsan</t>
  </si>
  <si>
    <t>Open (23.01.1987)/30</t>
  </si>
  <si>
    <t>166,40</t>
  </si>
  <si>
    <t>Armin Rafaat</t>
  </si>
  <si>
    <t>Open (16.09.1985)/32</t>
  </si>
  <si>
    <t>146,40</t>
  </si>
  <si>
    <t>170,1400</t>
  </si>
  <si>
    <t>158,3067</t>
  </si>
  <si>
    <t>188,1600</t>
  </si>
  <si>
    <t>175,2465</t>
  </si>
  <si>
    <t>170,4380</t>
  </si>
  <si>
    <t>169,8240</t>
  </si>
  <si>
    <t>159,9075</t>
  </si>
  <si>
    <t>152,1450</t>
  </si>
  <si>
    <t>147,0393</t>
  </si>
  <si>
    <t>146,1112</t>
  </si>
  <si>
    <t>145,7675</t>
  </si>
  <si>
    <t>142,4295</t>
  </si>
  <si>
    <t>128,9200</t>
  </si>
  <si>
    <t>105,1850</t>
  </si>
  <si>
    <t>228,3372</t>
  </si>
  <si>
    <t>177,5962</t>
  </si>
  <si>
    <t>172,5827</t>
  </si>
  <si>
    <t>159,8518</t>
  </si>
  <si>
    <t>World Championship WPC single-ply benchpress
Dolgoprudniy, Russia 03-05 November 2017</t>
  </si>
  <si>
    <t>Kuznetsova Yuliya</t>
  </si>
  <si>
    <t>Open (15.05.1973)/44</t>
  </si>
  <si>
    <t>59,80</t>
  </si>
  <si>
    <t>Ponomarev V.A.</t>
  </si>
  <si>
    <t>Ylitalo-James Emma</t>
  </si>
  <si>
    <t>Open (24.11.1969)/48</t>
  </si>
  <si>
    <t>81,00</t>
  </si>
  <si>
    <t>Trubin Stanislav</t>
  </si>
  <si>
    <t>Juniors 20-23 (14.10.1995)/22</t>
  </si>
  <si>
    <t>50,40</t>
  </si>
  <si>
    <t>185</t>
  </si>
  <si>
    <t>123,0431</t>
  </si>
  <si>
    <t>Emelin Evgeniy</t>
  </si>
  <si>
    <t>Masters 50-54 (01.10.1964)/53</t>
  </si>
  <si>
    <t>75,20</t>
  </si>
  <si>
    <t>Krasnov Nikolay</t>
  </si>
  <si>
    <t>Masters 55-59 (22.07.1960)/57</t>
  </si>
  <si>
    <t>82,00</t>
  </si>
  <si>
    <t>Nikiforov Sergey</t>
  </si>
  <si>
    <t>Masters 70-74 (02.10.1947)/70</t>
  </si>
  <si>
    <t>79,40</t>
  </si>
  <si>
    <t>145</t>
  </si>
  <si>
    <t>157,7127</t>
  </si>
  <si>
    <t>Yakush Segey</t>
  </si>
  <si>
    <t>Juniors 20-23 (10.03.1995)/22</t>
  </si>
  <si>
    <t>Uglichin Ilya</t>
  </si>
  <si>
    <t>Open (16.03.1987)/30</t>
  </si>
  <si>
    <t>142,7899</t>
  </si>
  <si>
    <t>Hajiyev Kanan</t>
  </si>
  <si>
    <t>Open (23.03.1989)/28</t>
  </si>
  <si>
    <t>85,50</t>
  </si>
  <si>
    <t>Volkov Maksim</t>
  </si>
  <si>
    <t>Open (05.09.1984)/33</t>
  </si>
  <si>
    <t>Open (10.03.1995)/22</t>
  </si>
  <si>
    <t>Saghaei Javad</t>
  </si>
  <si>
    <t>Open (11.04.1976)/41</t>
  </si>
  <si>
    <t>98,90</t>
  </si>
  <si>
    <t>281,0</t>
  </si>
  <si>
    <t>Taivantumur Amarzaya</t>
  </si>
  <si>
    <t>Open (02.08.1987)/30</t>
  </si>
  <si>
    <t>93,50</t>
  </si>
  <si>
    <t>Karpov Denis</t>
  </si>
  <si>
    <t>Open (20.04.1981)/36</t>
  </si>
  <si>
    <t>Masters 40-44 (11.04.1976)/41</t>
  </si>
  <si>
    <t>Alyshev Nikolay</t>
  </si>
  <si>
    <t>Open (14.10.1985)/32</t>
  </si>
  <si>
    <t>108,30</t>
  </si>
  <si>
    <t>323,0</t>
  </si>
  <si>
    <t>Nagaytsev Oleg</t>
  </si>
  <si>
    <t>Open (19.03.1987)/30</t>
  </si>
  <si>
    <t>Aliyev Ali</t>
  </si>
  <si>
    <t>Open (28.01.1994)/23</t>
  </si>
  <si>
    <t>Peshko Vladimir</t>
  </si>
  <si>
    <t>Masters 45-49 (12.02.1970)/47</t>
  </si>
  <si>
    <t>Frank Vyacheslav</t>
  </si>
  <si>
    <t>Masters 55-59 (03.03.1962)/55</t>
  </si>
  <si>
    <t>100,30</t>
  </si>
  <si>
    <t>Abdyushev Eduard</t>
  </si>
  <si>
    <t>Masters 60-64 (02.03.1955)/62</t>
  </si>
  <si>
    <t>107,70</t>
  </si>
  <si>
    <t>Dvizov Yuriy</t>
  </si>
  <si>
    <t>Vetter Hans-Urlich</t>
  </si>
  <si>
    <t>Masters 65-69 (09.04.1952)/65</t>
  </si>
  <si>
    <t>105,40</t>
  </si>
  <si>
    <t>89,9196</t>
  </si>
  <si>
    <t>Shishlyannikov Dmitriy</t>
  </si>
  <si>
    <t>Open (23.04.1980)/37</t>
  </si>
  <si>
    <t>122,80</t>
  </si>
  <si>
    <t>Jafarov Zaur</t>
  </si>
  <si>
    <t>Open (05.09.1980)/37</t>
  </si>
  <si>
    <t>112,20</t>
  </si>
  <si>
    <t>Isaev Aleksey</t>
  </si>
  <si>
    <t>Open (20.06.1975)/42</t>
  </si>
  <si>
    <t>115,00</t>
  </si>
  <si>
    <t>Begalko Anton</t>
  </si>
  <si>
    <t>Open (06.11.1986)/31</t>
  </si>
  <si>
    <t>120,80</t>
  </si>
  <si>
    <t>Masters 40-44 (20.06.1975)/42</t>
  </si>
  <si>
    <t>Halimimamghani Bahman</t>
  </si>
  <si>
    <t>Open (08.02.1984)/33</t>
  </si>
  <si>
    <t>133,00</t>
  </si>
  <si>
    <t>300</t>
  </si>
  <si>
    <t>161,2260</t>
  </si>
  <si>
    <t>Laine Veijo</t>
  </si>
  <si>
    <t>Masters 65-69 (12.04.1952)/65</t>
  </si>
  <si>
    <t>125,70</t>
  </si>
  <si>
    <t>Zamani Danial</t>
  </si>
  <si>
    <t>Open (03.09.1991)/26</t>
  </si>
  <si>
    <t>140,60</t>
  </si>
  <si>
    <t>336,0</t>
  </si>
  <si>
    <t>Lisogor Oleksii</t>
  </si>
  <si>
    <t>Open (30.04.1986)/31</t>
  </si>
  <si>
    <t>163,0877</t>
  </si>
  <si>
    <t>131,2147</t>
  </si>
  <si>
    <t>144,9752</t>
  </si>
  <si>
    <t>128,0029</t>
  </si>
  <si>
    <t>123,6520</t>
  </si>
  <si>
    <t>120,0960</t>
  </si>
  <si>
    <t>183,0708</t>
  </si>
  <si>
    <t>182,2125</t>
  </si>
  <si>
    <t>163,6688</t>
  </si>
  <si>
    <t>163,5340</t>
  </si>
  <si>
    <t>160,0879</t>
  </si>
  <si>
    <t>158,9073</t>
  </si>
  <si>
    <t>154,8400</t>
  </si>
  <si>
    <t>149,7990</t>
  </si>
  <si>
    <t>144,1250</t>
  </si>
  <si>
    <t>141,2737</t>
  </si>
  <si>
    <t>139,8720</t>
  </si>
  <si>
    <t>139,7400</t>
  </si>
  <si>
    <t>139,0625</t>
  </si>
  <si>
    <t>138,6770</t>
  </si>
  <si>
    <t>73,8980</t>
  </si>
  <si>
    <t>181,0045</t>
  </si>
  <si>
    <t>174,3746</t>
  </si>
  <si>
    <t>173,4410</t>
  </si>
  <si>
    <t>165,1693</t>
  </si>
  <si>
    <t>160,2699</t>
  </si>
  <si>
    <t>144,2080</t>
  </si>
  <si>
    <t>141,8437</t>
  </si>
  <si>
    <t>136,9713</t>
  </si>
  <si>
    <t>126,1058</t>
  </si>
  <si>
    <t>124,3523</t>
  </si>
  <si>
    <t>120,9100</t>
  </si>
  <si>
    <t>World Championship WPC multi-ply powerlifting
Dolgoprudniy, Russia 03-05 November 2017</t>
  </si>
  <si>
    <t>Squat</t>
  </si>
  <si>
    <t>Damminga Deborah</t>
  </si>
  <si>
    <t>Masters 55-59 (04.07.1961)/56</t>
  </si>
  <si>
    <t>74,10</t>
  </si>
  <si>
    <t>110,5</t>
  </si>
  <si>
    <t>Tara O'Shaunessy</t>
  </si>
  <si>
    <t>Masters 40-44 (19.09.1975)/42</t>
  </si>
  <si>
    <t>305</t>
  </si>
  <si>
    <t>248,0556</t>
  </si>
  <si>
    <t>73,60</t>
  </si>
  <si>
    <t>157,5</t>
  </si>
  <si>
    <t>Rustam Musayev</t>
  </si>
  <si>
    <t>Open (08.09.1978)/39</t>
  </si>
  <si>
    <t>225</t>
  </si>
  <si>
    <t>535</t>
  </si>
  <si>
    <t>367,973</t>
  </si>
  <si>
    <t>Sadi Morteza</t>
  </si>
  <si>
    <t>Open (02.07.1991)/26</t>
  </si>
  <si>
    <t>80,20</t>
  </si>
  <si>
    <t>122,5</t>
  </si>
  <si>
    <t>230</t>
  </si>
  <si>
    <t>Scott Kuderick</t>
  </si>
  <si>
    <t>Open (28.02.1974)/43</t>
  </si>
  <si>
    <t>Lehtinen Kai-Oskari</t>
  </si>
  <si>
    <t>Open (13.04.1989)/28</t>
  </si>
  <si>
    <t>400</t>
  </si>
  <si>
    <t>Brodie Shane</t>
  </si>
  <si>
    <t>Masters 40-44 (18.10.1973)/44</t>
  </si>
  <si>
    <t>97,90</t>
  </si>
  <si>
    <t>350</t>
  </si>
  <si>
    <t>Chertushkin Dmitriy</t>
  </si>
  <si>
    <t>Masters 50-54 (15.08.1965)/52</t>
  </si>
  <si>
    <t>Shaban Jafari</t>
  </si>
  <si>
    <t>Open (18.01.1985)/32</t>
  </si>
  <si>
    <t>Matikainen Mikko</t>
  </si>
  <si>
    <t>Open (04.02.1990)/27</t>
  </si>
  <si>
    <t>Kozlov Aleksei</t>
  </si>
  <si>
    <t>Masters 45-49 (19.05.1970)/47</t>
  </si>
  <si>
    <t>105,20</t>
  </si>
  <si>
    <t>Vayda Joseph,</t>
  </si>
  <si>
    <t>Masters 45-49 (31.10.1970)/47</t>
  </si>
  <si>
    <t>106,10</t>
  </si>
  <si>
    <t>Eyvazov Shahin</t>
  </si>
  <si>
    <t>Open (03.02.1982)/35</t>
  </si>
  <si>
    <t>122,10</t>
  </si>
  <si>
    <t>AZ, Ganca</t>
  </si>
  <si>
    <t>460,0</t>
  </si>
  <si>
    <t>470,0</t>
  </si>
  <si>
    <t>502,5</t>
  </si>
  <si>
    <t>115,30</t>
  </si>
  <si>
    <t>915</t>
  </si>
  <si>
    <t>518,7748</t>
  </si>
  <si>
    <t>Prodan Anatoliy</t>
  </si>
  <si>
    <t>Masters 55-59 (02.06.1961)/56</t>
  </si>
  <si>
    <t>116,50</t>
  </si>
  <si>
    <t>Sakala Peter</t>
  </si>
  <si>
    <t>Juniors 20-23 (09.08.1996)/21</t>
  </si>
  <si>
    <t>134,00</t>
  </si>
  <si>
    <t>420,0</t>
  </si>
  <si>
    <t>Cairney Andrew</t>
  </si>
  <si>
    <t>Open (09.07.1979)/38</t>
  </si>
  <si>
    <t>129,30</t>
  </si>
  <si>
    <t>370,0</t>
  </si>
  <si>
    <t>Damminga Gregg</t>
  </si>
  <si>
    <t>Masters 55-59 (07.01.1962)/55</t>
  </si>
  <si>
    <t>131,10</t>
  </si>
  <si>
    <t>146,00</t>
  </si>
  <si>
    <t>146,3935</t>
  </si>
  <si>
    <t>1080,0</t>
  </si>
  <si>
    <t>579,3876</t>
  </si>
  <si>
    <t>960,0</t>
  </si>
  <si>
    <t>558,0480</t>
  </si>
  <si>
    <t>612,5</t>
  </si>
  <si>
    <t>375,2175</t>
  </si>
  <si>
    <t>657,5</t>
  </si>
  <si>
    <t>369,9424</t>
  </si>
  <si>
    <t>495,0</t>
  </si>
  <si>
    <t>325,0665</t>
  </si>
  <si>
    <t>213,2335</t>
  </si>
  <si>
    <t>1110,0</t>
  </si>
  <si>
    <t>621,2947</t>
  </si>
  <si>
    <t>422,5</t>
  </si>
  <si>
    <t>604,8151</t>
  </si>
  <si>
    <t>740,0</t>
  </si>
  <si>
    <t>511,3634</t>
  </si>
  <si>
    <t>805,0</t>
  </si>
  <si>
    <t>492,5602</t>
  </si>
  <si>
    <t>750,0</t>
  </si>
  <si>
    <t>462,7984</t>
  </si>
  <si>
    <t>289,3408</t>
  </si>
  <si>
    <t>158,7508</t>
  </si>
  <si>
    <t>World Championship WPC single-ply powerlifting
Dolgoprudniy, Russia 03-05 November 2017</t>
  </si>
  <si>
    <t>Kalanina Mariya</t>
  </si>
  <si>
    <t>Open (29.03.1982)/35</t>
  </si>
  <si>
    <t>Connoly Joanne</t>
  </si>
  <si>
    <t>191,0</t>
  </si>
  <si>
    <t>49,90</t>
  </si>
  <si>
    <t>105</t>
  </si>
  <si>
    <t>Kolpakov Pavel</t>
  </si>
  <si>
    <t>Teen 18-19 (18.06.1998)/19</t>
  </si>
  <si>
    <t>66,00</t>
  </si>
  <si>
    <t>170</t>
  </si>
  <si>
    <t>Shatalov Vladimir</t>
  </si>
  <si>
    <t>Teen 18-19 (12.02.1998)/19</t>
  </si>
  <si>
    <t>Solonenko Oleg</t>
  </si>
  <si>
    <t>Open (26.09.1970)/47</t>
  </si>
  <si>
    <t>74,60</t>
  </si>
  <si>
    <t>414,75</t>
  </si>
  <si>
    <t>Semenchenko Ye.O.</t>
  </si>
  <si>
    <t>Masters 45-49 (26.09.1970)/47</t>
  </si>
  <si>
    <t>Erdenetuya Erkhembayar</t>
  </si>
  <si>
    <t>Juniors 20-23 (16.12.1996)/21</t>
  </si>
  <si>
    <t>77,90</t>
  </si>
  <si>
    <t>Son Oleg</t>
  </si>
  <si>
    <t>Open (22.05.1991)/26</t>
  </si>
  <si>
    <t>Perez Carlos</t>
  </si>
  <si>
    <t>Open (02.10.1984)/33</t>
  </si>
  <si>
    <t>Spain</t>
  </si>
  <si>
    <t>290</t>
  </si>
  <si>
    <t>Tyutikov Artem</t>
  </si>
  <si>
    <t>Open (12.11.1982)/35</t>
  </si>
  <si>
    <t>295,0</t>
  </si>
  <si>
    <t>88,90</t>
  </si>
  <si>
    <t>Mironov Mikhail</t>
  </si>
  <si>
    <t>Open (17.06.1994)/23</t>
  </si>
  <si>
    <t>315</t>
  </si>
  <si>
    <t>Akhmetov Timur</t>
  </si>
  <si>
    <t>Open (17.11.1986)/31</t>
  </si>
  <si>
    <t>99,30</t>
  </si>
  <si>
    <t>90,20</t>
  </si>
  <si>
    <t>312,5</t>
  </si>
  <si>
    <t>317,5</t>
  </si>
  <si>
    <t>Muratkin Aleksandr</t>
  </si>
  <si>
    <t>Open (29.08.1985)/32</t>
  </si>
  <si>
    <t>356,0</t>
  </si>
  <si>
    <t>Amirov Ravil</t>
  </si>
  <si>
    <t>Open (01.06.1979)/38</t>
  </si>
  <si>
    <t>101,20</t>
  </si>
  <si>
    <t>775</t>
  </si>
  <si>
    <t>109,60</t>
  </si>
  <si>
    <t>515</t>
  </si>
  <si>
    <t>103,00</t>
  </si>
  <si>
    <t>305,776</t>
  </si>
  <si>
    <t>Karaosman Benjamin</t>
  </si>
  <si>
    <t>Juniors 20-23 (20.06.1996)/21</t>
  </si>
  <si>
    <t>265</t>
  </si>
  <si>
    <t>495</t>
  </si>
  <si>
    <t>272,15</t>
  </si>
  <si>
    <t>Nezhadi Peyman</t>
  </si>
  <si>
    <t>Open (25.04.1988)/29</t>
  </si>
  <si>
    <t>123,20</t>
  </si>
  <si>
    <t>335</t>
  </si>
  <si>
    <t>285</t>
  </si>
  <si>
    <t>Burim Artem</t>
  </si>
  <si>
    <t>Open (10.05.1980)/37</t>
  </si>
  <si>
    <t>280</t>
  </si>
  <si>
    <t>770</t>
  </si>
  <si>
    <t>421,98</t>
  </si>
  <si>
    <t>Ivanov Mikhail</t>
  </si>
  <si>
    <t>Kennedy Joel</t>
  </si>
  <si>
    <t>Open (21.04.1984)/33</t>
  </si>
  <si>
    <t>110,50</t>
  </si>
  <si>
    <t>Davoodi Pezhman</t>
  </si>
  <si>
    <t>Open (22.06.1986)/31</t>
  </si>
  <si>
    <t>119,20</t>
  </si>
  <si>
    <t>155</t>
  </si>
  <si>
    <t>Bugrov Evgeny</t>
  </si>
  <si>
    <t>Masters 40-44 (03.05.1976)/41</t>
  </si>
  <si>
    <t>113,50</t>
  </si>
  <si>
    <t>Gainche Herve</t>
  </si>
  <si>
    <t>Masters 45-49 (24.07.1971)/46</t>
  </si>
  <si>
    <t>119,00</t>
  </si>
  <si>
    <t>Emtsev Nikolay</t>
  </si>
  <si>
    <t>Masters 50-54 (23.05.1967)/50</t>
  </si>
  <si>
    <t>112,90</t>
  </si>
  <si>
    <t>545,0</t>
  </si>
  <si>
    <t>431,2585</t>
  </si>
  <si>
    <t>510,0</t>
  </si>
  <si>
    <t>366,6135</t>
  </si>
  <si>
    <t>710,0</t>
  </si>
  <si>
    <t>489,3320</t>
  </si>
  <si>
    <t>865,0</t>
  </si>
  <si>
    <t>486,5625</t>
  </si>
  <si>
    <t>240,3450</t>
  </si>
  <si>
    <t>475,0</t>
  </si>
  <si>
    <t>480,7950</t>
  </si>
  <si>
    <t>900,0</t>
  </si>
  <si>
    <t>508,5000</t>
  </si>
  <si>
    <t>825,0</t>
  </si>
  <si>
    <t>491,5762</t>
  </si>
  <si>
    <t>473,6308</t>
  </si>
  <si>
    <t>760,0</t>
  </si>
  <si>
    <t>466,7540</t>
  </si>
  <si>
    <t>732,5</t>
  </si>
  <si>
    <t>450,1579</t>
  </si>
  <si>
    <t>437,2875</t>
  </si>
  <si>
    <t>415,7320</t>
  </si>
  <si>
    <t>735,0</t>
  </si>
  <si>
    <t>405,5363</t>
  </si>
  <si>
    <t>660,0</t>
  </si>
  <si>
    <t>403,3590</t>
  </si>
  <si>
    <t>565,0</t>
  </si>
  <si>
    <t>364,7640</t>
  </si>
  <si>
    <t>485,0</t>
  </si>
  <si>
    <t>280,5725</t>
  </si>
  <si>
    <t>158,9200</t>
  </si>
  <si>
    <t>670,0</t>
  </si>
  <si>
    <t>542,7709</t>
  </si>
  <si>
    <t>705,0</t>
  </si>
  <si>
    <t>478,3101</t>
  </si>
  <si>
    <t>757,5</t>
  </si>
  <si>
    <t>478,1904</t>
  </si>
  <si>
    <t>600,0</t>
  </si>
  <si>
    <t>448,7595</t>
  </si>
  <si>
    <t>414,1942</t>
  </si>
  <si>
    <t>625,0</t>
  </si>
  <si>
    <t>368,4600</t>
  </si>
  <si>
    <t xml:space="preserve">   William Roberts</t>
  </si>
  <si>
    <t>World Championship WPC raw powerlifting
Dolgoprudniy, Russia 03-05 November 2017</t>
  </si>
  <si>
    <t>Krastenicsova Julie</t>
  </si>
  <si>
    <t>Teen 16-17 (28.06.2000)/17</t>
  </si>
  <si>
    <t>52,00</t>
  </si>
  <si>
    <t>Czech</t>
  </si>
  <si>
    <t>65</t>
  </si>
  <si>
    <t>52,5</t>
  </si>
  <si>
    <t>80</t>
  </si>
  <si>
    <t>Filant Yuliya</t>
  </si>
  <si>
    <t>37,5</t>
  </si>
  <si>
    <t>42,5</t>
  </si>
  <si>
    <t>95</t>
  </si>
  <si>
    <t>54,20</t>
  </si>
  <si>
    <t>62,5</t>
  </si>
  <si>
    <t>45</t>
  </si>
  <si>
    <t>Huseynova Zarifa</t>
  </si>
  <si>
    <t>Juniors 20-23 (30.03.1995)/22</t>
  </si>
  <si>
    <t>173,0</t>
  </si>
  <si>
    <t>Hasanova Sevil</t>
  </si>
  <si>
    <t>Open (23.11.1988)/29</t>
  </si>
  <si>
    <t>65,90</t>
  </si>
  <si>
    <t>Lavrukhina Irina</t>
  </si>
  <si>
    <t>Open (24.05.1991)/26</t>
  </si>
  <si>
    <t>62,40</t>
  </si>
  <si>
    <t>Tarverdiyev Elmir</t>
  </si>
  <si>
    <t>Open (09.07.1983)/34</t>
  </si>
  <si>
    <t>63,10</t>
  </si>
  <si>
    <t>Medzhidov Rustam</t>
  </si>
  <si>
    <t>Juniors 20-23 (27.03.1994)/23</t>
  </si>
  <si>
    <t>67,50</t>
  </si>
  <si>
    <t>Ruzin Ernst</t>
  </si>
  <si>
    <t>Masters 80up (20.06.1937)/80</t>
  </si>
  <si>
    <t>61,20</t>
  </si>
  <si>
    <t>Ossipov Arlan</t>
  </si>
  <si>
    <t>Teen 16-17 (09.12.1999)/18</t>
  </si>
  <si>
    <t>72,00</t>
  </si>
  <si>
    <t>Yermagambetov Batyrkhan</t>
  </si>
  <si>
    <t>Teen 18-19 (09.05.1999)/18</t>
  </si>
  <si>
    <t>72,20</t>
  </si>
  <si>
    <t>Talagaev Maksim</t>
  </si>
  <si>
    <t>Juniors 20-23 (06.05.1997)/20</t>
  </si>
  <si>
    <t>73,20</t>
  </si>
  <si>
    <t>Khalilov Rovshan</t>
  </si>
  <si>
    <t>Open (08.11.1990)/27</t>
  </si>
  <si>
    <t>Aliyev Mushfig</t>
  </si>
  <si>
    <t>Open (20.11.1977)/40</t>
  </si>
  <si>
    <t>Khosravi Mani</t>
  </si>
  <si>
    <t>Masters 55-59 (05.08.1960)/57</t>
  </si>
  <si>
    <t>206,0</t>
  </si>
  <si>
    <t>Arutyunyan Artur</t>
  </si>
  <si>
    <t>Teen 16-17 (18.12.2000)/17</t>
  </si>
  <si>
    <t>75,80</t>
  </si>
  <si>
    <t>Ryzhikh Viktor</t>
  </si>
  <si>
    <t>Open (25.06.1986)/31</t>
  </si>
  <si>
    <t>79,70</t>
  </si>
  <si>
    <t>Kheruvimov Dmitriy</t>
  </si>
  <si>
    <t>Open (01.12.1991)/26</t>
  </si>
  <si>
    <t>David O'Sullivan</t>
  </si>
  <si>
    <t>Open (12.11.1991)/26</t>
  </si>
  <si>
    <t>89,70</t>
  </si>
  <si>
    <t>705</t>
  </si>
  <si>
    <t>432,1650</t>
  </si>
  <si>
    <t>Dos Santos</t>
  </si>
  <si>
    <t>Open (21.07.1993)/24</t>
  </si>
  <si>
    <t>Kuzovatov Vasilij</t>
  </si>
  <si>
    <t>Masters 50-54 (09.03.1963)/54</t>
  </si>
  <si>
    <t>Beglov Dmitriy</t>
  </si>
  <si>
    <t>Teen 16-17 (22.02.2000)/17</t>
  </si>
  <si>
    <t>235</t>
  </si>
  <si>
    <t>Bondarev Vasiliy</t>
  </si>
  <si>
    <t>Juniors 20-23 (08.04.1994)/23</t>
  </si>
  <si>
    <t>99,10</t>
  </si>
  <si>
    <t>272,5</t>
  </si>
  <si>
    <t>Kolpikov Nikita</t>
  </si>
  <si>
    <t>Juniors 20-23 (21.06.1994)/23</t>
  </si>
  <si>
    <t>97,30</t>
  </si>
  <si>
    <t>730</t>
  </si>
  <si>
    <t>429,4225</t>
  </si>
  <si>
    <t>712,5</t>
  </si>
  <si>
    <t>418,7719</t>
  </si>
  <si>
    <t>Mehdiyev Namig</t>
  </si>
  <si>
    <t>Open (23.10.1985)/32</t>
  </si>
  <si>
    <t>98,70</t>
  </si>
  <si>
    <t>416,4919</t>
  </si>
  <si>
    <t>Selivanov Andrey</t>
  </si>
  <si>
    <t>Open (05.10.1991)/26</t>
  </si>
  <si>
    <t>Grinev Dmitriy</t>
  </si>
  <si>
    <t>Masters 40-44 (16.05.1977)/40</t>
  </si>
  <si>
    <t>94,00</t>
  </si>
  <si>
    <t>Myasnikov Vyacheslav</t>
  </si>
  <si>
    <t>Masters 45-49 (07.12.1970)/47</t>
  </si>
  <si>
    <t>Tsvetkov Alexandr</t>
  </si>
  <si>
    <t>Masters 60-64 (10.04.1957)/60</t>
  </si>
  <si>
    <t>Loktev Evgeniy</t>
  </si>
  <si>
    <t>Masters 60-64 (12.01.1957)/60</t>
  </si>
  <si>
    <t>99,70</t>
  </si>
  <si>
    <t>Linnikov Ilya</t>
  </si>
  <si>
    <t>Open (02.11.1981)/36</t>
  </si>
  <si>
    <t>337,5</t>
  </si>
  <si>
    <t>Zakharov Ivan</t>
  </si>
  <si>
    <t>Open (15.02.1990)/27</t>
  </si>
  <si>
    <t>104,50</t>
  </si>
  <si>
    <t>Batig Vladimir</t>
  </si>
  <si>
    <t>Open (14.08.1988)/29</t>
  </si>
  <si>
    <t>101,60</t>
  </si>
  <si>
    <t>Antonov Dmitriy</t>
  </si>
  <si>
    <t>Masters 40-44 (08.07.1975)/42</t>
  </si>
  <si>
    <t>105,50</t>
  </si>
  <si>
    <t>245</t>
  </si>
  <si>
    <t>Goeck Michael</t>
  </si>
  <si>
    <t>Masters 45-49 (27.09.1968)/49</t>
  </si>
  <si>
    <t>104,80</t>
  </si>
  <si>
    <t>Minin Vladimir</t>
  </si>
  <si>
    <t>Masters 50-54 (29.08.1967)/50</t>
  </si>
  <si>
    <t>101,70</t>
  </si>
  <si>
    <t>Huseynov Razim</t>
  </si>
  <si>
    <t>Open (28.12.1975)/42</t>
  </si>
  <si>
    <t>342,5</t>
  </si>
  <si>
    <t>327,5</t>
  </si>
  <si>
    <t>Zaytsev Alexandr</t>
  </si>
  <si>
    <t>Open (06.04.1980)/37</t>
  </si>
  <si>
    <t>119,60</t>
  </si>
  <si>
    <t>Mardanov Vusal</t>
  </si>
  <si>
    <t>Open (18.02.1985)/32</t>
  </si>
  <si>
    <t>116,60</t>
  </si>
  <si>
    <t>121,90</t>
  </si>
  <si>
    <t>Svetlov Gena</t>
  </si>
  <si>
    <t>Masters 40-44 (24.04.1976)/41</t>
  </si>
  <si>
    <t>122,70</t>
  </si>
  <si>
    <t>Ovchinnikov R.A.</t>
  </si>
  <si>
    <t>119,10</t>
  </si>
  <si>
    <t>Burlakov Alexandr</t>
  </si>
  <si>
    <t>Masters 55-59 (07.01.1959)/58</t>
  </si>
  <si>
    <t>114,40</t>
  </si>
  <si>
    <t>Romanov Yuriy</t>
  </si>
  <si>
    <t>Open (08.01.1983)/34</t>
  </si>
  <si>
    <t>126,60</t>
  </si>
  <si>
    <t>Sommer Michael</t>
  </si>
  <si>
    <t>Open (19.01.1988)/29</t>
  </si>
  <si>
    <t>130,60</t>
  </si>
  <si>
    <t>Schrott Michael</t>
  </si>
  <si>
    <t>Masters 45-49 (17.10.1972)/45</t>
  </si>
  <si>
    <t>131,20</t>
  </si>
  <si>
    <t>Tiainen Aki</t>
  </si>
  <si>
    <t>132,10</t>
  </si>
  <si>
    <t>Smirnov Dmitriy</t>
  </si>
  <si>
    <t>Open (18.11.1978)/39</t>
  </si>
  <si>
    <t>141,40</t>
  </si>
  <si>
    <t>232,5960</t>
  </si>
  <si>
    <t>417,5</t>
  </si>
  <si>
    <t>412,3230</t>
  </si>
  <si>
    <t>377,5</t>
  </si>
  <si>
    <t>346,0354</t>
  </si>
  <si>
    <t>320,6285</t>
  </si>
  <si>
    <t>346,0448</t>
  </si>
  <si>
    <t>338,1969</t>
  </si>
  <si>
    <t>271,8568</t>
  </si>
  <si>
    <t>615,0</t>
  </si>
  <si>
    <t>360,1440</t>
  </si>
  <si>
    <t>272,8302</t>
  </si>
  <si>
    <t>392,5</t>
  </si>
  <si>
    <t>268,1560</t>
  </si>
  <si>
    <t>367,5</t>
  </si>
  <si>
    <t>260,9985</t>
  </si>
  <si>
    <t>222,3760</t>
  </si>
  <si>
    <t>382,1268</t>
  </si>
  <si>
    <t>228,2620</t>
  </si>
  <si>
    <t>922,5</t>
  </si>
  <si>
    <t>503,1315</t>
  </si>
  <si>
    <t>475,2310</t>
  </si>
  <si>
    <t>835,0</t>
  </si>
  <si>
    <t>469,8128</t>
  </si>
  <si>
    <t>820,0</t>
  </si>
  <si>
    <t>468,7120</t>
  </si>
  <si>
    <t>815,0</t>
  </si>
  <si>
    <t>438,4537</t>
  </si>
  <si>
    <t>632,5</t>
  </si>
  <si>
    <t>436,8045</t>
  </si>
  <si>
    <t>780,0</t>
  </si>
  <si>
    <t>424,1328</t>
  </si>
  <si>
    <t>630,0</t>
  </si>
  <si>
    <t>415,4850</t>
  </si>
  <si>
    <t>412,2607</t>
  </si>
  <si>
    <t>770,0</t>
  </si>
  <si>
    <t>408,1000</t>
  </si>
  <si>
    <t>690,0</t>
  </si>
  <si>
    <t>406,6860</t>
  </si>
  <si>
    <t>720,0</t>
  </si>
  <si>
    <t>397,0080</t>
  </si>
  <si>
    <t>640,0</t>
  </si>
  <si>
    <t>393,5360</t>
  </si>
  <si>
    <t>388,5912</t>
  </si>
  <si>
    <t>522,5</t>
  </si>
  <si>
    <t>336,8035</t>
  </si>
  <si>
    <t>490,0</t>
  </si>
  <si>
    <t>288,2425</t>
  </si>
  <si>
    <t>472,5</t>
  </si>
  <si>
    <t>277,7119</t>
  </si>
  <si>
    <t>276,1999</t>
  </si>
  <si>
    <t>248,2650</t>
  </si>
  <si>
    <t>615,6581</t>
  </si>
  <si>
    <t>527,5</t>
  </si>
  <si>
    <t>462,3564</t>
  </si>
  <si>
    <t>429,5990</t>
  </si>
  <si>
    <t>580,0</t>
  </si>
  <si>
    <t>427,2671</t>
  </si>
  <si>
    <t>417,5757</t>
  </si>
  <si>
    <t>412,6130</t>
  </si>
  <si>
    <t>520,0</t>
  </si>
  <si>
    <t>405,5725</t>
  </si>
  <si>
    <t>398,5263</t>
  </si>
  <si>
    <t>665,0</t>
  </si>
  <si>
    <t>397,6700</t>
  </si>
  <si>
    <t>391,8321</t>
  </si>
  <si>
    <t>560,0</t>
  </si>
  <si>
    <t>355,9240</t>
  </si>
  <si>
    <t>286,2215</t>
  </si>
  <si>
    <t>505,0</t>
  </si>
  <si>
    <t>279,5584</t>
  </si>
  <si>
    <t>World Championship WPC Powerlifting Classic Raw
Dolgoprudniy, Russia 03-05 November 2017</t>
  </si>
  <si>
    <t>100,5</t>
  </si>
  <si>
    <t>175,5</t>
  </si>
  <si>
    <t>Lina O'Sullivan</t>
  </si>
  <si>
    <t>Open (15.06.1980)/37</t>
  </si>
  <si>
    <t>58,20</t>
  </si>
  <si>
    <t>Pogula Ekaterina</t>
  </si>
  <si>
    <t>Masters 45-49 (28.04.1972)/45</t>
  </si>
  <si>
    <t>70</t>
  </si>
  <si>
    <t>35</t>
  </si>
  <si>
    <t>Ablaeva Viktoriya</t>
  </si>
  <si>
    <t>Open (08.05.1983)/34</t>
  </si>
  <si>
    <t>68,60</t>
  </si>
  <si>
    <t>Khudayarov Anna</t>
  </si>
  <si>
    <t>Open (24.01.1988)/29</t>
  </si>
  <si>
    <t>74,40</t>
  </si>
  <si>
    <t>505</t>
  </si>
  <si>
    <t>444,47</t>
  </si>
  <si>
    <t>Batkhuyag Batdorj</t>
  </si>
  <si>
    <t>Juniors 20-23 (26.10.1994)/23</t>
  </si>
  <si>
    <t>58,30</t>
  </si>
  <si>
    <t>131,0</t>
  </si>
  <si>
    <t>262,5</t>
  </si>
  <si>
    <t>662,5</t>
  </si>
  <si>
    <t>74,20</t>
  </si>
  <si>
    <t>580</t>
  </si>
  <si>
    <t>Leitmann Klaus</t>
  </si>
  <si>
    <t>Open (19.03.1990)/27</t>
  </si>
  <si>
    <t>520</t>
  </si>
  <si>
    <t>Tumurbaatar Chakhar</t>
  </si>
  <si>
    <t>537,5</t>
  </si>
  <si>
    <t>Geary Luke</t>
  </si>
  <si>
    <t>Juniors 20-23 (19.12.1994)/23</t>
  </si>
  <si>
    <t>UK</t>
  </si>
  <si>
    <t>Campos David</t>
  </si>
  <si>
    <t>Juniors 20-23 (29.08.1994)/23</t>
  </si>
  <si>
    <t>Karpenko Aleksandr</t>
  </si>
  <si>
    <t>Open (25.04.1992)/25</t>
  </si>
  <si>
    <t>310</t>
  </si>
  <si>
    <t>830</t>
  </si>
  <si>
    <t>535,0180</t>
  </si>
  <si>
    <t>Lusis Andris</t>
  </si>
  <si>
    <t>Open (07.07.1983)/34</t>
  </si>
  <si>
    <t>81,90</t>
  </si>
  <si>
    <t>Clayton Darren</t>
  </si>
  <si>
    <t>Open (03.12.1980)/37</t>
  </si>
  <si>
    <t>80,60</t>
  </si>
  <si>
    <t>UK/Great Britain</t>
  </si>
  <si>
    <t>Open (04.04.1996)/21</t>
  </si>
  <si>
    <t>Shnaider Anatoliy</t>
  </si>
  <si>
    <t>Masters 60-64 (03.01.1957)/60</t>
  </si>
  <si>
    <t>76,20</t>
  </si>
  <si>
    <t>205</t>
  </si>
  <si>
    <t>Matannakhanov Nikolay</t>
  </si>
  <si>
    <t>Masters 65-69 (22.10.1952)/65</t>
  </si>
  <si>
    <t>80,50</t>
  </si>
  <si>
    <t>88,70</t>
  </si>
  <si>
    <t>Shevchenko Oleksandr</t>
  </si>
  <si>
    <t>Open (23.12.1990)/27</t>
  </si>
  <si>
    <t>750</t>
  </si>
  <si>
    <t>463,8375</t>
  </si>
  <si>
    <t>Ostapyshyn Kyrylo</t>
  </si>
  <si>
    <t>Open (17.03.1985)/32</t>
  </si>
  <si>
    <t>88,80</t>
  </si>
  <si>
    <t>727,5</t>
  </si>
  <si>
    <t>448,4674</t>
  </si>
  <si>
    <t>Panfilov Maksim</t>
  </si>
  <si>
    <t>725</t>
  </si>
  <si>
    <t>444,4250</t>
  </si>
  <si>
    <t>667,5</t>
  </si>
  <si>
    <t>410,9798</t>
  </si>
  <si>
    <t>Ravi Ranjan</t>
  </si>
  <si>
    <t>Open (15.12.1991)/26</t>
  </si>
  <si>
    <t>Nurov Amridin</t>
  </si>
  <si>
    <t>Open (10.09.1982)/35</t>
  </si>
  <si>
    <t>82,80</t>
  </si>
  <si>
    <t>Nuno Nobre</t>
  </si>
  <si>
    <t>Masters 40-44 (12.09.1977)/40</t>
  </si>
  <si>
    <t>85,20</t>
  </si>
  <si>
    <t>Portugal</t>
  </si>
  <si>
    <t>Kirwan James</t>
  </si>
  <si>
    <t>Masters 45-49 (18.05.1971)/46</t>
  </si>
  <si>
    <t>135</t>
  </si>
  <si>
    <t>93,90</t>
  </si>
  <si>
    <t>600</t>
  </si>
  <si>
    <t>359,0400</t>
  </si>
  <si>
    <t>98,80</t>
  </si>
  <si>
    <t>635</t>
  </si>
  <si>
    <t>371,0305</t>
  </si>
  <si>
    <t>590</t>
  </si>
  <si>
    <t>Trubichkin Yaroslav</t>
  </si>
  <si>
    <t>Open (16.06.1987)/30</t>
  </si>
  <si>
    <t>Krym</t>
  </si>
  <si>
    <t>325</t>
  </si>
  <si>
    <t>92,20</t>
  </si>
  <si>
    <t>94,90</t>
  </si>
  <si>
    <t>Savanin Pavel</t>
  </si>
  <si>
    <t>Open (17.10.1988)/29</t>
  </si>
  <si>
    <t>Krivonogov Alexey</t>
  </si>
  <si>
    <t>Open (29.11.1980)/37</t>
  </si>
  <si>
    <t>95,70</t>
  </si>
  <si>
    <t>Michalon Marc</t>
  </si>
  <si>
    <t>Open (09.05.1978)/39</t>
  </si>
  <si>
    <t>99,00</t>
  </si>
  <si>
    <t>347,8935</t>
  </si>
  <si>
    <t>Zundui Munkh-Erdene</t>
  </si>
  <si>
    <t>Masters 40-44 (08.12.1976)/41</t>
  </si>
  <si>
    <t>Folprecht Petr</t>
  </si>
  <si>
    <t>Open (03.12.1985)/32</t>
  </si>
  <si>
    <t>107,10</t>
  </si>
  <si>
    <t>Barbee Geromy</t>
  </si>
  <si>
    <t>Open (07.04.1978)/39</t>
  </si>
  <si>
    <t>109,50</t>
  </si>
  <si>
    <t>287,5</t>
  </si>
  <si>
    <t>735</t>
  </si>
  <si>
    <t>413,9520</t>
  </si>
  <si>
    <t>Pagvaarsuren Otgonmunkh</t>
  </si>
  <si>
    <t>Masters 40-44 (25.09.1973)/44</t>
  </si>
  <si>
    <t>106,50</t>
  </si>
  <si>
    <t>Salonen Petri</t>
  </si>
  <si>
    <t>Masters 40-44 (10.09.1975)/42</t>
  </si>
  <si>
    <t>108,40</t>
  </si>
  <si>
    <t>406,1836</t>
  </si>
  <si>
    <t>512,5</t>
  </si>
  <si>
    <t>315,3306</t>
  </si>
  <si>
    <t>305,7734</t>
  </si>
  <si>
    <t>Toth Nicolas</t>
  </si>
  <si>
    <t>Teen 18-19 (11.08.1998)/19</t>
  </si>
  <si>
    <t>Chernenko Andrey</t>
  </si>
  <si>
    <t>Open (12.04.1993)/24</t>
  </si>
  <si>
    <t>375,0</t>
  </si>
  <si>
    <t>Phogat Vikram</t>
  </si>
  <si>
    <t>Open (11.10.1991)/26</t>
  </si>
  <si>
    <t>114,10</t>
  </si>
  <si>
    <t>Robison Chad</t>
  </si>
  <si>
    <t>Open (30.03.1988)/29</t>
  </si>
  <si>
    <t>560</t>
  </si>
  <si>
    <t>307,6640</t>
  </si>
  <si>
    <t>Pagvaarsuren Molomjamts</t>
  </si>
  <si>
    <t>Masters 50-54 (28.09.1967)/50</t>
  </si>
  <si>
    <t>112,70</t>
  </si>
  <si>
    <t>325,2518</t>
  </si>
  <si>
    <t>125,40</t>
  </si>
  <si>
    <t>Erdenebat Zorigbaatar</t>
  </si>
  <si>
    <t>Open (29.10.1981)/36</t>
  </si>
  <si>
    <t>136,90</t>
  </si>
  <si>
    <t>875</t>
  </si>
  <si>
    <t>467,0969</t>
  </si>
  <si>
    <t>Ermakov Alexey</t>
  </si>
  <si>
    <t>Open (03.07.1973)/44</t>
  </si>
  <si>
    <t>136,00</t>
  </si>
  <si>
    <t>Masters 40-44 (03.07.1973)/44</t>
  </si>
  <si>
    <t>126,10</t>
  </si>
  <si>
    <t>Harford Eamonn</t>
  </si>
  <si>
    <t>Open (29.11.1990)/27</t>
  </si>
  <si>
    <t>149,80</t>
  </si>
  <si>
    <t>Yakovlev Sergey</t>
  </si>
  <si>
    <t>Masters 40-44 (16.11.1972)/45</t>
  </si>
  <si>
    <t>162,70</t>
  </si>
  <si>
    <t>465,5200</t>
  </si>
  <si>
    <t>500,0</t>
  </si>
  <si>
    <t>444,4750</t>
  </si>
  <si>
    <t>442,3153</t>
  </si>
  <si>
    <t>323,6503</t>
  </si>
  <si>
    <t>155,9498</t>
  </si>
  <si>
    <t>425,4120</t>
  </si>
  <si>
    <t>435,0</t>
  </si>
  <si>
    <t>260,3040</t>
  </si>
  <si>
    <t>725,0</t>
  </si>
  <si>
    <t>447,2163</t>
  </si>
  <si>
    <t>572,5</t>
  </si>
  <si>
    <t>373,4704</t>
  </si>
  <si>
    <t>635,0</t>
  </si>
  <si>
    <t>557,5</t>
  </si>
  <si>
    <t>361,3715</t>
  </si>
  <si>
    <t>590,0</t>
  </si>
  <si>
    <t>343,8520</t>
  </si>
  <si>
    <t>336,2744</t>
  </si>
  <si>
    <t>957,5</t>
  </si>
  <si>
    <t>531,1731</t>
  </si>
  <si>
    <t>845,0</t>
  </si>
  <si>
    <t>519,2947</t>
  </si>
  <si>
    <t>482,0475</t>
  </si>
  <si>
    <t>840,0</t>
  </si>
  <si>
    <t>476,2380</t>
  </si>
  <si>
    <t>902,5</t>
  </si>
  <si>
    <t>472,3008</t>
  </si>
  <si>
    <t>465,0800</t>
  </si>
  <si>
    <t>458,3040</t>
  </si>
  <si>
    <t>810,0</t>
  </si>
  <si>
    <t>458,0550</t>
  </si>
  <si>
    <t>442,2375</t>
  </si>
  <si>
    <t>429,8163</t>
  </si>
  <si>
    <t>417,9375</t>
  </si>
  <si>
    <t>410,8560</t>
  </si>
  <si>
    <t>402,8220</t>
  </si>
  <si>
    <t>610,0</t>
  </si>
  <si>
    <t>395,0665</t>
  </si>
  <si>
    <t>387,5995</t>
  </si>
  <si>
    <t>577,5</t>
  </si>
  <si>
    <t>377,9738</t>
  </si>
  <si>
    <t>605,0</t>
  </si>
  <si>
    <t>373,9505</t>
  </si>
  <si>
    <t>371,0945</t>
  </si>
  <si>
    <t>355,9999</t>
  </si>
  <si>
    <t>650,0</t>
  </si>
  <si>
    <t>346,9862</t>
  </si>
  <si>
    <t>335,1920</t>
  </si>
  <si>
    <t>432,5</t>
  </si>
  <si>
    <t>298,6845</t>
  </si>
  <si>
    <t>445,0</t>
  </si>
  <si>
    <t>272,7850</t>
  </si>
  <si>
    <t>263,7200</t>
  </si>
  <si>
    <t>532,5</t>
  </si>
  <si>
    <t>485,6064</t>
  </si>
  <si>
    <t>439,2045</t>
  </si>
  <si>
    <t>715,0</t>
  </si>
  <si>
    <t>423,5459</t>
  </si>
  <si>
    <t>411,1845</t>
  </si>
  <si>
    <t>404,2663</t>
  </si>
  <si>
    <t>595,0</t>
  </si>
  <si>
    <t>393,4411</t>
  </si>
  <si>
    <t>382,3167</t>
  </si>
  <si>
    <t>645,0</t>
  </si>
  <si>
    <t>374,9190</t>
  </si>
  <si>
    <t>362,4810</t>
  </si>
  <si>
    <t>342,4021</t>
  </si>
  <si>
    <t>334,7919</t>
  </si>
  <si>
    <t>333,2217</t>
  </si>
  <si>
    <t>329,6211</t>
  </si>
  <si>
    <t>327,3131</t>
  </si>
  <si>
    <t>299,5964</t>
  </si>
  <si>
    <t>230,8963</t>
  </si>
  <si>
    <t>217,8872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</si>
</sst>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1" formatCode="_(* #,##0_);_(* \(#,##0\);_(* &quot;-&quot;_);_(@_)"/>
    <numFmt numFmtId="43" formatCode="_(* #,##0.00_);_(* \(#,##0.00\);_(* &quot;-&quot;??_);_(@_)"/>
  </numFmts>
  <fonts count="51">
    <font>
      <sz val="10"/>
      <name val="Arial Cyr"/>
      <family val="2"/>
      <charset val="0"/>
    </font>
    <font>
      <b/>
      <sz val="11"/>
      <name val="Arial Cyr"/>
      <family val="2"/>
      <charset val="0"/>
    </font>
    <font>
      <b/>
      <sz val="10"/>
      <name val="Arial Cyr"/>
      <family val="2"/>
      <charset val="0"/>
    </font>
    <font>
      <sz val="24"/>
      <name val="Arial Cyr"/>
      <family val="2"/>
      <charset val="0"/>
    </font>
    <font>
      <sz val="11"/>
      <name val="Arial Cyr"/>
      <family val="2"/>
      <charset val="0"/>
    </font>
    <font>
      <b/>
      <i/>
      <sz val="12"/>
      <name val="Arial Cyr"/>
      <family val="2"/>
      <charset val="0"/>
    </font>
    <font>
      <strike/>
      <sz val="10"/>
      <name val="Arial Cyr"/>
      <family val="2"/>
      <charset val="0"/>
    </font>
    <font>
      <sz val="12"/>
      <name val="Arial Cyr"/>
      <family val="2"/>
      <charset val="0"/>
    </font>
    <font>
      <b/>
      <sz val="14"/>
      <name val="Arial Cyr"/>
      <family val="2"/>
      <charset val="0"/>
    </font>
    <font>
      <sz val="14"/>
      <name val="Arial Cyr"/>
      <family val="2"/>
      <charset val="0"/>
    </font>
    <font>
      <i/>
      <sz val="12"/>
      <name val="Arial Cyr"/>
      <family val="2"/>
      <charset val="0"/>
    </font>
    <font>
      <b/>
      <i/>
      <sz val="11"/>
      <name val="Arial Cyr"/>
      <family val="2"/>
      <charset val="0"/>
    </font>
    <font>
      <i/>
      <sz val="11"/>
      <name val="Arial Cyr"/>
      <family val="2"/>
      <charset val="0"/>
    </font>
    <font>
      <sz val="10"/>
      <name val="Arial"/>
      <family val="2"/>
      <charset val="0"/>
    </font>
    <font>
      <b/>
      <sz val="11"/>
      <color rgb="FFFFFFFF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1"/>
      <color indexed="10"/>
      <name val="Calibri"/>
      <family val="2"/>
      <charset val="0"/>
    </font>
    <font>
      <sz val="11"/>
      <color indexed="9"/>
      <name val="Calibri"/>
      <family val="2"/>
      <charset val="0"/>
    </font>
    <font>
      <sz val="11"/>
      <color theme="1"/>
      <name val="Calibri"/>
      <family val="2"/>
      <charset val="0"/>
      <scheme val="minor"/>
    </font>
    <font>
      <b/>
      <sz val="15"/>
      <color indexed="56"/>
      <name val="Calibri"/>
      <family val="2"/>
      <charset val="0"/>
    </font>
    <font>
      <b/>
      <sz val="15"/>
      <color theme="3"/>
      <name val="Calibri"/>
      <family val="2"/>
      <charset val="0"/>
      <scheme val="minor"/>
    </font>
    <font>
      <sz val="11"/>
      <color indexed="60"/>
      <name val="Calibri"/>
      <family val="2"/>
      <charset val="0"/>
    </font>
    <font>
      <sz val="11"/>
      <color rgb="FF9C6500"/>
      <name val="Calibri"/>
      <family val="2"/>
      <charset val="0"/>
      <scheme val="minor"/>
    </font>
    <font>
      <sz val="11"/>
      <color indexed="8"/>
      <name val="Calibri"/>
      <family val="2"/>
      <charset val="0"/>
    </font>
    <font>
      <b/>
      <sz val="13"/>
      <color indexed="56"/>
      <name val="Calibri"/>
      <family val="2"/>
      <charset val="0"/>
    </font>
    <font>
      <b/>
      <sz val="11"/>
      <color indexed="56"/>
      <name val="Calibri"/>
      <family val="2"/>
      <charset val="0"/>
    </font>
    <font>
      <sz val="11"/>
      <color rgb="FFFF0000"/>
      <name val="Calibri"/>
      <family val="2"/>
      <charset val="0"/>
      <scheme val="minor"/>
    </font>
    <font>
      <b/>
      <sz val="13"/>
      <color theme="3"/>
      <name val="Calibri"/>
      <family val="2"/>
      <charset val="0"/>
      <scheme val="minor"/>
    </font>
    <font>
      <b/>
      <sz val="18"/>
      <color indexed="56"/>
      <name val="Cambria"/>
      <family val="1"/>
      <charset val="0"/>
    </font>
    <font>
      <b/>
      <sz val="11"/>
      <color indexed="52"/>
      <name val="Calibri"/>
      <family val="2"/>
      <charset val="0"/>
    </font>
    <font>
      <b/>
      <sz val="11"/>
      <color rgb="FFFA7D00"/>
      <name val="Calibri"/>
      <family val="2"/>
      <charset val="0"/>
      <scheme val="minor"/>
    </font>
    <font>
      <sz val="11"/>
      <color rgb="FFFA7D00"/>
      <name val="Calibri"/>
      <family val="2"/>
      <charset val="0"/>
      <scheme val="minor"/>
    </font>
    <font>
      <sz val="11"/>
      <color indexed="8"/>
      <name val="Calibri"/>
      <family val="2"/>
      <charset val="0"/>
      <scheme val="minor"/>
    </font>
    <font>
      <u/>
      <sz val="11"/>
      <color rgb="FF0000FF"/>
      <name val="Calibri"/>
      <family val="2"/>
      <charset val="0"/>
      <scheme val="minor"/>
    </font>
    <font>
      <sz val="11"/>
      <color rgb="FF9C0006"/>
      <name val="Calibri"/>
      <family val="2"/>
      <charset val="0"/>
      <scheme val="minor"/>
    </font>
    <font>
      <sz val="11"/>
      <color indexed="52"/>
      <name val="Calibri"/>
      <family val="2"/>
      <charset val="0"/>
    </font>
    <font>
      <b/>
      <sz val="11"/>
      <color indexed="63"/>
      <name val="Calibri"/>
      <family val="2"/>
      <charset val="0"/>
    </font>
    <font>
      <u/>
      <sz val="11"/>
      <color rgb="FF800080"/>
      <name val="Calibri"/>
      <family val="2"/>
      <charset val="0"/>
      <scheme val="minor"/>
    </font>
    <font>
      <sz val="11"/>
      <color rgb="FF3F3F76"/>
      <name val="Calibri"/>
      <family val="2"/>
      <charset val="0"/>
      <scheme val="minor"/>
    </font>
    <font>
      <sz val="11"/>
      <color indexed="20"/>
      <name val="Calibri"/>
      <family val="2"/>
      <charset val="0"/>
    </font>
    <font>
      <b/>
      <sz val="18"/>
      <color theme="3"/>
      <name val="Calibri"/>
      <family val="2"/>
      <charset val="0"/>
      <scheme val="minor"/>
    </font>
    <font>
      <b/>
      <sz val="11"/>
      <color theme="3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indexed="17"/>
      <name val="Calibri"/>
      <family val="2"/>
      <charset val="0"/>
    </font>
    <font>
      <i/>
      <sz val="11"/>
      <color rgb="FF7F7F7F"/>
      <name val="Calibri"/>
      <family val="2"/>
      <charset val="0"/>
      <scheme val="minor"/>
    </font>
    <font>
      <b/>
      <sz val="11"/>
      <color indexed="9"/>
      <name val="Calibri"/>
      <family val="2"/>
      <charset val="0"/>
    </font>
    <font>
      <b/>
      <sz val="11"/>
      <color rgb="FF3F3F3F"/>
      <name val="Calibri"/>
      <family val="2"/>
      <charset val="0"/>
      <scheme val="minor"/>
    </font>
    <font>
      <b/>
      <sz val="11"/>
      <color indexed="8"/>
      <name val="Calibri"/>
      <family val="2"/>
      <charset val="0"/>
    </font>
    <font>
      <sz val="11"/>
      <color indexed="62"/>
      <name val="Calibri"/>
      <family val="2"/>
      <charset val="0"/>
    </font>
    <font>
      <sz val="11"/>
      <color rgb="FF006100"/>
      <name val="Calibri"/>
      <family val="2"/>
      <charset val="0"/>
      <scheme val="minor"/>
    </font>
    <font>
      <i/>
      <sz val="11"/>
      <color indexed="23"/>
      <name val="Calibri"/>
      <family val="2"/>
      <charset val="0"/>
    </font>
  </fonts>
  <fills count="5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FFEB9C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29"/>
        <bgColor indexed="45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2F2F2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9"/>
        <bgColor indexed="40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theme="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21"/>
      </patternFill>
    </fill>
    <fill>
      <patternFill patternType="solid">
        <fgColor indexed="47"/>
        <bgColor indexed="22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</borders>
  <cellStyleXfs count="90">
    <xf numFmtId="0" fontId="0" fillId="0" borderId="0"/>
    <xf numFmtId="0" fontId="18" fillId="5" borderId="0" applyNumberFormat="0" applyBorder="0" applyAlignment="0" applyProtection="0">
      <alignment vertical="center"/>
    </xf>
    <xf numFmtId="43" fontId="13" fillId="0" borderId="0" applyFill="0" applyBorder="0" applyAlignment="0" applyProtection="0"/>
    <xf numFmtId="41" fontId="13" fillId="0" borderId="0" applyFill="0" applyBorder="0" applyAlignment="0" applyProtection="0"/>
    <xf numFmtId="42" fontId="13" fillId="0" borderId="0" applyFill="0" applyBorder="0" applyAlignment="0" applyProtection="0"/>
    <xf numFmtId="44" fontId="13" fillId="0" borderId="0" applyFill="0" applyBorder="0" applyAlignment="0" applyProtection="0"/>
    <xf numFmtId="0" fontId="25" fillId="0" borderId="0" applyNumberFormat="0" applyFill="0" applyBorder="0" applyAlignment="0" applyProtection="0"/>
    <xf numFmtId="9" fontId="13" fillId="0" borderId="0" applyFill="0" applyBorder="0" applyAlignment="0" applyProtection="0"/>
    <xf numFmtId="0" fontId="14" fillId="2" borderId="20" applyNumberFormat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32" fillId="23" borderId="2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3" fillId="42" borderId="0" applyNumberFormat="0" applyBorder="0" applyAlignment="0" applyProtection="0"/>
    <xf numFmtId="0" fontId="38" fillId="34" borderId="26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6" fillId="19" borderId="34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19" borderId="26" applyNumberFormat="0" applyAlignment="0" applyProtection="0">
      <alignment vertical="center"/>
    </xf>
    <xf numFmtId="0" fontId="31" fillId="0" borderId="27" applyNumberFormat="0" applyFill="0" applyAlignment="0" applyProtection="0">
      <alignment vertical="center"/>
    </xf>
    <xf numFmtId="0" fontId="42" fillId="0" borderId="32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/>
    <xf numFmtId="0" fontId="22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/>
    <xf numFmtId="0" fontId="15" fillId="32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3" fillId="43" borderId="0" applyNumberFormat="0" applyBorder="0" applyAlignment="0" applyProtection="0"/>
    <xf numFmtId="0" fontId="15" fillId="3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5" fillId="0" borderId="29" applyNumberFormat="0" applyFill="0" applyAlignment="0" applyProtection="0"/>
    <xf numFmtId="0" fontId="15" fillId="54" borderId="0" applyNumberFormat="0" applyBorder="0" applyAlignment="0" applyProtection="0">
      <alignment vertical="center"/>
    </xf>
    <xf numFmtId="0" fontId="23" fillId="40" borderId="0" applyNumberFormat="0" applyBorder="0" applyAlignment="0" applyProtection="0"/>
    <xf numFmtId="0" fontId="15" fillId="4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43" fillId="25" borderId="0" applyNumberFormat="0" applyBorder="0" applyAlignment="0" applyProtection="0"/>
    <xf numFmtId="0" fontId="23" fillId="11" borderId="0" applyNumberFormat="0" applyBorder="0" applyAlignment="0" applyProtection="0"/>
    <xf numFmtId="0" fontId="18" fillId="5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3" fillId="12" borderId="0" applyNumberFormat="0" applyBorder="0" applyAlignment="0" applyProtection="0"/>
    <xf numFmtId="0" fontId="15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6" fillId="18" borderId="30" applyNumberFormat="0" applyAlignment="0" applyProtection="0"/>
    <xf numFmtId="0" fontId="23" fillId="36" borderId="0" applyNumberFormat="0" applyBorder="0" applyAlignment="0" applyProtection="0"/>
    <xf numFmtId="0" fontId="23" fillId="25" borderId="0" applyNumberFormat="0" applyBorder="0" applyAlignment="0" applyProtection="0"/>
    <xf numFmtId="0" fontId="23" fillId="40" borderId="0" applyNumberFormat="0" applyBorder="0" applyAlignment="0" applyProtection="0"/>
    <xf numFmtId="0" fontId="23" fillId="49" borderId="0" applyNumberFormat="0" applyBorder="0" applyAlignment="0" applyProtection="0"/>
    <xf numFmtId="0" fontId="17" fillId="33" borderId="0" applyNumberFormat="0" applyBorder="0" applyAlignment="0" applyProtection="0"/>
    <xf numFmtId="0" fontId="17" fillId="13" borderId="0" applyNumberFormat="0" applyBorder="0" applyAlignment="0" applyProtection="0"/>
    <xf numFmtId="0" fontId="23" fillId="47" borderId="0" applyNumberFormat="0" applyBorder="0" applyAlignment="0" applyProtection="0"/>
    <xf numFmtId="0" fontId="23" fillId="11" borderId="0" applyNumberFormat="0" applyBorder="0" applyAlignment="0" applyProtection="0"/>
    <xf numFmtId="0" fontId="17" fillId="43" borderId="0" applyNumberFormat="0" applyBorder="0" applyAlignment="0" applyProtection="0"/>
    <xf numFmtId="0" fontId="17" fillId="37" borderId="0" applyNumberFormat="0" applyBorder="0" applyAlignment="0" applyProtection="0"/>
    <xf numFmtId="0" fontId="17" fillId="21" borderId="0" applyNumberFormat="0" applyBorder="0" applyAlignment="0" applyProtection="0"/>
    <xf numFmtId="0" fontId="17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28" borderId="0" applyNumberFormat="0" applyBorder="0" applyAlignment="0" applyProtection="0"/>
    <xf numFmtId="0" fontId="48" fillId="47" borderId="25" applyNumberFormat="0" applyAlignment="0" applyProtection="0"/>
    <xf numFmtId="0" fontId="29" fillId="18" borderId="25" applyNumberFormat="0" applyAlignment="0" applyProtection="0"/>
    <xf numFmtId="0" fontId="19" fillId="0" borderId="22" applyNumberFormat="0" applyFill="0" applyAlignment="0" applyProtection="0"/>
    <xf numFmtId="0" fontId="24" fillId="0" borderId="24" applyNumberFormat="0" applyFill="0" applyAlignment="0" applyProtection="0"/>
    <xf numFmtId="0" fontId="25" fillId="0" borderId="31" applyNumberFormat="0" applyFill="0" applyAlignment="0" applyProtection="0"/>
    <xf numFmtId="0" fontId="47" fillId="0" borderId="35" applyNumberFormat="0" applyFill="0" applyAlignment="0" applyProtection="0"/>
    <xf numFmtId="0" fontId="45" fillId="45" borderId="33" applyNumberFormat="0" applyAlignment="0" applyProtection="0"/>
    <xf numFmtId="0" fontId="28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39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0" fillId="7" borderId="21" applyNumberFormat="0" applyAlignment="0" applyProtection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0" fillId="0" borderId="9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left"/>
    </xf>
    <xf numFmtId="49" fontId="0" fillId="0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left"/>
    </xf>
    <xf numFmtId="49" fontId="6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 indent="1"/>
    </xf>
    <xf numFmtId="49" fontId="12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indent="1"/>
    </xf>
    <xf numFmtId="49" fontId="0" fillId="0" borderId="0" xfId="0" applyNumberFormat="1"/>
    <xf numFmtId="49" fontId="2" fillId="0" borderId="0" xfId="0" applyNumberFormat="1" applyFont="1" applyAlignment="1">
      <alignment horizontal="right"/>
    </xf>
    <xf numFmtId="49" fontId="10" fillId="0" borderId="7" xfId="0" applyNumberFormat="1" applyFont="1" applyBorder="1" applyAlignment="1">
      <alignment horizontal="center"/>
    </xf>
    <xf numFmtId="49" fontId="0" fillId="0" borderId="8" xfId="0" applyNumberFormat="1" applyFont="1" applyBorder="1"/>
    <xf numFmtId="49" fontId="10" fillId="0" borderId="0" xfId="0" applyNumberFormat="1" applyFont="1" applyBorder="1" applyAlignment="1">
      <alignment horizontal="center"/>
    </xf>
    <xf numFmtId="49" fontId="0" fillId="0" borderId="9" xfId="0" applyNumberFormat="1" applyFont="1" applyBorder="1"/>
    <xf numFmtId="49" fontId="6" fillId="0" borderId="9" xfId="0" applyNumberFormat="1" applyFont="1" applyBorder="1"/>
    <xf numFmtId="49" fontId="0" fillId="0" borderId="10" xfId="0" applyNumberFormat="1" applyFont="1" applyBorder="1"/>
    <xf numFmtId="49" fontId="6" fillId="0" borderId="10" xfId="0" applyNumberFormat="1" applyFont="1" applyBorder="1"/>
    <xf numFmtId="49" fontId="6" fillId="0" borderId="8" xfId="0" applyNumberFormat="1" applyFont="1" applyBorder="1"/>
    <xf numFmtId="49" fontId="0" fillId="0" borderId="11" xfId="0" applyNumberFormat="1" applyFont="1" applyBorder="1"/>
    <xf numFmtId="49" fontId="6" fillId="0" borderId="11" xfId="0" applyNumberFormat="1" applyFont="1" applyBorder="1"/>
    <xf numFmtId="49" fontId="1" fillId="0" borderId="13" xfId="0" applyNumberFormat="1" applyFont="1" applyFill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horizontal="right"/>
    </xf>
    <xf numFmtId="49" fontId="2" fillId="0" borderId="10" xfId="0" applyNumberFormat="1" applyFont="1" applyBorder="1" applyAlignment="1">
      <alignment horizontal="right"/>
    </xf>
    <xf numFmtId="49" fontId="2" fillId="0" borderId="1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left"/>
    </xf>
    <xf numFmtId="49" fontId="9" fillId="0" borderId="0" xfId="0" applyNumberFormat="1" applyFont="1"/>
    <xf numFmtId="49" fontId="10" fillId="0" borderId="0" xfId="0" applyNumberFormat="1" applyFont="1"/>
    <xf numFmtId="49" fontId="12" fillId="0" borderId="0" xfId="0" applyNumberFormat="1" applyFont="1" applyAlignment="1">
      <alignment horizontal="left" indent="1"/>
    </xf>
    <xf numFmtId="49" fontId="12" fillId="0" borderId="0" xfId="0" applyNumberFormat="1" applyFont="1"/>
    <xf numFmtId="49" fontId="1" fillId="0" borderId="8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indent="1"/>
    </xf>
    <xf numFmtId="49" fontId="2" fillId="0" borderId="0" xfId="0" applyNumberFormat="1" applyFont="1"/>
    <xf numFmtId="49" fontId="0" fillId="0" borderId="9" xfId="0" applyNumberFormat="1" applyFont="1" applyBorder="1" applyAlignment="1">
      <alignment horizontal="left"/>
    </xf>
    <xf numFmtId="49" fontId="2" fillId="0" borderId="9" xfId="0" applyNumberFormat="1" applyFont="1" applyBorder="1"/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49" fontId="2" fillId="0" borderId="8" xfId="0" applyNumberFormat="1" applyFont="1" applyBorder="1"/>
    <xf numFmtId="49" fontId="2" fillId="0" borderId="10" xfId="0" applyNumberFormat="1" applyFont="1" applyBorder="1"/>
    <xf numFmtId="49" fontId="2" fillId="0" borderId="11" xfId="0" applyNumberFormat="1" applyFont="1" applyBorder="1"/>
    <xf numFmtId="49" fontId="0" fillId="0" borderId="11" xfId="0" applyNumberFormat="1" applyFont="1" applyBorder="1" applyAlignment="1">
      <alignment horizontal="left"/>
    </xf>
    <xf numFmtId="49" fontId="6" fillId="0" borderId="11" xfId="0" applyNumberFormat="1" applyFont="1" applyBorder="1" applyAlignment="1">
      <alignment horizontal="center"/>
    </xf>
    <xf numFmtId="49" fontId="0" fillId="0" borderId="15" xfId="0" applyNumberFormat="1" applyFont="1" applyBorder="1"/>
    <xf numFmtId="49" fontId="6" fillId="0" borderId="15" xfId="0" applyNumberFormat="1" applyFont="1" applyBorder="1"/>
    <xf numFmtId="49" fontId="0" fillId="0" borderId="16" xfId="0" applyNumberFormat="1" applyFont="1" applyBorder="1"/>
    <xf numFmtId="49" fontId="6" fillId="0" borderId="16" xfId="0" applyNumberFormat="1" applyFont="1" applyBorder="1"/>
    <xf numFmtId="49" fontId="6" fillId="0" borderId="17" xfId="0" applyNumberFormat="1" applyFont="1" applyBorder="1"/>
    <xf numFmtId="49" fontId="2" fillId="0" borderId="15" xfId="0" applyNumberFormat="1" applyFont="1" applyBorder="1" applyAlignment="1">
      <alignment horizontal="right"/>
    </xf>
    <xf numFmtId="49" fontId="0" fillId="0" borderId="18" xfId="0" applyNumberFormat="1" applyFont="1" applyBorder="1"/>
    <xf numFmtId="49" fontId="6" fillId="0" borderId="0" xfId="0" applyNumberFormat="1" applyFont="1" applyBorder="1"/>
    <xf numFmtId="49" fontId="2" fillId="0" borderId="16" xfId="0" applyNumberFormat="1" applyFont="1" applyBorder="1"/>
    <xf numFmtId="49" fontId="0" fillId="0" borderId="19" xfId="0" applyNumberFormat="1" applyFont="1" applyBorder="1"/>
  </cellXfs>
  <cellStyles count="9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Заголовок 4" xfId="6"/>
    <cellStyle name="Percent" xfId="7" builtinId="5"/>
    <cellStyle name="Check Cell" xfId="8" builtinId="23"/>
    <cellStyle name="Heading 2" xfId="9" builtinId="17"/>
    <cellStyle name="Note" xfId="10" builtinId="10"/>
    <cellStyle name="Hyperlink" xfId="11" builtinId="8"/>
    <cellStyle name="60% - Accent4" xfId="12" builtinId="44"/>
    <cellStyle name="Followed Hyperlink" xfId="13" builtinId="9"/>
    <cellStyle name="40% - Accent3" xfId="14" builtinId="39"/>
    <cellStyle name="Warning Text" xfId="15" builtinId="11"/>
    <cellStyle name="40% - Accent2" xfId="16" builtinId="35"/>
    <cellStyle name="Title" xfId="17" builtinId="15"/>
    <cellStyle name="CExplanatory Text" xfId="18" builtinId="53"/>
    <cellStyle name="Heading 1" xfId="19" builtinId="16"/>
    <cellStyle name="Heading 3" xfId="20" builtinId="18"/>
    <cellStyle name="Heading 4" xfId="21" builtinId="19"/>
    <cellStyle name="20% — акцент1" xfId="22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60% — акцент4" xfId="32"/>
    <cellStyle name="Neutral" xfId="33" builtinId="28"/>
    <cellStyle name="40% — акцент2" xfId="34"/>
    <cellStyle name="Accent1" xfId="35" builtinId="29"/>
    <cellStyle name="20% - Accent5" xfId="36" builtinId="46"/>
    <cellStyle name="60% - Accent1" xfId="37" builtinId="32"/>
    <cellStyle name="40% — акцент3" xfId="38"/>
    <cellStyle name="Accent2" xfId="39" builtinId="33"/>
    <cellStyle name="20% - Accent2" xfId="40" builtinId="34"/>
    <cellStyle name="20% - Accent6" xfId="41" builtinId="50"/>
    <cellStyle name="Связанная ячейка" xfId="42"/>
    <cellStyle name="60% - Accent2" xfId="43" builtinId="36"/>
    <cellStyle name="40% — акцент4" xfId="44"/>
    <cellStyle name="Accent3" xfId="45" builtinId="37"/>
    <cellStyle name="20% - Accent3" xfId="46" builtinId="38"/>
    <cellStyle name="Accent4" xfId="47" builtinId="41"/>
    <cellStyle name="Хороший" xfId="48"/>
    <cellStyle name="40% — акцент5" xfId="49"/>
    <cellStyle name="20% - Accent4" xfId="50" builtinId="42"/>
    <cellStyle name="40% - Accent4" xfId="51" builtinId="43"/>
    <cellStyle name="40% — акцент6" xfId="52"/>
    <cellStyle name="Accent5" xfId="53" builtinId="45"/>
    <cellStyle name="40% - Accent5" xfId="54" builtinId="47"/>
    <cellStyle name="60% - Accent5" xfId="55" builtinId="48"/>
    <cellStyle name="Accent6" xfId="56" builtinId="49"/>
    <cellStyle name="40% - Accent6" xfId="57" builtinId="51"/>
    <cellStyle name="60% - Accent6" xfId="58" builtinId="52"/>
    <cellStyle name="Вывод" xfId="59"/>
    <cellStyle name="20% — акцент2" xfId="60"/>
    <cellStyle name="20% — акцент3" xfId="61"/>
    <cellStyle name="20% — акцент4" xfId="62"/>
    <cellStyle name="20% — акцент5" xfId="63"/>
    <cellStyle name="60% — акцент1" xfId="64"/>
    <cellStyle name="60% — акцент2" xfId="65"/>
    <cellStyle name="20% — акцент6" xfId="66"/>
    <cellStyle name="40% — акцент1" xfId="67"/>
    <cellStyle name="60% — акцент3" xfId="68"/>
    <cellStyle name="60% — акцент5" xfId="69"/>
    <cellStyle name="60% — акцент6" xfId="70"/>
    <cellStyle name="Акцент1" xfId="71"/>
    <cellStyle name="Акцент2" xfId="72"/>
    <cellStyle name="Акцент3" xfId="73"/>
    <cellStyle name="Акцент4" xfId="74"/>
    <cellStyle name="Акцент5" xfId="75"/>
    <cellStyle name="Акцент6" xfId="76"/>
    <cellStyle name="Ввод " xfId="77"/>
    <cellStyle name="Вычисление" xfId="78"/>
    <cellStyle name="Заголовок 1" xfId="79"/>
    <cellStyle name="Заголовок 2" xfId="80"/>
    <cellStyle name="Заголовок 3" xfId="81"/>
    <cellStyle name="Итог" xfId="82"/>
    <cellStyle name="Контрольная ячейка" xfId="83"/>
    <cellStyle name="Название" xfId="84"/>
    <cellStyle name="Нейтральный" xfId="85"/>
    <cellStyle name="Плохой" xfId="86"/>
    <cellStyle name="Пояснение" xfId="87"/>
    <cellStyle name="Примечание" xfId="88"/>
    <cellStyle name="Текст предупреждения" xfId="8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1"/>
  <sheetViews>
    <sheetView tabSelected="1" workbookViewId="0">
      <selection activeCell="O23" sqref="O23"/>
    </sheetView>
  </sheetViews>
  <sheetFormatPr defaultColWidth="8.88888888888889" defaultRowHeight="13.2"/>
  <cols>
    <col min="1" max="1" width="24.8796296296296" style="43"/>
    <col min="2" max="2" width="26.5555555555556" style="43"/>
    <col min="3" max="3" width="7.55555555555556" style="43"/>
    <col min="4" max="4" width="6.55555555555556" style="43"/>
    <col min="5" max="5" width="17" style="43"/>
    <col min="6" max="9" width="5.55555555555556" style="43"/>
    <col min="10" max="10" width="6.33333333333333" style="67"/>
    <col min="11" max="11" width="8.55555555555556" style="43"/>
    <col min="12" max="12" width="7.11111111111111" style="43"/>
  </cols>
  <sheetData>
    <row r="1" s="5" customFormat="1" ht="1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5" customFormat="1" ht="45.7" customHeigh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12.75" customHeight="1" spans="1:12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0"/>
      <c r="H3" s="10"/>
      <c r="I3" s="10"/>
      <c r="J3" s="32" t="s">
        <v>7</v>
      </c>
      <c r="K3" s="9" t="s">
        <v>8</v>
      </c>
      <c r="L3" s="33" t="s">
        <v>9</v>
      </c>
    </row>
    <row r="4" s="1" customFormat="1" ht="23.25" customHeight="1" spans="1:12">
      <c r="A4" s="7"/>
      <c r="B4" s="8"/>
      <c r="C4" s="8"/>
      <c r="D4" s="8"/>
      <c r="E4" s="8"/>
      <c r="F4" s="11">
        <v>1</v>
      </c>
      <c r="G4" s="12">
        <v>2</v>
      </c>
      <c r="H4" s="12">
        <v>3</v>
      </c>
      <c r="I4" s="31" t="s">
        <v>10</v>
      </c>
      <c r="J4" s="32"/>
      <c r="K4" s="9"/>
      <c r="L4" s="33"/>
    </row>
    <row r="5" ht="15.6" spans="1:11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>
      <c r="A6" s="46" t="s">
        <v>12</v>
      </c>
      <c r="B6" s="46" t="s">
        <v>13</v>
      </c>
      <c r="C6" s="46" t="s">
        <v>14</v>
      </c>
      <c r="D6" s="46" t="str">
        <f ca="1">"1,4271"</f>
        <v>1,4271</v>
      </c>
      <c r="E6" s="46" t="s">
        <v>15</v>
      </c>
      <c r="F6" s="52" t="s">
        <v>16</v>
      </c>
      <c r="G6" s="52"/>
      <c r="H6" s="52"/>
      <c r="I6" s="52"/>
      <c r="J6" s="73">
        <v>0</v>
      </c>
      <c r="K6" s="46" t="str">
        <f ca="1">"0,0000"</f>
        <v>0,0000</v>
      </c>
      <c r="L6" s="46"/>
    </row>
    <row r="8" ht="15.6" spans="1:11">
      <c r="A8" s="47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2">
      <c r="A9" s="48" t="s">
        <v>18</v>
      </c>
      <c r="B9" s="48" t="s">
        <v>19</v>
      </c>
      <c r="C9" s="48" t="s">
        <v>20</v>
      </c>
      <c r="D9" s="48" t="str">
        <f ca="1" t="shared" ref="D9:D10" si="0">"0,6456"</f>
        <v>0,6456</v>
      </c>
      <c r="E9" s="48" t="s">
        <v>21</v>
      </c>
      <c r="F9" s="49" t="s">
        <v>22</v>
      </c>
      <c r="G9" s="48" t="s">
        <v>23</v>
      </c>
      <c r="H9" s="48" t="s">
        <v>24</v>
      </c>
      <c r="I9" s="49"/>
      <c r="J9" s="69">
        <v>285</v>
      </c>
      <c r="K9" s="48" t="str">
        <f ca="1">"183,9960"</f>
        <v>183,9960</v>
      </c>
      <c r="L9" s="48"/>
    </row>
    <row r="10" spans="1:12">
      <c r="A10" s="53" t="s">
        <v>25</v>
      </c>
      <c r="B10" s="53" t="s">
        <v>26</v>
      </c>
      <c r="C10" s="53" t="s">
        <v>20</v>
      </c>
      <c r="D10" s="53" t="str">
        <f ca="1" t="shared" si="0"/>
        <v>0,6456</v>
      </c>
      <c r="E10" s="53" t="s">
        <v>21</v>
      </c>
      <c r="F10" s="54" t="s">
        <v>27</v>
      </c>
      <c r="G10" s="53" t="s">
        <v>27</v>
      </c>
      <c r="H10" s="53" t="s">
        <v>28</v>
      </c>
      <c r="I10" s="54"/>
      <c r="J10" s="75">
        <v>200</v>
      </c>
      <c r="K10" s="53" t="str">
        <f ca="1">"129,1200"</f>
        <v>129,1200</v>
      </c>
      <c r="L10" s="53"/>
    </row>
    <row r="11" spans="1:12">
      <c r="A11" s="53" t="s">
        <v>29</v>
      </c>
      <c r="B11" s="53" t="s">
        <v>30</v>
      </c>
      <c r="C11" s="53" t="s">
        <v>31</v>
      </c>
      <c r="D11" s="53" t="str">
        <f ca="1">"0,6513"</f>
        <v>0,6513</v>
      </c>
      <c r="E11" s="53" t="s">
        <v>32</v>
      </c>
      <c r="F11" s="54" t="s">
        <v>33</v>
      </c>
      <c r="G11" s="54" t="s">
        <v>33</v>
      </c>
      <c r="H11" s="54" t="s">
        <v>33</v>
      </c>
      <c r="I11" s="54"/>
      <c r="J11" s="75">
        <v>0</v>
      </c>
      <c r="K11" s="53" t="str">
        <f ca="1">"0,0000"</f>
        <v>0,0000</v>
      </c>
      <c r="L11" s="53"/>
    </row>
    <row r="12" spans="1:12">
      <c r="A12" s="50" t="s">
        <v>25</v>
      </c>
      <c r="B12" s="50" t="s">
        <v>34</v>
      </c>
      <c r="C12" s="50" t="s">
        <v>20</v>
      </c>
      <c r="D12" s="50" t="str">
        <f ca="1">"0,8490"</f>
        <v>0,8490</v>
      </c>
      <c r="E12" s="50" t="s">
        <v>21</v>
      </c>
      <c r="F12" s="51" t="s">
        <v>27</v>
      </c>
      <c r="G12" s="50" t="s">
        <v>27</v>
      </c>
      <c r="H12" s="50" t="s">
        <v>28</v>
      </c>
      <c r="I12" s="51"/>
      <c r="J12" s="74">
        <v>200</v>
      </c>
      <c r="K12" s="50" t="str">
        <f ca="1">"169,7928"</f>
        <v>169,7928</v>
      </c>
      <c r="L12" s="50"/>
    </row>
    <row r="14" ht="15.6" spans="1:11">
      <c r="A14" s="47" t="s">
        <v>35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2">
      <c r="A15" s="48" t="s">
        <v>36</v>
      </c>
      <c r="B15" s="48" t="s">
        <v>37</v>
      </c>
      <c r="C15" s="48" t="s">
        <v>38</v>
      </c>
      <c r="D15" s="48" t="str">
        <f ca="1">"0,6145"</f>
        <v>0,6145</v>
      </c>
      <c r="E15" s="48" t="s">
        <v>39</v>
      </c>
      <c r="F15" s="49" t="s">
        <v>33</v>
      </c>
      <c r="G15" s="48" t="s">
        <v>33</v>
      </c>
      <c r="H15" s="48" t="s">
        <v>40</v>
      </c>
      <c r="I15" s="49"/>
      <c r="J15" s="69">
        <v>260</v>
      </c>
      <c r="K15" s="48" t="str">
        <f ca="1">"159,7830"</f>
        <v>159,7830</v>
      </c>
      <c r="L15" s="48"/>
    </row>
    <row r="16" spans="1:12">
      <c r="A16" s="53" t="s">
        <v>41</v>
      </c>
      <c r="B16" s="53" t="s">
        <v>42</v>
      </c>
      <c r="C16" s="53" t="s">
        <v>43</v>
      </c>
      <c r="D16" s="53" t="str">
        <f ca="1">"0,6126"</f>
        <v>0,6126</v>
      </c>
      <c r="E16" s="53" t="s">
        <v>39</v>
      </c>
      <c r="F16" s="54" t="s">
        <v>44</v>
      </c>
      <c r="G16" s="54" t="s">
        <v>45</v>
      </c>
      <c r="H16" s="54"/>
      <c r="I16" s="54"/>
      <c r="J16" s="75">
        <v>0</v>
      </c>
      <c r="K16" s="53" t="str">
        <f ca="1">"0,0000"</f>
        <v>0,0000</v>
      </c>
      <c r="L16" s="53"/>
    </row>
    <row r="17" spans="1:12">
      <c r="A17" s="50" t="s">
        <v>46</v>
      </c>
      <c r="B17" s="50" t="s">
        <v>47</v>
      </c>
      <c r="C17" s="50" t="s">
        <v>48</v>
      </c>
      <c r="D17" s="50" t="str">
        <f ca="1">"0,7763"</f>
        <v>0,7763</v>
      </c>
      <c r="E17" s="50" t="s">
        <v>49</v>
      </c>
      <c r="F17" s="50" t="s">
        <v>50</v>
      </c>
      <c r="G17" s="50" t="s">
        <v>51</v>
      </c>
      <c r="H17" s="51" t="s">
        <v>52</v>
      </c>
      <c r="I17" s="51"/>
      <c r="J17" s="74">
        <v>245</v>
      </c>
      <c r="K17" s="50" t="str">
        <f ca="1">"190,2016"</f>
        <v>190,2016</v>
      </c>
      <c r="L17" s="50"/>
    </row>
    <row r="19" ht="15.6" spans="1:11">
      <c r="A19" s="47" t="s">
        <v>53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2">
      <c r="A20" s="46" t="s">
        <v>54</v>
      </c>
      <c r="B20" s="46" t="s">
        <v>55</v>
      </c>
      <c r="C20" s="46" t="s">
        <v>56</v>
      </c>
      <c r="D20" s="46" t="str">
        <f ca="1">"0,5828"</f>
        <v>0,5828</v>
      </c>
      <c r="E20" s="46" t="s">
        <v>39</v>
      </c>
      <c r="F20" s="52" t="s">
        <v>40</v>
      </c>
      <c r="G20" s="52" t="s">
        <v>40</v>
      </c>
      <c r="H20" s="46" t="s">
        <v>40</v>
      </c>
      <c r="I20" s="52"/>
      <c r="J20" s="73">
        <v>260</v>
      </c>
      <c r="K20" s="46" t="str">
        <f ca="1">"151,5280"</f>
        <v>151,5280</v>
      </c>
      <c r="L20" s="46"/>
    </row>
    <row r="22" ht="15.6" spans="1:11">
      <c r="A22" s="47" t="s">
        <v>57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</row>
    <row r="23" spans="1:12">
      <c r="A23" s="78" t="s">
        <v>58</v>
      </c>
      <c r="B23" s="78" t="s">
        <v>59</v>
      </c>
      <c r="C23" s="78" t="s">
        <v>60</v>
      </c>
      <c r="D23" s="78" t="str">
        <f ca="1">"0,5738"</f>
        <v>0,5738</v>
      </c>
      <c r="E23" s="78" t="s">
        <v>61</v>
      </c>
      <c r="F23" s="78" t="s">
        <v>62</v>
      </c>
      <c r="G23" s="79" t="s">
        <v>63</v>
      </c>
      <c r="H23" s="79" t="s">
        <v>64</v>
      </c>
      <c r="I23" s="82"/>
      <c r="J23" s="83" t="s">
        <v>65</v>
      </c>
      <c r="K23" s="84" t="s">
        <v>66</v>
      </c>
      <c r="L23" s="78"/>
    </row>
    <row r="24" spans="1:12">
      <c r="A24" s="80" t="s">
        <v>67</v>
      </c>
      <c r="B24" s="80" t="s">
        <v>68</v>
      </c>
      <c r="C24" s="80" t="s">
        <v>69</v>
      </c>
      <c r="D24" s="80" t="str">
        <f ca="1">"0,5625"</f>
        <v>0,5625</v>
      </c>
      <c r="E24" s="80" t="s">
        <v>49</v>
      </c>
      <c r="F24" s="80" t="s">
        <v>23</v>
      </c>
      <c r="G24" s="81" t="s">
        <v>70</v>
      </c>
      <c r="H24" s="80" t="s">
        <v>71</v>
      </c>
      <c r="I24" s="85"/>
      <c r="J24" s="86">
        <v>305</v>
      </c>
      <c r="K24" s="87" t="str">
        <f ca="1">"171,5625"</f>
        <v>171,5625</v>
      </c>
      <c r="L24" s="80"/>
    </row>
    <row r="25" spans="1:12">
      <c r="A25" s="53" t="s">
        <v>72</v>
      </c>
      <c r="B25" s="53" t="s">
        <v>73</v>
      </c>
      <c r="C25" s="53" t="s">
        <v>74</v>
      </c>
      <c r="D25" s="53" t="str">
        <f ca="1">"0,5724"</f>
        <v>0,5724</v>
      </c>
      <c r="E25" s="53" t="s">
        <v>39</v>
      </c>
      <c r="F25" s="53" t="s">
        <v>75</v>
      </c>
      <c r="G25" s="54" t="s">
        <v>76</v>
      </c>
      <c r="H25" s="54" t="s">
        <v>76</v>
      </c>
      <c r="I25" s="54"/>
      <c r="J25" s="75">
        <v>290</v>
      </c>
      <c r="K25" s="53" t="str">
        <f ca="1">"165,9960"</f>
        <v>165,9960</v>
      </c>
      <c r="L25" s="53"/>
    </row>
    <row r="26" spans="1:12">
      <c r="A26" s="53" t="s">
        <v>77</v>
      </c>
      <c r="B26" s="53" t="s">
        <v>78</v>
      </c>
      <c r="C26" s="53" t="s">
        <v>79</v>
      </c>
      <c r="D26" s="53" t="str">
        <f ca="1">"0,5634"</f>
        <v>0,5634</v>
      </c>
      <c r="E26" s="53" t="s">
        <v>21</v>
      </c>
      <c r="F26" s="54" t="s">
        <v>80</v>
      </c>
      <c r="G26" s="53" t="s">
        <v>80</v>
      </c>
      <c r="H26" s="54" t="s">
        <v>40</v>
      </c>
      <c r="I26" s="54"/>
      <c r="J26" s="75">
        <v>250</v>
      </c>
      <c r="K26" s="53" t="str">
        <f ca="1">"140,8375"</f>
        <v>140,8375</v>
      </c>
      <c r="L26" s="53"/>
    </row>
    <row r="27" spans="1:12">
      <c r="A27" s="53" t="s">
        <v>81</v>
      </c>
      <c r="B27" s="53" t="s">
        <v>82</v>
      </c>
      <c r="C27" s="53" t="s">
        <v>83</v>
      </c>
      <c r="D27" s="53" t="str">
        <f ca="1">"0,5671"</f>
        <v>0,5671</v>
      </c>
      <c r="E27" s="53" t="s">
        <v>49</v>
      </c>
      <c r="F27" s="54" t="s">
        <v>75</v>
      </c>
      <c r="G27" s="54" t="s">
        <v>75</v>
      </c>
      <c r="H27" s="54" t="s">
        <v>84</v>
      </c>
      <c r="I27" s="54"/>
      <c r="J27" s="75">
        <v>0</v>
      </c>
      <c r="K27" s="53" t="str">
        <f ca="1">"0,0000"</f>
        <v>0,0000</v>
      </c>
      <c r="L27" s="53"/>
    </row>
    <row r="28" spans="1:12">
      <c r="A28" s="53" t="s">
        <v>85</v>
      </c>
      <c r="B28" s="53" t="s">
        <v>86</v>
      </c>
      <c r="C28" s="53" t="s">
        <v>87</v>
      </c>
      <c r="D28" s="53" t="str">
        <f ca="1">"0,6127"</f>
        <v>0,6127</v>
      </c>
      <c r="E28" s="53" t="s">
        <v>21</v>
      </c>
      <c r="F28" s="53" t="s">
        <v>88</v>
      </c>
      <c r="G28" s="54" t="s">
        <v>51</v>
      </c>
      <c r="H28" s="54" t="s">
        <v>89</v>
      </c>
      <c r="I28" s="54"/>
      <c r="J28" s="75">
        <v>230</v>
      </c>
      <c r="K28" s="53" t="str">
        <f ca="1">"140,9294"</f>
        <v>140,9294</v>
      </c>
      <c r="L28" s="53"/>
    </row>
    <row r="29" spans="1:12">
      <c r="A29" s="53" t="s">
        <v>81</v>
      </c>
      <c r="B29" s="53" t="s">
        <v>90</v>
      </c>
      <c r="C29" s="53" t="s">
        <v>83</v>
      </c>
      <c r="D29" s="53" t="str">
        <f ca="1">"0,6221"</f>
        <v>0,6221</v>
      </c>
      <c r="E29" s="53" t="s">
        <v>49</v>
      </c>
      <c r="F29" s="54" t="s">
        <v>75</v>
      </c>
      <c r="G29" s="54" t="s">
        <v>75</v>
      </c>
      <c r="H29" s="54" t="s">
        <v>84</v>
      </c>
      <c r="I29" s="54"/>
      <c r="J29" s="75">
        <v>0</v>
      </c>
      <c r="K29" s="53" t="str">
        <f ca="1">"0,0000"</f>
        <v>0,0000</v>
      </c>
      <c r="L29" s="53"/>
    </row>
    <row r="30" spans="1:12">
      <c r="A30" s="53" t="s">
        <v>91</v>
      </c>
      <c r="B30" s="53" t="s">
        <v>92</v>
      </c>
      <c r="C30" s="53" t="s">
        <v>69</v>
      </c>
      <c r="D30" s="53" t="str">
        <f ca="1">"0,6008"</f>
        <v>0,6008</v>
      </c>
      <c r="E30" s="53" t="s">
        <v>21</v>
      </c>
      <c r="F30" s="53" t="s">
        <v>89</v>
      </c>
      <c r="G30" s="54" t="s">
        <v>22</v>
      </c>
      <c r="H30" s="54" t="s">
        <v>22</v>
      </c>
      <c r="I30" s="54"/>
      <c r="J30" s="59" t="s">
        <v>93</v>
      </c>
      <c r="K30" s="53" t="s">
        <v>94</v>
      </c>
      <c r="L30" s="53"/>
    </row>
    <row r="31" spans="1:12">
      <c r="A31" s="50" t="s">
        <v>95</v>
      </c>
      <c r="B31" s="50" t="s">
        <v>96</v>
      </c>
      <c r="C31" s="50" t="s">
        <v>97</v>
      </c>
      <c r="D31" s="50" t="str">
        <f ca="1">"1,0579"</f>
        <v>1,0579</v>
      </c>
      <c r="E31" s="50" t="s">
        <v>98</v>
      </c>
      <c r="F31" s="50" t="s">
        <v>99</v>
      </c>
      <c r="G31" s="51"/>
      <c r="H31" s="51"/>
      <c r="I31" s="51"/>
      <c r="J31" s="58" t="s">
        <v>100</v>
      </c>
      <c r="K31" s="50" t="s">
        <v>101</v>
      </c>
      <c r="L31" s="50"/>
    </row>
    <row r="33" ht="15.6" spans="1:11">
      <c r="A33" s="47" t="s">
        <v>102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2">
      <c r="A34" s="48" t="s">
        <v>103</v>
      </c>
      <c r="B34" s="48" t="s">
        <v>104</v>
      </c>
      <c r="C34" s="48" t="s">
        <v>105</v>
      </c>
      <c r="D34" s="48" t="str">
        <f ca="1">"0,5566"</f>
        <v>0,5566</v>
      </c>
      <c r="E34" s="48" t="s">
        <v>49</v>
      </c>
      <c r="F34" s="48" t="s">
        <v>84</v>
      </c>
      <c r="G34" s="49"/>
      <c r="H34" s="49"/>
      <c r="I34" s="49"/>
      <c r="J34" s="69">
        <v>300</v>
      </c>
      <c r="K34" s="48" t="str">
        <f ca="1">"166,9650"</f>
        <v>166,9650</v>
      </c>
      <c r="L34" s="48"/>
    </row>
    <row r="35" spans="1:12">
      <c r="A35" s="53" t="s">
        <v>106</v>
      </c>
      <c r="B35" s="53" t="s">
        <v>107</v>
      </c>
      <c r="C35" s="53" t="s">
        <v>108</v>
      </c>
      <c r="D35" s="53" t="str">
        <f ca="1">"0,5494"</f>
        <v>0,5494</v>
      </c>
      <c r="E35" s="53" t="s">
        <v>109</v>
      </c>
      <c r="F35" s="54" t="s">
        <v>110</v>
      </c>
      <c r="G35" s="53" t="s">
        <v>110</v>
      </c>
      <c r="H35" s="54"/>
      <c r="I35" s="54"/>
      <c r="J35" s="75">
        <v>55</v>
      </c>
      <c r="K35" s="53" t="str">
        <f ca="1">"30,2170"</f>
        <v>30,2170</v>
      </c>
      <c r="L35" s="53"/>
    </row>
    <row r="36" spans="1:12">
      <c r="A36" s="53" t="s">
        <v>111</v>
      </c>
      <c r="B36" s="53" t="s">
        <v>112</v>
      </c>
      <c r="C36" s="53" t="s">
        <v>113</v>
      </c>
      <c r="D36" s="53" t="str">
        <f ca="1">"0,5530"</f>
        <v>0,5530</v>
      </c>
      <c r="E36" s="53" t="s">
        <v>32</v>
      </c>
      <c r="F36" s="54" t="s">
        <v>64</v>
      </c>
      <c r="G36" s="54" t="s">
        <v>114</v>
      </c>
      <c r="H36" s="54" t="s">
        <v>115</v>
      </c>
      <c r="I36" s="54"/>
      <c r="J36" s="75">
        <v>0</v>
      </c>
      <c r="K36" s="53" t="str">
        <f ca="1">"0,0000"</f>
        <v>0,0000</v>
      </c>
      <c r="L36" s="53"/>
    </row>
    <row r="37" spans="1:12">
      <c r="A37" s="53" t="s">
        <v>103</v>
      </c>
      <c r="B37" s="53" t="s">
        <v>116</v>
      </c>
      <c r="C37" s="53" t="s">
        <v>105</v>
      </c>
      <c r="D37" s="53" t="str">
        <f ca="1">"0,6022"</f>
        <v>0,6022</v>
      </c>
      <c r="E37" s="53" t="s">
        <v>49</v>
      </c>
      <c r="F37" s="53" t="s">
        <v>84</v>
      </c>
      <c r="G37" s="53" t="s">
        <v>117</v>
      </c>
      <c r="H37" s="53" t="s">
        <v>118</v>
      </c>
      <c r="I37" s="54" t="s">
        <v>119</v>
      </c>
      <c r="J37" s="75">
        <v>320</v>
      </c>
      <c r="K37" s="53" t="str">
        <f ca="1">"192,6999"</f>
        <v>192,6999</v>
      </c>
      <c r="L37" s="53"/>
    </row>
    <row r="38" spans="1:12">
      <c r="A38" s="50" t="s">
        <v>120</v>
      </c>
      <c r="B38" s="50" t="s">
        <v>121</v>
      </c>
      <c r="C38" s="50" t="s">
        <v>122</v>
      </c>
      <c r="D38" s="50" t="str">
        <f ca="1">"0,6169"</f>
        <v>0,6169</v>
      </c>
      <c r="E38" s="50" t="s">
        <v>98</v>
      </c>
      <c r="F38" s="50" t="s">
        <v>123</v>
      </c>
      <c r="G38" s="51" t="s">
        <v>124</v>
      </c>
      <c r="H38" s="51" t="s">
        <v>124</v>
      </c>
      <c r="I38" s="51"/>
      <c r="J38" s="74">
        <v>125</v>
      </c>
      <c r="K38" s="50" t="str">
        <f ca="1">"77,1084"</f>
        <v>77,1084</v>
      </c>
      <c r="L38" s="50"/>
    </row>
    <row r="40" ht="15.6" spans="1:11">
      <c r="A40" s="47" t="s">
        <v>125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2">
      <c r="A41" s="48" t="s">
        <v>126</v>
      </c>
      <c r="B41" s="48" t="s">
        <v>127</v>
      </c>
      <c r="C41" s="48" t="s">
        <v>128</v>
      </c>
      <c r="D41" s="48" t="str">
        <f ca="1">"0,5409"</f>
        <v>0,5409</v>
      </c>
      <c r="E41" s="48" t="s">
        <v>32</v>
      </c>
      <c r="F41" s="48" t="s">
        <v>129</v>
      </c>
      <c r="G41" s="48" t="s">
        <v>130</v>
      </c>
      <c r="H41" s="49" t="s">
        <v>131</v>
      </c>
      <c r="I41" s="49"/>
      <c r="J41" s="69">
        <v>357.5</v>
      </c>
      <c r="K41" s="48" t="str">
        <f ca="1">"193,3825"</f>
        <v>193,3825</v>
      </c>
      <c r="L41" s="48"/>
    </row>
    <row r="42" spans="1:12">
      <c r="A42" s="50" t="s">
        <v>132</v>
      </c>
      <c r="B42" s="50" t="s">
        <v>133</v>
      </c>
      <c r="C42" s="50" t="s">
        <v>134</v>
      </c>
      <c r="D42" s="50" t="str">
        <f ca="1">"0,5446"</f>
        <v>0,5446</v>
      </c>
      <c r="E42" s="50" t="s">
        <v>109</v>
      </c>
      <c r="F42" s="50" t="s">
        <v>44</v>
      </c>
      <c r="G42" s="50" t="s">
        <v>135</v>
      </c>
      <c r="H42" s="51" t="s">
        <v>52</v>
      </c>
      <c r="I42" s="51"/>
      <c r="J42" s="74">
        <v>232.5</v>
      </c>
      <c r="K42" s="50" t="str">
        <f ca="1">"126,6172"</f>
        <v>126,6172</v>
      </c>
      <c r="L42" s="50"/>
    </row>
    <row r="44" ht="15.6" spans="1:11">
      <c r="A44" s="47" t="s">
        <v>136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2">
      <c r="A45" s="48" t="s">
        <v>137</v>
      </c>
      <c r="B45" s="48" t="s">
        <v>138</v>
      </c>
      <c r="C45" s="48" t="s">
        <v>139</v>
      </c>
      <c r="D45" s="48" t="str">
        <f ca="1">"0,5286"</f>
        <v>0,5286</v>
      </c>
      <c r="E45" s="48" t="s">
        <v>109</v>
      </c>
      <c r="F45" s="48" t="s">
        <v>140</v>
      </c>
      <c r="G45" s="49" t="s">
        <v>141</v>
      </c>
      <c r="H45" s="49" t="s">
        <v>28</v>
      </c>
      <c r="I45" s="49"/>
      <c r="J45" s="57" t="s">
        <v>142</v>
      </c>
      <c r="K45" s="48" t="s">
        <v>143</v>
      </c>
      <c r="L45" s="48"/>
    </row>
    <row r="46" spans="1:12">
      <c r="A46" s="50" t="s">
        <v>144</v>
      </c>
      <c r="B46" s="50" t="s">
        <v>145</v>
      </c>
      <c r="C46" s="50" t="s">
        <v>146</v>
      </c>
      <c r="D46" s="50" t="str">
        <f ca="1">"0,6860"</f>
        <v>0,6860</v>
      </c>
      <c r="E46" s="50" t="s">
        <v>109</v>
      </c>
      <c r="F46" s="50" t="s">
        <v>147</v>
      </c>
      <c r="G46" s="51"/>
      <c r="H46" s="51"/>
      <c r="I46" s="51"/>
      <c r="J46" s="74">
        <v>160</v>
      </c>
      <c r="K46" s="50" t="str">
        <f ca="1">"109,7604"</f>
        <v>109,7604</v>
      </c>
      <c r="L46" s="50"/>
    </row>
    <row r="48" ht="15.6" spans="5:5">
      <c r="E48" s="60" t="s">
        <v>148</v>
      </c>
    </row>
    <row r="49" ht="15.6" spans="5:5">
      <c r="E49" s="60" t="s">
        <v>149</v>
      </c>
    </row>
    <row r="50" ht="15.6" spans="5:5">
      <c r="E50" s="60" t="s">
        <v>150</v>
      </c>
    </row>
    <row r="51" spans="5:5">
      <c r="E51" s="43" t="s">
        <v>151</v>
      </c>
    </row>
    <row r="52" spans="5:5">
      <c r="E52" s="43" t="s">
        <v>152</v>
      </c>
    </row>
    <row r="53" spans="5:5">
      <c r="E53" s="43" t="s">
        <v>153</v>
      </c>
    </row>
    <row r="57" ht="18" spans="1:2">
      <c r="A57" s="61" t="s">
        <v>154</v>
      </c>
      <c r="B57" s="61"/>
    </row>
    <row r="58" ht="15.6" spans="1:2">
      <c r="A58" s="62" t="s">
        <v>155</v>
      </c>
      <c r="B58" s="62"/>
    </row>
    <row r="59" ht="13.8" spans="1:2">
      <c r="A59" s="63" t="s">
        <v>156</v>
      </c>
      <c r="B59" s="64"/>
    </row>
    <row r="60" ht="13.8" spans="1:5">
      <c r="A60" s="65" t="s">
        <v>1</v>
      </c>
      <c r="B60" s="65" t="s">
        <v>157</v>
      </c>
      <c r="C60" s="65" t="s">
        <v>158</v>
      </c>
      <c r="D60" s="65" t="s">
        <v>7</v>
      </c>
      <c r="E60" s="65" t="s">
        <v>159</v>
      </c>
    </row>
    <row r="61" spans="1:5">
      <c r="A61" s="66" t="s">
        <v>126</v>
      </c>
      <c r="B61" s="43" t="s">
        <v>156</v>
      </c>
      <c r="C61" s="43" t="s">
        <v>160</v>
      </c>
      <c r="D61" s="43" t="s">
        <v>130</v>
      </c>
      <c r="E61" s="67" t="s">
        <v>161</v>
      </c>
    </row>
    <row r="62" spans="1:5">
      <c r="A62" s="70" t="s">
        <v>162</v>
      </c>
      <c r="B62" s="43" t="s">
        <v>156</v>
      </c>
      <c r="C62" s="43" t="s">
        <v>163</v>
      </c>
      <c r="D62" s="70" t="s">
        <v>65</v>
      </c>
      <c r="E62" s="72" t="s">
        <v>66</v>
      </c>
    </row>
    <row r="63" spans="1:5">
      <c r="A63" s="66" t="s">
        <v>18</v>
      </c>
      <c r="B63" s="43" t="s">
        <v>156</v>
      </c>
      <c r="C63" s="43" t="s">
        <v>164</v>
      </c>
      <c r="D63" s="43" t="s">
        <v>24</v>
      </c>
      <c r="E63" s="67" t="s">
        <v>165</v>
      </c>
    </row>
    <row r="64" spans="1:5">
      <c r="A64" s="66" t="s">
        <v>67</v>
      </c>
      <c r="B64" s="43" t="s">
        <v>156</v>
      </c>
      <c r="C64" s="43" t="s">
        <v>163</v>
      </c>
      <c r="D64" s="43" t="s">
        <v>71</v>
      </c>
      <c r="E64" s="67" t="s">
        <v>166</v>
      </c>
    </row>
    <row r="65" spans="1:5">
      <c r="A65" s="66" t="s">
        <v>103</v>
      </c>
      <c r="B65" s="43" t="s">
        <v>156</v>
      </c>
      <c r="C65" s="43" t="s">
        <v>167</v>
      </c>
      <c r="D65" s="43" t="s">
        <v>84</v>
      </c>
      <c r="E65" s="67" t="s">
        <v>168</v>
      </c>
    </row>
    <row r="66" spans="1:5">
      <c r="A66" s="66" t="s">
        <v>72</v>
      </c>
      <c r="B66" s="43" t="s">
        <v>156</v>
      </c>
      <c r="C66" s="43" t="s">
        <v>163</v>
      </c>
      <c r="D66" s="43" t="s">
        <v>75</v>
      </c>
      <c r="E66" s="67" t="s">
        <v>169</v>
      </c>
    </row>
    <row r="67" spans="1:5">
      <c r="A67" s="66" t="s">
        <v>36</v>
      </c>
      <c r="B67" s="43" t="s">
        <v>156</v>
      </c>
      <c r="C67" s="43" t="s">
        <v>170</v>
      </c>
      <c r="D67" s="43" t="s">
        <v>40</v>
      </c>
      <c r="E67" s="67" t="s">
        <v>171</v>
      </c>
    </row>
    <row r="68" spans="1:5">
      <c r="A68" s="66" t="s">
        <v>54</v>
      </c>
      <c r="B68" s="43" t="s">
        <v>156</v>
      </c>
      <c r="C68" s="43" t="s">
        <v>172</v>
      </c>
      <c r="D68" s="43" t="s">
        <v>40</v>
      </c>
      <c r="E68" s="67" t="s">
        <v>173</v>
      </c>
    </row>
    <row r="69" spans="1:5">
      <c r="A69" s="66" t="s">
        <v>77</v>
      </c>
      <c r="B69" s="43" t="s">
        <v>156</v>
      </c>
      <c r="C69" s="43" t="s">
        <v>163</v>
      </c>
      <c r="D69" s="43" t="s">
        <v>80</v>
      </c>
      <c r="E69" s="67" t="s">
        <v>174</v>
      </c>
    </row>
    <row r="70" spans="1:5">
      <c r="A70" s="66" t="s">
        <v>25</v>
      </c>
      <c r="B70" s="43" t="s">
        <v>156</v>
      </c>
      <c r="C70" s="43" t="s">
        <v>164</v>
      </c>
      <c r="D70" s="43" t="s">
        <v>28</v>
      </c>
      <c r="E70" s="67" t="s">
        <v>175</v>
      </c>
    </row>
    <row r="71" spans="1:5">
      <c r="A71" s="66" t="s">
        <v>132</v>
      </c>
      <c r="B71" s="43" t="s">
        <v>156</v>
      </c>
      <c r="C71" s="43" t="s">
        <v>160</v>
      </c>
      <c r="D71" s="43" t="s">
        <v>135</v>
      </c>
      <c r="E71" s="67" t="s">
        <v>176</v>
      </c>
    </row>
    <row r="72" spans="1:5">
      <c r="A72" s="66" t="s">
        <v>106</v>
      </c>
      <c r="B72" s="43" t="s">
        <v>156</v>
      </c>
      <c r="C72" s="43" t="s">
        <v>167</v>
      </c>
      <c r="D72" s="43" t="s">
        <v>110</v>
      </c>
      <c r="E72" s="67" t="s">
        <v>177</v>
      </c>
    </row>
    <row r="74" ht="13.8" spans="1:2">
      <c r="A74" s="63" t="s">
        <v>178</v>
      </c>
      <c r="B74" s="64"/>
    </row>
    <row r="75" ht="13.8" spans="1:5">
      <c r="A75" s="65" t="s">
        <v>1</v>
      </c>
      <c r="B75" s="65" t="s">
        <v>157</v>
      </c>
      <c r="C75" s="65" t="s">
        <v>158</v>
      </c>
      <c r="D75" s="65" t="s">
        <v>7</v>
      </c>
      <c r="E75" s="65" t="s">
        <v>159</v>
      </c>
    </row>
    <row r="76" spans="1:5">
      <c r="A76" s="66" t="s">
        <v>103</v>
      </c>
      <c r="B76" s="43" t="s">
        <v>179</v>
      </c>
      <c r="C76" s="43" t="s">
        <v>167</v>
      </c>
      <c r="D76" s="43" t="s">
        <v>118</v>
      </c>
      <c r="E76" s="67" t="s">
        <v>180</v>
      </c>
    </row>
    <row r="77" spans="1:5">
      <c r="A77" s="66" t="s">
        <v>46</v>
      </c>
      <c r="B77" s="43" t="s">
        <v>181</v>
      </c>
      <c r="C77" s="43" t="s">
        <v>170</v>
      </c>
      <c r="D77" s="43" t="s">
        <v>51</v>
      </c>
      <c r="E77" s="67" t="s">
        <v>182</v>
      </c>
    </row>
    <row r="78" spans="1:5">
      <c r="A78" s="66" t="s">
        <v>25</v>
      </c>
      <c r="B78" s="43" t="s">
        <v>181</v>
      </c>
      <c r="C78" s="43" t="s">
        <v>164</v>
      </c>
      <c r="D78" s="43" t="s">
        <v>28</v>
      </c>
      <c r="E78" s="67" t="s">
        <v>183</v>
      </c>
    </row>
    <row r="79" spans="1:5">
      <c r="A79" s="66" t="s">
        <v>85</v>
      </c>
      <c r="B79" s="43" t="s">
        <v>179</v>
      </c>
      <c r="C79" s="43" t="s">
        <v>163</v>
      </c>
      <c r="D79" s="43" t="s">
        <v>88</v>
      </c>
      <c r="E79" s="67" t="s">
        <v>184</v>
      </c>
    </row>
    <row r="80" spans="1:5">
      <c r="A80" s="66" t="s">
        <v>144</v>
      </c>
      <c r="B80" s="43" t="s">
        <v>181</v>
      </c>
      <c r="C80" s="43" t="s">
        <v>185</v>
      </c>
      <c r="D80" s="43" t="s">
        <v>147</v>
      </c>
      <c r="E80" s="67" t="s">
        <v>186</v>
      </c>
    </row>
    <row r="81" spans="1:5">
      <c r="A81" s="66" t="s">
        <v>120</v>
      </c>
      <c r="B81" s="43" t="s">
        <v>187</v>
      </c>
      <c r="C81" s="43" t="s">
        <v>167</v>
      </c>
      <c r="D81" s="43" t="s">
        <v>123</v>
      </c>
      <c r="E81" s="67" t="s">
        <v>188</v>
      </c>
    </row>
  </sheetData>
  <sheetProtection selectLockedCells="1" selectUnlockedCells="1"/>
  <mergeCells count="18">
    <mergeCell ref="F3:I3"/>
    <mergeCell ref="A5:K5"/>
    <mergeCell ref="A8:K8"/>
    <mergeCell ref="A14:K14"/>
    <mergeCell ref="A19:K19"/>
    <mergeCell ref="A22:K22"/>
    <mergeCell ref="A33:K33"/>
    <mergeCell ref="A40:K40"/>
    <mergeCell ref="A44:K44"/>
    <mergeCell ref="A3:A4"/>
    <mergeCell ref="B3:B4"/>
    <mergeCell ref="C3:C4"/>
    <mergeCell ref="D3:D4"/>
    <mergeCell ref="E3:E4"/>
    <mergeCell ref="J3:J4"/>
    <mergeCell ref="K3:K4"/>
    <mergeCell ref="L3:L4"/>
    <mergeCell ref="A1:L2"/>
  </mergeCells>
  <pageMargins left="0.75" right="0.75" top="0.979861111111111" bottom="0.979861111111111" header="0.509722222222222" footer="0.509722222222222"/>
  <pageSetup paperSize="9" scale="42" fitToWidth="0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1"/>
  <sheetViews>
    <sheetView tabSelected="1" workbookViewId="0">
      <selection activeCell="O23" sqref="O23"/>
    </sheetView>
  </sheetViews>
  <sheetFormatPr defaultColWidth="8.88888888888889" defaultRowHeight="13.2"/>
  <cols>
    <col min="1" max="1" width="24.8796296296296" style="43"/>
    <col min="2" max="2" width="26.5555555555556" style="43"/>
    <col min="3" max="3" width="7.55555555555556" style="43"/>
    <col min="4" max="4" width="6.55555555555556" style="43"/>
    <col min="5" max="5" width="17" style="43"/>
    <col min="6" max="8" width="5.55555555555556" style="43"/>
    <col min="9" max="9" width="4.55555555555556" style="43"/>
    <col min="10" max="12" width="5.55555555555556" style="43"/>
    <col min="13" max="13" width="4.55555555555556" style="43"/>
    <col min="14" max="17" width="5.55555555555556" style="43"/>
    <col min="18" max="18" width="6.33333333333333" style="44"/>
    <col min="19" max="19" width="8.55555555555556" style="43"/>
    <col min="20" max="20" width="15.7777777777778" style="43"/>
  </cols>
  <sheetData>
    <row r="1" s="5" customFormat="1" ht="15" customHeight="1" spans="1:20">
      <c r="A1" s="6" t="s">
        <v>1498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5" customFormat="1" ht="60.7" customHeight="1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12.75" customHeight="1" spans="1:20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1280</v>
      </c>
      <c r="G3" s="10"/>
      <c r="H3" s="10"/>
      <c r="I3" s="10"/>
      <c r="J3" s="10" t="s">
        <v>6</v>
      </c>
      <c r="K3" s="10"/>
      <c r="L3" s="10"/>
      <c r="M3" s="10"/>
      <c r="N3" s="10" t="s">
        <v>190</v>
      </c>
      <c r="O3" s="10"/>
      <c r="P3" s="10"/>
      <c r="Q3" s="10"/>
      <c r="R3" s="55" t="s">
        <v>7</v>
      </c>
      <c r="S3" s="9" t="s">
        <v>8</v>
      </c>
      <c r="T3" s="33" t="s">
        <v>9</v>
      </c>
    </row>
    <row r="4" s="1" customFormat="1" ht="23.25" customHeight="1" spans="1:20">
      <c r="A4" s="7"/>
      <c r="B4" s="8"/>
      <c r="C4" s="8"/>
      <c r="D4" s="8"/>
      <c r="E4" s="8"/>
      <c r="F4" s="11">
        <v>1</v>
      </c>
      <c r="G4" s="12">
        <v>2</v>
      </c>
      <c r="H4" s="12">
        <v>3</v>
      </c>
      <c r="I4" s="31" t="s">
        <v>10</v>
      </c>
      <c r="J4" s="11">
        <v>1</v>
      </c>
      <c r="K4" s="12">
        <v>2</v>
      </c>
      <c r="L4" s="12">
        <v>3</v>
      </c>
      <c r="M4" s="31" t="s">
        <v>10</v>
      </c>
      <c r="N4" s="11">
        <v>1</v>
      </c>
      <c r="O4" s="12">
        <v>2</v>
      </c>
      <c r="P4" s="12">
        <v>3</v>
      </c>
      <c r="Q4" s="31" t="s">
        <v>10</v>
      </c>
      <c r="R4" s="55"/>
      <c r="S4" s="9"/>
      <c r="T4" s="33"/>
    </row>
    <row r="5" ht="15.6" spans="1:19">
      <c r="A5" s="45" t="s">
        <v>512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20">
      <c r="A6" s="46" t="s">
        <v>1499</v>
      </c>
      <c r="B6" s="46" t="s">
        <v>1500</v>
      </c>
      <c r="C6" s="46" t="s">
        <v>1501</v>
      </c>
      <c r="D6" s="46" t="str">
        <f ca="1">"1,1076"</f>
        <v>1,1076</v>
      </c>
      <c r="E6" s="46" t="s">
        <v>1502</v>
      </c>
      <c r="F6" s="46" t="s">
        <v>1503</v>
      </c>
      <c r="G6" s="46" t="s">
        <v>575</v>
      </c>
      <c r="H6" s="46" t="s">
        <v>561</v>
      </c>
      <c r="I6" s="52"/>
      <c r="J6" s="52" t="s">
        <v>624</v>
      </c>
      <c r="K6" s="46" t="s">
        <v>1504</v>
      </c>
      <c r="L6" s="46" t="s">
        <v>584</v>
      </c>
      <c r="M6" s="46" t="s">
        <v>556</v>
      </c>
      <c r="N6" s="52" t="s">
        <v>1505</v>
      </c>
      <c r="O6" s="46" t="s">
        <v>562</v>
      </c>
      <c r="P6" s="52" t="s">
        <v>563</v>
      </c>
      <c r="Q6" s="52"/>
      <c r="R6" s="56">
        <v>210</v>
      </c>
      <c r="S6" s="46" t="str">
        <f ca="1">"232,5960"</f>
        <v>232,5960</v>
      </c>
      <c r="T6" s="46"/>
    </row>
    <row r="8" ht="15.6" spans="1:19">
      <c r="A8" s="47" t="s">
        <v>191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20">
      <c r="A9" s="48" t="s">
        <v>1506</v>
      </c>
      <c r="B9" s="48" t="s">
        <v>229</v>
      </c>
      <c r="C9" s="48" t="s">
        <v>620</v>
      </c>
      <c r="D9" s="48" t="str">
        <f ca="1">"1,1950"</f>
        <v>1,1950</v>
      </c>
      <c r="E9" s="48" t="s">
        <v>49</v>
      </c>
      <c r="F9" s="48" t="s">
        <v>544</v>
      </c>
      <c r="G9" s="48" t="s">
        <v>545</v>
      </c>
      <c r="H9" s="49" t="s">
        <v>546</v>
      </c>
      <c r="I9" s="49"/>
      <c r="J9" s="48" t="s">
        <v>1507</v>
      </c>
      <c r="K9" s="49" t="s">
        <v>1508</v>
      </c>
      <c r="L9" s="48" t="s">
        <v>1508</v>
      </c>
      <c r="M9" s="49"/>
      <c r="N9" s="48" t="s">
        <v>1509</v>
      </c>
      <c r="O9" s="49" t="s">
        <v>663</v>
      </c>
      <c r="P9" s="48" t="s">
        <v>663</v>
      </c>
      <c r="Q9" s="49"/>
      <c r="R9" s="57">
        <v>227.5</v>
      </c>
      <c r="S9" s="48" t="str">
        <f ca="1">"271,8568"</f>
        <v>271,8568</v>
      </c>
      <c r="T9" s="48"/>
    </row>
    <row r="10" spans="1:20">
      <c r="A10" s="50" t="s">
        <v>192</v>
      </c>
      <c r="B10" s="50" t="s">
        <v>193</v>
      </c>
      <c r="C10" s="50" t="s">
        <v>1510</v>
      </c>
      <c r="D10" s="50" t="str">
        <f ca="1">"1,4092"</f>
        <v>1,4092</v>
      </c>
      <c r="E10" s="50" t="s">
        <v>98</v>
      </c>
      <c r="F10" s="50" t="s">
        <v>1511</v>
      </c>
      <c r="G10" s="51" t="s">
        <v>575</v>
      </c>
      <c r="H10" s="50" t="s">
        <v>575</v>
      </c>
      <c r="I10" s="51"/>
      <c r="J10" s="50" t="s">
        <v>1512</v>
      </c>
      <c r="K10" s="50" t="s">
        <v>624</v>
      </c>
      <c r="L10" s="50" t="s">
        <v>1504</v>
      </c>
      <c r="M10" s="51"/>
      <c r="N10" s="50" t="s">
        <v>663</v>
      </c>
      <c r="O10" s="50" t="s">
        <v>592</v>
      </c>
      <c r="P10" s="51" t="s">
        <v>123</v>
      </c>
      <c r="Q10" s="51"/>
      <c r="R10" s="58">
        <v>240</v>
      </c>
      <c r="S10" s="50" t="str">
        <f ca="1">"338,1969"</f>
        <v>338,1969</v>
      </c>
      <c r="T10" s="50"/>
    </row>
    <row r="12" ht="15.6" spans="1:19">
      <c r="A12" s="47" t="s">
        <v>520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20">
      <c r="A13" s="46" t="s">
        <v>1513</v>
      </c>
      <c r="B13" s="46" t="s">
        <v>1514</v>
      </c>
      <c r="C13" s="46" t="s">
        <v>555</v>
      </c>
      <c r="D13" s="46" t="str">
        <f ca="1">"0,9876"</f>
        <v>0,9876</v>
      </c>
      <c r="E13" s="46" t="s">
        <v>1042</v>
      </c>
      <c r="F13" s="46" t="s">
        <v>1176</v>
      </c>
      <c r="G13" s="46" t="s">
        <v>529</v>
      </c>
      <c r="H13" s="52" t="s">
        <v>147</v>
      </c>
      <c r="I13" s="52"/>
      <c r="J13" s="46" t="s">
        <v>1503</v>
      </c>
      <c r="K13" s="46" t="s">
        <v>561</v>
      </c>
      <c r="L13" s="52" t="s">
        <v>244</v>
      </c>
      <c r="M13" s="52"/>
      <c r="N13" s="46" t="s">
        <v>1515</v>
      </c>
      <c r="O13" s="46" t="s">
        <v>141</v>
      </c>
      <c r="P13" s="52" t="s">
        <v>28</v>
      </c>
      <c r="Q13" s="52"/>
      <c r="R13" s="56">
        <v>417.5</v>
      </c>
      <c r="S13" s="46" t="str">
        <f ca="1">"412,3230"</f>
        <v>412,3230</v>
      </c>
      <c r="T13" s="46"/>
    </row>
    <row r="15" ht="15.6" spans="1:19">
      <c r="A15" s="47" t="s">
        <v>197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</row>
    <row r="16" spans="1:20">
      <c r="A16" s="48" t="s">
        <v>1516</v>
      </c>
      <c r="B16" s="48" t="s">
        <v>1517</v>
      </c>
      <c r="C16" s="48" t="s">
        <v>1518</v>
      </c>
      <c r="D16" s="48" t="str">
        <f ca="1">"0,9166"</f>
        <v>0,9166</v>
      </c>
      <c r="E16" s="48" t="s">
        <v>1042</v>
      </c>
      <c r="F16" s="49" t="s">
        <v>1299</v>
      </c>
      <c r="G16" s="48" t="s">
        <v>123</v>
      </c>
      <c r="H16" s="48" t="s">
        <v>697</v>
      </c>
      <c r="I16" s="49"/>
      <c r="J16" s="48" t="s">
        <v>562</v>
      </c>
      <c r="K16" s="48" t="s">
        <v>99</v>
      </c>
      <c r="L16" s="49" t="s">
        <v>244</v>
      </c>
      <c r="M16" s="49"/>
      <c r="N16" s="48" t="s">
        <v>147</v>
      </c>
      <c r="O16" s="49" t="s">
        <v>207</v>
      </c>
      <c r="P16" s="49" t="s">
        <v>207</v>
      </c>
      <c r="Q16" s="49"/>
      <c r="R16" s="57">
        <v>377.5</v>
      </c>
      <c r="S16" s="48" t="str">
        <f ca="1">"346,0354"</f>
        <v>346,0354</v>
      </c>
      <c r="T16" s="48"/>
    </row>
    <row r="17" spans="1:20">
      <c r="A17" s="50" t="s">
        <v>1519</v>
      </c>
      <c r="B17" s="50" t="s">
        <v>1520</v>
      </c>
      <c r="C17" s="50" t="s">
        <v>1521</v>
      </c>
      <c r="D17" s="50" t="str">
        <f ca="1">"0,9571"</f>
        <v>0,9571</v>
      </c>
      <c r="E17" s="50" t="s">
        <v>49</v>
      </c>
      <c r="F17" s="50" t="s">
        <v>606</v>
      </c>
      <c r="G17" s="50" t="s">
        <v>268</v>
      </c>
      <c r="H17" s="50" t="s">
        <v>201</v>
      </c>
      <c r="I17" s="51"/>
      <c r="J17" s="51" t="s">
        <v>718</v>
      </c>
      <c r="K17" s="50" t="s">
        <v>575</v>
      </c>
      <c r="L17" s="51" t="s">
        <v>561</v>
      </c>
      <c r="M17" s="51"/>
      <c r="N17" s="50" t="s">
        <v>606</v>
      </c>
      <c r="O17" s="51" t="s">
        <v>268</v>
      </c>
      <c r="P17" s="50" t="s">
        <v>268</v>
      </c>
      <c r="Q17" s="51"/>
      <c r="R17" s="58">
        <v>335</v>
      </c>
      <c r="S17" s="50" t="str">
        <f ca="1">"320,6285"</f>
        <v>320,6285</v>
      </c>
      <c r="T17" s="50"/>
    </row>
    <row r="19" ht="15.6" spans="1:19">
      <c r="A19" s="47" t="s">
        <v>11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20">
      <c r="A20" s="46" t="s">
        <v>214</v>
      </c>
      <c r="B20" s="46" t="s">
        <v>215</v>
      </c>
      <c r="C20" s="46" t="s">
        <v>1386</v>
      </c>
      <c r="D20" s="46" t="str">
        <f ca="1">"0,8651"</f>
        <v>0,8651</v>
      </c>
      <c r="E20" s="46" t="s">
        <v>21</v>
      </c>
      <c r="F20" s="46" t="s">
        <v>268</v>
      </c>
      <c r="G20" s="52" t="s">
        <v>202</v>
      </c>
      <c r="H20" s="46" t="s">
        <v>202</v>
      </c>
      <c r="I20" s="52"/>
      <c r="J20" s="46" t="s">
        <v>561</v>
      </c>
      <c r="K20" s="46" t="s">
        <v>99</v>
      </c>
      <c r="L20" s="46" t="s">
        <v>244</v>
      </c>
      <c r="M20" s="52"/>
      <c r="N20" s="46" t="s">
        <v>213</v>
      </c>
      <c r="O20" s="46" t="s">
        <v>147</v>
      </c>
      <c r="P20" s="46" t="s">
        <v>207</v>
      </c>
      <c r="Q20" s="52"/>
      <c r="R20" s="56">
        <v>400</v>
      </c>
      <c r="S20" s="46" t="str">
        <f ca="1">"346,0449"</f>
        <v>346,0449</v>
      </c>
      <c r="T20" s="46"/>
    </row>
    <row r="22" ht="15.6" spans="1:19">
      <c r="A22" s="47" t="s">
        <v>520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20">
      <c r="A23" s="46" t="s">
        <v>1522</v>
      </c>
      <c r="B23" s="46" t="s">
        <v>1523</v>
      </c>
      <c r="C23" s="46" t="s">
        <v>555</v>
      </c>
      <c r="D23" s="46" t="str">
        <f ca="1">"0,8328"</f>
        <v>0,8328</v>
      </c>
      <c r="E23" s="46" t="s">
        <v>1042</v>
      </c>
      <c r="F23" s="46" t="s">
        <v>233</v>
      </c>
      <c r="G23" s="52" t="s">
        <v>732</v>
      </c>
      <c r="H23" s="52" t="s">
        <v>732</v>
      </c>
      <c r="I23" s="52"/>
      <c r="J23" s="46" t="s">
        <v>245</v>
      </c>
      <c r="K23" s="52" t="s">
        <v>195</v>
      </c>
      <c r="L23" s="52"/>
      <c r="M23" s="52"/>
      <c r="N23" s="46" t="s">
        <v>252</v>
      </c>
      <c r="O23" s="52" t="s">
        <v>33</v>
      </c>
      <c r="P23" s="52" t="s">
        <v>33</v>
      </c>
      <c r="Q23" s="52"/>
      <c r="R23" s="56">
        <v>495</v>
      </c>
      <c r="S23" s="46" t="str">
        <f ca="1">"412,2607"</f>
        <v>412,2607</v>
      </c>
      <c r="T23" s="46"/>
    </row>
    <row r="25" ht="15.6" spans="1:19">
      <c r="A25" s="47" t="s">
        <v>197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20">
      <c r="A26" s="48" t="s">
        <v>625</v>
      </c>
      <c r="B26" s="48" t="s">
        <v>626</v>
      </c>
      <c r="C26" s="48" t="s">
        <v>1524</v>
      </c>
      <c r="D26" s="48" t="str">
        <f ca="1">"0,7942"</f>
        <v>0,7942</v>
      </c>
      <c r="E26" s="48" t="s">
        <v>49</v>
      </c>
      <c r="F26" s="49" t="s">
        <v>456</v>
      </c>
      <c r="G26" s="48" t="s">
        <v>562</v>
      </c>
      <c r="H26" s="49" t="s">
        <v>99</v>
      </c>
      <c r="I26" s="49"/>
      <c r="J26" s="48" t="s">
        <v>99</v>
      </c>
      <c r="K26" s="48" t="s">
        <v>244</v>
      </c>
      <c r="L26" s="48" t="s">
        <v>517</v>
      </c>
      <c r="M26" s="49"/>
      <c r="N26" s="48" t="s">
        <v>1505</v>
      </c>
      <c r="O26" s="48" t="s">
        <v>245</v>
      </c>
      <c r="P26" s="48" t="s">
        <v>16</v>
      </c>
      <c r="Q26" s="49"/>
      <c r="R26" s="57">
        <v>280</v>
      </c>
      <c r="S26" s="48" t="str">
        <f ca="1">"222,3760"</f>
        <v>222,3760</v>
      </c>
      <c r="T26" s="48"/>
    </row>
    <row r="27" spans="1:20">
      <c r="A27" s="53" t="s">
        <v>1525</v>
      </c>
      <c r="B27" s="53" t="s">
        <v>1526</v>
      </c>
      <c r="C27" s="53" t="s">
        <v>1527</v>
      </c>
      <c r="D27" s="53" t="str">
        <f ca="1">"0,7484"</f>
        <v>0,7484</v>
      </c>
      <c r="E27" s="53" t="s">
        <v>49</v>
      </c>
      <c r="F27" s="53" t="s">
        <v>202</v>
      </c>
      <c r="G27" s="54" t="s">
        <v>213</v>
      </c>
      <c r="H27" s="54" t="s">
        <v>529</v>
      </c>
      <c r="I27" s="54"/>
      <c r="J27" s="53" t="s">
        <v>592</v>
      </c>
      <c r="K27" s="53" t="s">
        <v>605</v>
      </c>
      <c r="L27" s="53" t="s">
        <v>123</v>
      </c>
      <c r="M27" s="54"/>
      <c r="N27" s="53" t="s">
        <v>147</v>
      </c>
      <c r="O27" s="54" t="s">
        <v>207</v>
      </c>
      <c r="P27" s="53" t="s">
        <v>140</v>
      </c>
      <c r="Q27" s="54"/>
      <c r="R27" s="59">
        <v>305</v>
      </c>
      <c r="S27" s="53" t="str">
        <f ca="1">"228,2620"</f>
        <v>228,2620</v>
      </c>
      <c r="T27" s="53"/>
    </row>
    <row r="28" spans="1:20">
      <c r="A28" s="50" t="s">
        <v>1528</v>
      </c>
      <c r="B28" s="50" t="s">
        <v>1529</v>
      </c>
      <c r="C28" s="50" t="s">
        <v>1530</v>
      </c>
      <c r="D28" s="50" t="str">
        <f ca="1">"1,6753"</f>
        <v>1,6753</v>
      </c>
      <c r="E28" s="50" t="s">
        <v>15</v>
      </c>
      <c r="F28" s="51" t="s">
        <v>1299</v>
      </c>
      <c r="G28" s="51" t="s">
        <v>1299</v>
      </c>
      <c r="H28" s="50" t="s">
        <v>123</v>
      </c>
      <c r="I28" s="51"/>
      <c r="J28" s="50" t="s">
        <v>575</v>
      </c>
      <c r="K28" s="50" t="s">
        <v>561</v>
      </c>
      <c r="L28" s="51" t="s">
        <v>545</v>
      </c>
      <c r="M28" s="51"/>
      <c r="N28" s="50" t="s">
        <v>1445</v>
      </c>
      <c r="O28" s="51" t="s">
        <v>273</v>
      </c>
      <c r="P28" s="50" t="s">
        <v>273</v>
      </c>
      <c r="Q28" s="51"/>
      <c r="R28" s="58">
        <v>367.5</v>
      </c>
      <c r="S28" s="50" t="str">
        <f ca="1">"615,6581"</f>
        <v>615,6581</v>
      </c>
      <c r="T28" s="50"/>
    </row>
    <row r="30" ht="15.6" spans="1:19">
      <c r="A30" s="47" t="s">
        <v>11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</row>
    <row r="31" spans="1:20">
      <c r="A31" s="48" t="s">
        <v>1531</v>
      </c>
      <c r="B31" s="48" t="s">
        <v>1532</v>
      </c>
      <c r="C31" s="48" t="s">
        <v>1533</v>
      </c>
      <c r="D31" s="48" t="str">
        <f ca="1">"0,7102"</f>
        <v>0,7102</v>
      </c>
      <c r="E31" s="48" t="s">
        <v>249</v>
      </c>
      <c r="F31" s="48" t="s">
        <v>172</v>
      </c>
      <c r="G31" s="48" t="s">
        <v>195</v>
      </c>
      <c r="H31" s="48" t="s">
        <v>196</v>
      </c>
      <c r="I31" s="49"/>
      <c r="J31" s="48" t="s">
        <v>561</v>
      </c>
      <c r="K31" s="48" t="s">
        <v>562</v>
      </c>
      <c r="L31" s="48" t="s">
        <v>546</v>
      </c>
      <c r="M31" s="49"/>
      <c r="N31" s="48" t="s">
        <v>213</v>
      </c>
      <c r="O31" s="48" t="s">
        <v>147</v>
      </c>
      <c r="P31" s="48" t="s">
        <v>207</v>
      </c>
      <c r="Q31" s="49"/>
      <c r="R31" s="57">
        <v>367.5</v>
      </c>
      <c r="S31" s="48" t="str">
        <f ca="1">"260,9985"</f>
        <v>260,9985</v>
      </c>
      <c r="T31" s="48"/>
    </row>
    <row r="32" spans="1:20">
      <c r="A32" s="53" t="s">
        <v>1534</v>
      </c>
      <c r="B32" s="53" t="s">
        <v>1535</v>
      </c>
      <c r="C32" s="53" t="s">
        <v>1536</v>
      </c>
      <c r="D32" s="53" t="str">
        <f ca="1">"0,7086"</f>
        <v>0,7086</v>
      </c>
      <c r="E32" s="53" t="s">
        <v>249</v>
      </c>
      <c r="F32" s="53" t="s">
        <v>163</v>
      </c>
      <c r="G32" s="53" t="s">
        <v>605</v>
      </c>
      <c r="H32" s="53" t="s">
        <v>123</v>
      </c>
      <c r="I32" s="54"/>
      <c r="J32" s="53" t="s">
        <v>575</v>
      </c>
      <c r="K32" s="53" t="s">
        <v>561</v>
      </c>
      <c r="L32" s="54" t="s">
        <v>562</v>
      </c>
      <c r="M32" s="54"/>
      <c r="N32" s="53" t="s">
        <v>206</v>
      </c>
      <c r="O32" s="53" t="s">
        <v>27</v>
      </c>
      <c r="P32" s="54" t="s">
        <v>28</v>
      </c>
      <c r="Q32" s="54"/>
      <c r="R32" s="59">
        <v>385</v>
      </c>
      <c r="S32" s="53" t="str">
        <f ca="1">"272,8302"</f>
        <v>272,8302</v>
      </c>
      <c r="T32" s="53"/>
    </row>
    <row r="33" spans="1:20">
      <c r="A33" s="53" t="s">
        <v>1537</v>
      </c>
      <c r="B33" s="53" t="s">
        <v>1538</v>
      </c>
      <c r="C33" s="53" t="s">
        <v>1539</v>
      </c>
      <c r="D33" s="53" t="str">
        <f ca="1">"0,7012"</f>
        <v>0,7012</v>
      </c>
      <c r="E33" s="53" t="s">
        <v>49</v>
      </c>
      <c r="F33" s="53" t="s">
        <v>140</v>
      </c>
      <c r="G33" s="54" t="s">
        <v>141</v>
      </c>
      <c r="H33" s="53" t="s">
        <v>141</v>
      </c>
      <c r="I33" s="54"/>
      <c r="J33" s="53" t="s">
        <v>196</v>
      </c>
      <c r="K33" s="54" t="s">
        <v>123</v>
      </c>
      <c r="L33" s="53" t="s">
        <v>123</v>
      </c>
      <c r="M33" s="54"/>
      <c r="N33" s="53" t="s">
        <v>727</v>
      </c>
      <c r="O33" s="53" t="s">
        <v>252</v>
      </c>
      <c r="P33" s="53" t="s">
        <v>88</v>
      </c>
      <c r="Q33" s="54"/>
      <c r="R33" s="59">
        <v>545</v>
      </c>
      <c r="S33" s="53" t="str">
        <f ca="1">"382,1268"</f>
        <v>382,1268</v>
      </c>
      <c r="T33" s="53"/>
    </row>
    <row r="34" spans="1:20">
      <c r="A34" s="53" t="s">
        <v>1540</v>
      </c>
      <c r="B34" s="53" t="s">
        <v>1541</v>
      </c>
      <c r="C34" s="53" t="s">
        <v>646</v>
      </c>
      <c r="D34" s="53" t="str">
        <f ca="1">"0,6906"</f>
        <v>0,6906</v>
      </c>
      <c r="E34" s="53" t="s">
        <v>1042</v>
      </c>
      <c r="F34" s="54" t="s">
        <v>226</v>
      </c>
      <c r="G34" s="53" t="s">
        <v>44</v>
      </c>
      <c r="H34" s="54" t="s">
        <v>252</v>
      </c>
      <c r="I34" s="54"/>
      <c r="J34" s="53" t="s">
        <v>213</v>
      </c>
      <c r="K34" s="53" t="s">
        <v>770</v>
      </c>
      <c r="L34" s="54" t="s">
        <v>207</v>
      </c>
      <c r="M34" s="54"/>
      <c r="N34" s="53" t="s">
        <v>88</v>
      </c>
      <c r="O34" s="53" t="s">
        <v>40</v>
      </c>
      <c r="P34" s="54" t="s">
        <v>347</v>
      </c>
      <c r="Q34" s="54"/>
      <c r="R34" s="59">
        <v>632.5</v>
      </c>
      <c r="S34" s="53" t="str">
        <f ca="1">"436,8045"</f>
        <v>436,8045</v>
      </c>
      <c r="T34" s="53"/>
    </row>
    <row r="35" spans="1:20">
      <c r="A35" s="53" t="s">
        <v>1542</v>
      </c>
      <c r="B35" s="53" t="s">
        <v>1543</v>
      </c>
      <c r="C35" s="53" t="s">
        <v>243</v>
      </c>
      <c r="D35" s="53" t="str">
        <f ca="1">"0,6969"</f>
        <v>0,6969</v>
      </c>
      <c r="E35" s="53" t="s">
        <v>1042</v>
      </c>
      <c r="F35" s="53" t="s">
        <v>88</v>
      </c>
      <c r="G35" s="54" t="s">
        <v>33</v>
      </c>
      <c r="H35" s="54" t="s">
        <v>33</v>
      </c>
      <c r="I35" s="54"/>
      <c r="J35" s="53" t="s">
        <v>213</v>
      </c>
      <c r="K35" s="54" t="s">
        <v>147</v>
      </c>
      <c r="L35" s="54"/>
      <c r="M35" s="54"/>
      <c r="N35" s="54" t="s">
        <v>213</v>
      </c>
      <c r="O35" s="54" t="s">
        <v>213</v>
      </c>
      <c r="P35" s="54" t="s">
        <v>213</v>
      </c>
      <c r="Q35" s="54"/>
      <c r="R35" s="59">
        <v>0</v>
      </c>
      <c r="S35" s="53" t="str">
        <f ca="1">"0,0000"</f>
        <v>0,0000</v>
      </c>
      <c r="T35" s="53"/>
    </row>
    <row r="36" spans="1:20">
      <c r="A36" s="53" t="s">
        <v>1544</v>
      </c>
      <c r="B36" s="53" t="s">
        <v>1545</v>
      </c>
      <c r="C36" s="53" t="s">
        <v>1386</v>
      </c>
      <c r="D36" s="53" t="str">
        <f ca="1">"0,8765"</f>
        <v>0,8765</v>
      </c>
      <c r="E36" s="53" t="s">
        <v>240</v>
      </c>
      <c r="F36" s="53" t="s">
        <v>343</v>
      </c>
      <c r="G36" s="53" t="s">
        <v>207</v>
      </c>
      <c r="H36" s="53" t="s">
        <v>219</v>
      </c>
      <c r="I36" s="54"/>
      <c r="J36" s="53" t="s">
        <v>16</v>
      </c>
      <c r="K36" s="53" t="s">
        <v>196</v>
      </c>
      <c r="L36" s="54" t="s">
        <v>605</v>
      </c>
      <c r="M36" s="54"/>
      <c r="N36" s="53" t="s">
        <v>1546</v>
      </c>
      <c r="O36" s="53" t="s">
        <v>252</v>
      </c>
      <c r="P36" s="53" t="s">
        <v>88</v>
      </c>
      <c r="Q36" s="53" t="s">
        <v>758</v>
      </c>
      <c r="R36" s="59">
        <v>527.5</v>
      </c>
      <c r="S36" s="53" t="str">
        <f ca="1">"462,3564"</f>
        <v>462,3564</v>
      </c>
      <c r="T36" s="53"/>
    </row>
    <row r="37" spans="1:20">
      <c r="A37" s="50" t="s">
        <v>260</v>
      </c>
      <c r="B37" s="50" t="s">
        <v>261</v>
      </c>
      <c r="C37" s="50" t="s">
        <v>1536</v>
      </c>
      <c r="D37" s="50" t="str">
        <f ca="1">"0,9149"</f>
        <v>0,9149</v>
      </c>
      <c r="E37" s="50" t="s">
        <v>263</v>
      </c>
      <c r="F37" s="51" t="s">
        <v>372</v>
      </c>
      <c r="G37" s="51" t="s">
        <v>147</v>
      </c>
      <c r="H37" s="51" t="s">
        <v>147</v>
      </c>
      <c r="I37" s="51"/>
      <c r="J37" s="51" t="s">
        <v>245</v>
      </c>
      <c r="K37" s="51"/>
      <c r="L37" s="51"/>
      <c r="M37" s="51"/>
      <c r="N37" s="51" t="s">
        <v>727</v>
      </c>
      <c r="O37" s="51"/>
      <c r="P37" s="51"/>
      <c r="Q37" s="51"/>
      <c r="R37" s="58">
        <v>0</v>
      </c>
      <c r="S37" s="50" t="str">
        <f ca="1">"0,0000"</f>
        <v>0,0000</v>
      </c>
      <c r="T37" s="50"/>
    </row>
    <row r="39" ht="15.6" spans="1:19">
      <c r="A39" s="47" t="s">
        <v>17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</row>
    <row r="40" spans="1:20">
      <c r="A40" s="48" t="s">
        <v>1547</v>
      </c>
      <c r="B40" s="48" t="s">
        <v>1548</v>
      </c>
      <c r="C40" s="48" t="s">
        <v>1549</v>
      </c>
      <c r="D40" s="48" t="str">
        <f ca="1">"0,6832"</f>
        <v>0,6832</v>
      </c>
      <c r="E40" s="48" t="s">
        <v>49</v>
      </c>
      <c r="F40" s="48" t="s">
        <v>167</v>
      </c>
      <c r="G40" s="48" t="s">
        <v>201</v>
      </c>
      <c r="H40" s="48" t="s">
        <v>805</v>
      </c>
      <c r="I40" s="49"/>
      <c r="J40" s="48" t="s">
        <v>244</v>
      </c>
      <c r="K40" s="48" t="s">
        <v>517</v>
      </c>
      <c r="L40" s="49" t="s">
        <v>245</v>
      </c>
      <c r="M40" s="49"/>
      <c r="N40" s="48" t="s">
        <v>160</v>
      </c>
      <c r="O40" s="48" t="s">
        <v>213</v>
      </c>
      <c r="P40" s="48" t="s">
        <v>217</v>
      </c>
      <c r="Q40" s="49"/>
      <c r="R40" s="57">
        <v>392.5</v>
      </c>
      <c r="S40" s="48" t="str">
        <f ca="1">"268,1560"</f>
        <v>268,1560</v>
      </c>
      <c r="T40" s="48"/>
    </row>
    <row r="41" spans="1:20">
      <c r="A41" s="53" t="s">
        <v>1550</v>
      </c>
      <c r="B41" s="53" t="s">
        <v>1551</v>
      </c>
      <c r="C41" s="53" t="s">
        <v>1552</v>
      </c>
      <c r="D41" s="53" t="str">
        <f ca="1">"0,6595"</f>
        <v>0,6595</v>
      </c>
      <c r="E41" s="53" t="s">
        <v>49</v>
      </c>
      <c r="F41" s="53" t="s">
        <v>754</v>
      </c>
      <c r="G41" s="54" t="s">
        <v>227</v>
      </c>
      <c r="H41" s="53" t="s">
        <v>227</v>
      </c>
      <c r="I41" s="54"/>
      <c r="J41" s="53" t="s">
        <v>268</v>
      </c>
      <c r="K41" s="53" t="s">
        <v>202</v>
      </c>
      <c r="L41" s="53" t="s">
        <v>213</v>
      </c>
      <c r="M41" s="54"/>
      <c r="N41" s="53" t="s">
        <v>80</v>
      </c>
      <c r="O41" s="53" t="s">
        <v>22</v>
      </c>
      <c r="P41" s="54" t="s">
        <v>347</v>
      </c>
      <c r="Q41" s="54"/>
      <c r="R41" s="59">
        <v>630</v>
      </c>
      <c r="S41" s="53" t="str">
        <f ca="1">"415,4850"</f>
        <v>415,4850</v>
      </c>
      <c r="T41" s="53"/>
    </row>
    <row r="42" spans="1:20">
      <c r="A42" s="50" t="s">
        <v>1553</v>
      </c>
      <c r="B42" s="50" t="s">
        <v>1554</v>
      </c>
      <c r="C42" s="50" t="s">
        <v>279</v>
      </c>
      <c r="D42" s="50" t="str">
        <f ca="1">"0,6446"</f>
        <v>0,6446</v>
      </c>
      <c r="E42" s="50" t="s">
        <v>49</v>
      </c>
      <c r="F42" s="50" t="s">
        <v>273</v>
      </c>
      <c r="G42" s="50" t="s">
        <v>233</v>
      </c>
      <c r="H42" s="50" t="s">
        <v>27</v>
      </c>
      <c r="I42" s="51"/>
      <c r="J42" s="50" t="s">
        <v>16</v>
      </c>
      <c r="K42" s="50" t="s">
        <v>591</v>
      </c>
      <c r="L42" s="51" t="s">
        <v>605</v>
      </c>
      <c r="M42" s="51"/>
      <c r="N42" s="50" t="s">
        <v>227</v>
      </c>
      <c r="O42" s="50" t="s">
        <v>264</v>
      </c>
      <c r="P42" s="51" t="s">
        <v>135</v>
      </c>
      <c r="Q42" s="51"/>
      <c r="R42" s="58">
        <v>522.5</v>
      </c>
      <c r="S42" s="50" t="str">
        <f ca="1">"336,8035"</f>
        <v>336,8035</v>
      </c>
      <c r="T42" s="50"/>
    </row>
    <row r="44" ht="15.6" spans="1:19">
      <c r="A44" s="47" t="s">
        <v>35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</row>
    <row r="45" spans="1:20">
      <c r="A45" s="53" t="s">
        <v>1555</v>
      </c>
      <c r="B45" s="53" t="s">
        <v>1556</v>
      </c>
      <c r="C45" s="53" t="s">
        <v>1557</v>
      </c>
      <c r="D45" s="53" t="str">
        <f ca="1">"0,6130"</f>
        <v>0,6130</v>
      </c>
      <c r="E45" s="53" t="s">
        <v>516</v>
      </c>
      <c r="F45" s="53" t="s">
        <v>227</v>
      </c>
      <c r="G45" s="53" t="s">
        <v>88</v>
      </c>
      <c r="H45" s="53" t="s">
        <v>33</v>
      </c>
      <c r="I45" s="54"/>
      <c r="J45" s="53" t="s">
        <v>213</v>
      </c>
      <c r="K45" s="54" t="s">
        <v>206</v>
      </c>
      <c r="L45" s="53" t="s">
        <v>206</v>
      </c>
      <c r="M45" s="54"/>
      <c r="N45" s="53" t="s">
        <v>84</v>
      </c>
      <c r="O45" s="54" t="s">
        <v>394</v>
      </c>
      <c r="P45" s="54" t="s">
        <v>394</v>
      </c>
      <c r="Q45" s="54"/>
      <c r="R45" s="59" t="s">
        <v>1558</v>
      </c>
      <c r="S45" s="53" t="s">
        <v>1559</v>
      </c>
      <c r="T45" s="53"/>
    </row>
    <row r="46" spans="1:20">
      <c r="A46" s="48" t="s">
        <v>1560</v>
      </c>
      <c r="B46" s="48" t="s">
        <v>1561</v>
      </c>
      <c r="C46" s="48" t="s">
        <v>1105</v>
      </c>
      <c r="D46" s="48" t="str">
        <f ca="1">"0,6149"</f>
        <v>0,6149</v>
      </c>
      <c r="E46" s="48" t="s">
        <v>21</v>
      </c>
      <c r="F46" s="49" t="s">
        <v>140</v>
      </c>
      <c r="G46" s="49" t="s">
        <v>140</v>
      </c>
      <c r="H46" s="48" t="s">
        <v>140</v>
      </c>
      <c r="I46" s="49"/>
      <c r="J46" s="48" t="s">
        <v>140</v>
      </c>
      <c r="K46" s="49" t="s">
        <v>141</v>
      </c>
      <c r="L46" s="48" t="s">
        <v>141</v>
      </c>
      <c r="M46" s="49"/>
      <c r="N46" s="48" t="s">
        <v>80</v>
      </c>
      <c r="O46" s="49" t="s">
        <v>23</v>
      </c>
      <c r="P46" s="48" t="s">
        <v>23</v>
      </c>
      <c r="Q46" s="49"/>
      <c r="R46" s="57">
        <v>640</v>
      </c>
      <c r="S46" s="48" t="str">
        <f ca="1">"393,5360"</f>
        <v>393,5360</v>
      </c>
      <c r="T46" s="48"/>
    </row>
    <row r="47" spans="1:20">
      <c r="A47" s="50" t="s">
        <v>1562</v>
      </c>
      <c r="B47" s="50" t="s">
        <v>1563</v>
      </c>
      <c r="C47" s="50" t="s">
        <v>1048</v>
      </c>
      <c r="D47" s="50" t="str">
        <f ca="1">"0,7367"</f>
        <v>0,7367</v>
      </c>
      <c r="E47" s="50" t="s">
        <v>49</v>
      </c>
      <c r="F47" s="51" t="s">
        <v>252</v>
      </c>
      <c r="G47" s="51" t="s">
        <v>252</v>
      </c>
      <c r="H47" s="50" t="s">
        <v>252</v>
      </c>
      <c r="I47" s="51"/>
      <c r="J47" s="50" t="s">
        <v>163</v>
      </c>
      <c r="K47" s="50" t="s">
        <v>196</v>
      </c>
      <c r="L47" s="50" t="s">
        <v>605</v>
      </c>
      <c r="M47" s="51"/>
      <c r="N47" s="50" t="s">
        <v>28</v>
      </c>
      <c r="O47" s="50" t="s">
        <v>252</v>
      </c>
      <c r="P47" s="50" t="s">
        <v>33</v>
      </c>
      <c r="Q47" s="51"/>
      <c r="R47" s="58">
        <v>580</v>
      </c>
      <c r="S47" s="50" t="str">
        <f ca="1">"427,2671"</f>
        <v>427,2671</v>
      </c>
      <c r="T47" s="50"/>
    </row>
    <row r="49" ht="15.6" spans="1:19">
      <c r="A49" s="47" t="s">
        <v>53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20">
      <c r="A50" s="48" t="s">
        <v>1564</v>
      </c>
      <c r="B50" s="48" t="s">
        <v>1565</v>
      </c>
      <c r="C50" s="48" t="s">
        <v>1114</v>
      </c>
      <c r="D50" s="48" t="str">
        <f ca="1">"0,5856"</f>
        <v>0,5856</v>
      </c>
      <c r="E50" s="48" t="s">
        <v>49</v>
      </c>
      <c r="F50" s="48" t="s">
        <v>226</v>
      </c>
      <c r="G50" s="48" t="s">
        <v>227</v>
      </c>
      <c r="H50" s="48" t="s">
        <v>264</v>
      </c>
      <c r="I50" s="49"/>
      <c r="J50" s="48" t="s">
        <v>213</v>
      </c>
      <c r="K50" s="48" t="s">
        <v>217</v>
      </c>
      <c r="L50" s="49" t="s">
        <v>147</v>
      </c>
      <c r="M50" s="49"/>
      <c r="N50" s="49" t="s">
        <v>1566</v>
      </c>
      <c r="O50" s="48" t="s">
        <v>50</v>
      </c>
      <c r="P50" s="49" t="s">
        <v>51</v>
      </c>
      <c r="Q50" s="49"/>
      <c r="R50" s="57">
        <v>615</v>
      </c>
      <c r="S50" s="48" t="str">
        <f ca="1">"360,1440"</f>
        <v>360,1440</v>
      </c>
      <c r="T50" s="48"/>
    </row>
    <row r="51" spans="1:20">
      <c r="A51" s="53" t="s">
        <v>1567</v>
      </c>
      <c r="B51" s="53" t="s">
        <v>1568</v>
      </c>
      <c r="C51" s="53" t="s">
        <v>1569</v>
      </c>
      <c r="D51" s="53" t="str">
        <f ca="1">"0,5835"</f>
        <v>0,5835</v>
      </c>
      <c r="E51" s="53" t="s">
        <v>49</v>
      </c>
      <c r="F51" s="53" t="s">
        <v>727</v>
      </c>
      <c r="G51" s="53" t="s">
        <v>252</v>
      </c>
      <c r="H51" s="54" t="s">
        <v>264</v>
      </c>
      <c r="I51" s="54"/>
      <c r="J51" s="53" t="s">
        <v>141</v>
      </c>
      <c r="K51" s="54" t="s">
        <v>28</v>
      </c>
      <c r="L51" s="54" t="s">
        <v>28</v>
      </c>
      <c r="M51" s="54"/>
      <c r="N51" s="54" t="s">
        <v>1570</v>
      </c>
      <c r="O51" s="54" t="s">
        <v>1570</v>
      </c>
      <c r="P51" s="54" t="s">
        <v>1570</v>
      </c>
      <c r="Q51" s="54"/>
      <c r="R51" s="59">
        <v>0</v>
      </c>
      <c r="S51" s="53" t="str">
        <f ca="1" t="shared" ref="S51:S52" si="0">"0,0000"</f>
        <v>0,0000</v>
      </c>
      <c r="T51" s="53"/>
    </row>
    <row r="52" spans="1:20">
      <c r="A52" s="53" t="s">
        <v>1571</v>
      </c>
      <c r="B52" s="53" t="s">
        <v>1572</v>
      </c>
      <c r="C52" s="53" t="s">
        <v>56</v>
      </c>
      <c r="D52" s="53" t="str">
        <f ca="1">"0,5828"</f>
        <v>0,5828</v>
      </c>
      <c r="E52" s="53" t="s">
        <v>49</v>
      </c>
      <c r="F52" s="54" t="s">
        <v>227</v>
      </c>
      <c r="G52" s="53" t="s">
        <v>227</v>
      </c>
      <c r="H52" s="54" t="s">
        <v>88</v>
      </c>
      <c r="I52" s="54"/>
      <c r="J52" s="53" t="s">
        <v>1381</v>
      </c>
      <c r="K52" s="53" t="s">
        <v>140</v>
      </c>
      <c r="L52" s="54" t="s">
        <v>27</v>
      </c>
      <c r="M52" s="54"/>
      <c r="N52" s="54" t="s">
        <v>40</v>
      </c>
      <c r="O52" s="54" t="s">
        <v>23</v>
      </c>
      <c r="P52" s="54" t="s">
        <v>23</v>
      </c>
      <c r="Q52" s="54"/>
      <c r="R52" s="59">
        <v>0</v>
      </c>
      <c r="S52" s="53" t="str">
        <f ca="1" t="shared" si="0"/>
        <v>0,0000</v>
      </c>
      <c r="T52" s="53"/>
    </row>
    <row r="53" spans="1:20">
      <c r="A53" s="53" t="s">
        <v>310</v>
      </c>
      <c r="B53" s="53" t="s">
        <v>311</v>
      </c>
      <c r="C53" s="53" t="s">
        <v>1573</v>
      </c>
      <c r="D53" s="53" t="str">
        <f ca="1">"0,5882"</f>
        <v>0,5882</v>
      </c>
      <c r="E53" s="53" t="s">
        <v>21</v>
      </c>
      <c r="F53" s="53" t="s">
        <v>33</v>
      </c>
      <c r="G53" s="54" t="s">
        <v>40</v>
      </c>
      <c r="H53" s="54"/>
      <c r="I53" s="54"/>
      <c r="J53" s="53" t="s">
        <v>147</v>
      </c>
      <c r="K53" s="54" t="s">
        <v>207</v>
      </c>
      <c r="L53" s="53" t="s">
        <v>207</v>
      </c>
      <c r="M53" s="54"/>
      <c r="N53" s="54" t="s">
        <v>84</v>
      </c>
      <c r="O53" s="53" t="s">
        <v>117</v>
      </c>
      <c r="P53" s="53" t="s">
        <v>118</v>
      </c>
      <c r="Q53" s="54"/>
      <c r="R53" s="59" t="s">
        <v>1574</v>
      </c>
      <c r="S53" s="53" t="s">
        <v>1575</v>
      </c>
      <c r="T53" s="53"/>
    </row>
    <row r="54" spans="1:20">
      <c r="A54" s="53" t="s">
        <v>314</v>
      </c>
      <c r="B54" s="53" t="s">
        <v>315</v>
      </c>
      <c r="C54" s="53" t="s">
        <v>789</v>
      </c>
      <c r="D54" s="53" t="str">
        <f ca="1">"0,5878"</f>
        <v>0,5878</v>
      </c>
      <c r="E54" s="53" t="s">
        <v>21</v>
      </c>
      <c r="F54" s="53" t="s">
        <v>33</v>
      </c>
      <c r="G54" s="54" t="s">
        <v>40</v>
      </c>
      <c r="H54" s="54"/>
      <c r="I54" s="54"/>
      <c r="J54" s="53" t="s">
        <v>269</v>
      </c>
      <c r="K54" s="54" t="s">
        <v>213</v>
      </c>
      <c r="L54" s="53" t="s">
        <v>213</v>
      </c>
      <c r="M54" s="54"/>
      <c r="N54" s="53" t="s">
        <v>84</v>
      </c>
      <c r="O54" s="54" t="s">
        <v>118</v>
      </c>
      <c r="P54" s="53" t="s">
        <v>386</v>
      </c>
      <c r="Q54" s="54"/>
      <c r="R54" s="59" t="s">
        <v>1576</v>
      </c>
      <c r="S54" s="53" t="s">
        <v>1577</v>
      </c>
      <c r="T54" s="53"/>
    </row>
    <row r="55" spans="1:20">
      <c r="A55" s="53" t="s">
        <v>1578</v>
      </c>
      <c r="B55" s="53" t="s">
        <v>1579</v>
      </c>
      <c r="C55" s="53" t="s">
        <v>1580</v>
      </c>
      <c r="D55" s="53" t="str">
        <f ca="1">"0,5846"</f>
        <v>0,5846</v>
      </c>
      <c r="E55" s="53" t="s">
        <v>1042</v>
      </c>
      <c r="F55" s="53" t="s">
        <v>33</v>
      </c>
      <c r="G55" s="54" t="s">
        <v>45</v>
      </c>
      <c r="H55" s="54"/>
      <c r="I55" s="54"/>
      <c r="J55" s="53" t="s">
        <v>147</v>
      </c>
      <c r="K55" s="53" t="s">
        <v>207</v>
      </c>
      <c r="L55" s="53" t="s">
        <v>678</v>
      </c>
      <c r="M55" s="54"/>
      <c r="N55" s="53" t="s">
        <v>347</v>
      </c>
      <c r="O55" s="53" t="s">
        <v>1401</v>
      </c>
      <c r="P55" s="54" t="s">
        <v>71</v>
      </c>
      <c r="Q55" s="54"/>
      <c r="R55" s="59" t="s">
        <v>1576</v>
      </c>
      <c r="S55" s="53" t="s">
        <v>1581</v>
      </c>
      <c r="T55" s="53"/>
    </row>
    <row r="56" spans="1:20">
      <c r="A56" s="53" t="s">
        <v>1582</v>
      </c>
      <c r="B56" s="53" t="s">
        <v>1583</v>
      </c>
      <c r="C56" s="53" t="s">
        <v>776</v>
      </c>
      <c r="D56" s="53" t="str">
        <f ca="1">"0,5894"</f>
        <v>0,5894</v>
      </c>
      <c r="E56" s="53" t="s">
        <v>49</v>
      </c>
      <c r="F56" s="53" t="s">
        <v>227</v>
      </c>
      <c r="G56" s="54" t="s">
        <v>264</v>
      </c>
      <c r="H56" s="53" t="s">
        <v>264</v>
      </c>
      <c r="I56" s="54"/>
      <c r="J56" s="53" t="s">
        <v>218</v>
      </c>
      <c r="K56" s="53" t="s">
        <v>140</v>
      </c>
      <c r="L56" s="53" t="s">
        <v>27</v>
      </c>
      <c r="M56" s="54"/>
      <c r="N56" s="53" t="s">
        <v>93</v>
      </c>
      <c r="O56" s="53" t="s">
        <v>23</v>
      </c>
      <c r="P56" s="53" t="s">
        <v>347</v>
      </c>
      <c r="Q56" s="54"/>
      <c r="R56" s="59">
        <v>690</v>
      </c>
      <c r="S56" s="53" t="str">
        <f ca="1">"406,6860"</f>
        <v>406,6860</v>
      </c>
      <c r="T56" s="53"/>
    </row>
    <row r="57" spans="1:20">
      <c r="A57" s="53" t="s">
        <v>1584</v>
      </c>
      <c r="B57" s="53" t="s">
        <v>1585</v>
      </c>
      <c r="C57" s="53" t="s">
        <v>1586</v>
      </c>
      <c r="D57" s="53" t="str">
        <f ca="1">"0,5980"</f>
        <v>0,5980</v>
      </c>
      <c r="E57" s="53" t="s">
        <v>49</v>
      </c>
      <c r="F57" s="53" t="s">
        <v>727</v>
      </c>
      <c r="G57" s="53" t="s">
        <v>264</v>
      </c>
      <c r="H57" s="54" t="s">
        <v>50</v>
      </c>
      <c r="I57" s="54"/>
      <c r="J57" s="53" t="s">
        <v>213</v>
      </c>
      <c r="K57" s="53" t="s">
        <v>206</v>
      </c>
      <c r="L57" s="53" t="s">
        <v>207</v>
      </c>
      <c r="M57" s="54"/>
      <c r="N57" s="53" t="s">
        <v>252</v>
      </c>
      <c r="O57" s="53" t="s">
        <v>23</v>
      </c>
      <c r="P57" s="54" t="s">
        <v>75</v>
      </c>
      <c r="Q57" s="54"/>
      <c r="R57" s="59">
        <v>665</v>
      </c>
      <c r="S57" s="53" t="str">
        <f ca="1">"397,6700"</f>
        <v>397,6700</v>
      </c>
      <c r="T57" s="53"/>
    </row>
    <row r="58" spans="1:20">
      <c r="A58" s="53" t="s">
        <v>1587</v>
      </c>
      <c r="B58" s="53" t="s">
        <v>1588</v>
      </c>
      <c r="C58" s="53" t="s">
        <v>1408</v>
      </c>
      <c r="D58" s="53" t="str">
        <f ca="1">"0,6227"</f>
        <v>0,6227</v>
      </c>
      <c r="E58" s="53" t="s">
        <v>49</v>
      </c>
      <c r="F58" s="53" t="s">
        <v>252</v>
      </c>
      <c r="G58" s="53" t="s">
        <v>88</v>
      </c>
      <c r="H58" s="53" t="s">
        <v>33</v>
      </c>
      <c r="I58" s="54"/>
      <c r="J58" s="53" t="s">
        <v>202</v>
      </c>
      <c r="K58" s="53" t="s">
        <v>528</v>
      </c>
      <c r="L58" s="53" t="s">
        <v>213</v>
      </c>
      <c r="M58" s="54"/>
      <c r="N58" s="53" t="s">
        <v>252</v>
      </c>
      <c r="O58" s="53" t="s">
        <v>33</v>
      </c>
      <c r="P58" s="53" t="s">
        <v>80</v>
      </c>
      <c r="Q58" s="54"/>
      <c r="R58" s="59">
        <v>640</v>
      </c>
      <c r="S58" s="53" t="str">
        <f ca="1">"398,5263"</f>
        <v>398,5263</v>
      </c>
      <c r="T58" s="53"/>
    </row>
    <row r="59" spans="1:20">
      <c r="A59" s="53" t="s">
        <v>1589</v>
      </c>
      <c r="B59" s="53" t="s">
        <v>1590</v>
      </c>
      <c r="C59" s="53" t="s">
        <v>1573</v>
      </c>
      <c r="D59" s="53" t="str">
        <f ca="1">"0,7883"</f>
        <v>0,7883</v>
      </c>
      <c r="E59" s="53" t="s">
        <v>49</v>
      </c>
      <c r="F59" s="53" t="s">
        <v>290</v>
      </c>
      <c r="G59" s="53" t="s">
        <v>732</v>
      </c>
      <c r="H59" s="54" t="s">
        <v>45</v>
      </c>
      <c r="I59" s="54"/>
      <c r="J59" s="53" t="s">
        <v>163</v>
      </c>
      <c r="K59" s="53" t="s">
        <v>196</v>
      </c>
      <c r="L59" s="53" t="s">
        <v>605</v>
      </c>
      <c r="M59" s="54"/>
      <c r="N59" s="53" t="s">
        <v>227</v>
      </c>
      <c r="O59" s="53" t="s">
        <v>88</v>
      </c>
      <c r="P59" s="54" t="s">
        <v>45</v>
      </c>
      <c r="Q59" s="54"/>
      <c r="R59" s="59">
        <v>545</v>
      </c>
      <c r="S59" s="53" t="str">
        <f ca="1">"429,5990"</f>
        <v>429,5990</v>
      </c>
      <c r="T59" s="53"/>
    </row>
    <row r="60" spans="1:20">
      <c r="A60" s="50" t="s">
        <v>1591</v>
      </c>
      <c r="B60" s="50" t="s">
        <v>1592</v>
      </c>
      <c r="C60" s="50" t="s">
        <v>1593</v>
      </c>
      <c r="D60" s="50" t="str">
        <f ca="1">"0,7799"</f>
        <v>0,7799</v>
      </c>
      <c r="E60" s="50" t="s">
        <v>49</v>
      </c>
      <c r="F60" s="51" t="s">
        <v>343</v>
      </c>
      <c r="G60" s="50" t="s">
        <v>213</v>
      </c>
      <c r="H60" s="50" t="s">
        <v>147</v>
      </c>
      <c r="I60" s="51"/>
      <c r="J60" s="50" t="s">
        <v>605</v>
      </c>
      <c r="K60" s="50" t="s">
        <v>1039</v>
      </c>
      <c r="L60" s="51" t="s">
        <v>201</v>
      </c>
      <c r="M60" s="51"/>
      <c r="N60" s="50" t="s">
        <v>196</v>
      </c>
      <c r="O60" s="50" t="s">
        <v>264</v>
      </c>
      <c r="P60" s="50" t="s">
        <v>135</v>
      </c>
      <c r="Q60" s="51"/>
      <c r="R60" s="58">
        <v>520</v>
      </c>
      <c r="S60" s="50" t="str">
        <f ca="1">"405,5725"</f>
        <v>405,5725</v>
      </c>
      <c r="T60" s="50"/>
    </row>
    <row r="62" ht="15.6" spans="1:19">
      <c r="A62" s="47" t="s">
        <v>57</v>
      </c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</row>
    <row r="63" spans="1:20">
      <c r="A63" s="48" t="s">
        <v>1594</v>
      </c>
      <c r="B63" s="48" t="s">
        <v>1595</v>
      </c>
      <c r="C63" s="48" t="s">
        <v>350</v>
      </c>
      <c r="D63" s="48" t="str">
        <f ca="1">"0,5627"</f>
        <v>0,5627</v>
      </c>
      <c r="E63" s="48" t="s">
        <v>49</v>
      </c>
      <c r="F63" s="48" t="s">
        <v>337</v>
      </c>
      <c r="G63" s="48" t="s">
        <v>23</v>
      </c>
      <c r="H63" s="48" t="s">
        <v>347</v>
      </c>
      <c r="I63" s="49"/>
      <c r="J63" s="48" t="s">
        <v>252</v>
      </c>
      <c r="K63" s="48" t="s">
        <v>88</v>
      </c>
      <c r="L63" s="49"/>
      <c r="M63" s="49"/>
      <c r="N63" s="48" t="s">
        <v>1287</v>
      </c>
      <c r="O63" s="48" t="s">
        <v>313</v>
      </c>
      <c r="P63" s="49" t="s">
        <v>1596</v>
      </c>
      <c r="Q63" s="49"/>
      <c r="R63" s="57">
        <v>835</v>
      </c>
      <c r="S63" s="48" t="str">
        <f ca="1">"469,8128"</f>
        <v>469,8128</v>
      </c>
      <c r="T63" s="48"/>
    </row>
    <row r="64" spans="1:20">
      <c r="A64" s="53" t="s">
        <v>1597</v>
      </c>
      <c r="B64" s="53" t="s">
        <v>1598</v>
      </c>
      <c r="C64" s="53" t="s">
        <v>1599</v>
      </c>
      <c r="D64" s="53" t="str">
        <f ca="1">"0,5716"</f>
        <v>0,5716</v>
      </c>
      <c r="E64" s="53" t="s">
        <v>49</v>
      </c>
      <c r="F64" s="54" t="s">
        <v>1401</v>
      </c>
      <c r="G64" s="53" t="s">
        <v>1401</v>
      </c>
      <c r="H64" s="54" t="s">
        <v>117</v>
      </c>
      <c r="I64" s="54"/>
      <c r="J64" s="53" t="s">
        <v>140</v>
      </c>
      <c r="K64" s="54" t="s">
        <v>793</v>
      </c>
      <c r="L64" s="54" t="s">
        <v>793</v>
      </c>
      <c r="M64" s="54"/>
      <c r="N64" s="53" t="s">
        <v>62</v>
      </c>
      <c r="O64" s="53" t="s">
        <v>63</v>
      </c>
      <c r="P64" s="54" t="s">
        <v>64</v>
      </c>
      <c r="Q64" s="54"/>
      <c r="R64" s="59">
        <v>820</v>
      </c>
      <c r="S64" s="53" t="str">
        <f ca="1">"468,7120"</f>
        <v>468,7120</v>
      </c>
      <c r="T64" s="53"/>
    </row>
    <row r="65" spans="1:20">
      <c r="A65" s="53" t="s">
        <v>1600</v>
      </c>
      <c r="B65" s="53" t="s">
        <v>1601</v>
      </c>
      <c r="C65" s="53" t="s">
        <v>1602</v>
      </c>
      <c r="D65" s="53" t="str">
        <f ca="1">"0,5776"</f>
        <v>0,5776</v>
      </c>
      <c r="E65" s="53" t="s">
        <v>49</v>
      </c>
      <c r="F65" s="53" t="s">
        <v>88</v>
      </c>
      <c r="G65" s="53" t="s">
        <v>33</v>
      </c>
      <c r="H65" s="54" t="s">
        <v>80</v>
      </c>
      <c r="I65" s="54"/>
      <c r="J65" s="54" t="s">
        <v>44</v>
      </c>
      <c r="K65" s="54" t="s">
        <v>44</v>
      </c>
      <c r="L65" s="54"/>
      <c r="M65" s="54"/>
      <c r="N65" s="54"/>
      <c r="O65" s="54"/>
      <c r="P65" s="54"/>
      <c r="Q65" s="54"/>
      <c r="R65" s="59">
        <v>0</v>
      </c>
      <c r="S65" s="53" t="str">
        <f ca="1" t="shared" ref="S65:S66" si="1">"0,0000"</f>
        <v>0,0000</v>
      </c>
      <c r="T65" s="53"/>
    </row>
    <row r="66" spans="1:20">
      <c r="A66" s="53" t="s">
        <v>352</v>
      </c>
      <c r="B66" s="53" t="s">
        <v>353</v>
      </c>
      <c r="C66" s="53" t="s">
        <v>354</v>
      </c>
      <c r="D66" s="53" t="str">
        <f ca="1">"0,5644"</f>
        <v>0,5644</v>
      </c>
      <c r="E66" s="53" t="s">
        <v>21</v>
      </c>
      <c r="F66" s="54" t="s">
        <v>1236</v>
      </c>
      <c r="G66" s="54" t="s">
        <v>84</v>
      </c>
      <c r="H66" s="54" t="s">
        <v>84</v>
      </c>
      <c r="I66" s="54"/>
      <c r="J66" s="54" t="s">
        <v>1381</v>
      </c>
      <c r="K66" s="54" t="s">
        <v>45</v>
      </c>
      <c r="L66" s="54"/>
      <c r="M66" s="54"/>
      <c r="N66" s="54"/>
      <c r="O66" s="54"/>
      <c r="P66" s="54"/>
      <c r="Q66" s="54"/>
      <c r="R66" s="59">
        <v>0</v>
      </c>
      <c r="S66" s="53" t="str">
        <f ca="1" t="shared" si="1"/>
        <v>0,0000</v>
      </c>
      <c r="T66" s="53"/>
    </row>
    <row r="67" spans="1:20">
      <c r="A67" s="53" t="s">
        <v>1603</v>
      </c>
      <c r="B67" s="53" t="s">
        <v>1604</v>
      </c>
      <c r="C67" s="53" t="s">
        <v>1605</v>
      </c>
      <c r="D67" s="53" t="str">
        <f ca="1">"0,5811"</f>
        <v>0,5811</v>
      </c>
      <c r="E67" s="53" t="s">
        <v>49</v>
      </c>
      <c r="F67" s="53" t="s">
        <v>1606</v>
      </c>
      <c r="G67" s="53" t="s">
        <v>40</v>
      </c>
      <c r="H67" s="54" t="s">
        <v>22</v>
      </c>
      <c r="I67" s="54"/>
      <c r="J67" s="53" t="s">
        <v>213</v>
      </c>
      <c r="K67" s="53" t="s">
        <v>147</v>
      </c>
      <c r="L67" s="54" t="s">
        <v>206</v>
      </c>
      <c r="M67" s="54"/>
      <c r="N67" s="53" t="s">
        <v>93</v>
      </c>
      <c r="O67" s="53" t="s">
        <v>323</v>
      </c>
      <c r="P67" s="53" t="s">
        <v>75</v>
      </c>
      <c r="Q67" s="54"/>
      <c r="R67" s="59">
        <v>710</v>
      </c>
      <c r="S67" s="53" t="str">
        <f ca="1">"412,6129"</f>
        <v>412,6129</v>
      </c>
      <c r="T67" s="53"/>
    </row>
    <row r="68" spans="1:20">
      <c r="A68" s="53" t="s">
        <v>1607</v>
      </c>
      <c r="B68" s="53" t="s">
        <v>1608</v>
      </c>
      <c r="C68" s="53" t="s">
        <v>1609</v>
      </c>
      <c r="D68" s="53" t="str">
        <f ca="1">"0,6356"</f>
        <v>0,6356</v>
      </c>
      <c r="E68" s="53" t="s">
        <v>686</v>
      </c>
      <c r="F68" s="54" t="s">
        <v>290</v>
      </c>
      <c r="G68" s="53" t="s">
        <v>141</v>
      </c>
      <c r="H68" s="54"/>
      <c r="I68" s="54"/>
      <c r="J68" s="53" t="s">
        <v>147</v>
      </c>
      <c r="K68" s="54" t="s">
        <v>206</v>
      </c>
      <c r="L68" s="54" t="s">
        <v>206</v>
      </c>
      <c r="M68" s="54"/>
      <c r="N68" s="53" t="s">
        <v>140</v>
      </c>
      <c r="O68" s="53" t="s">
        <v>28</v>
      </c>
      <c r="P68" s="53" t="s">
        <v>44</v>
      </c>
      <c r="Q68" s="54"/>
      <c r="R68" s="59">
        <v>560</v>
      </c>
      <c r="S68" s="53" t="str">
        <f ca="1">"355,9240"</f>
        <v>355,9240</v>
      </c>
      <c r="T68" s="53"/>
    </row>
    <row r="69" spans="1:20">
      <c r="A69" s="53" t="s">
        <v>1610</v>
      </c>
      <c r="B69" s="53" t="s">
        <v>1611</v>
      </c>
      <c r="C69" s="53" t="s">
        <v>1612</v>
      </c>
      <c r="D69" s="53" t="str">
        <f ca="1">"0,6525"</f>
        <v>0,6525</v>
      </c>
      <c r="E69" s="53" t="s">
        <v>49</v>
      </c>
      <c r="F69" s="53" t="s">
        <v>33</v>
      </c>
      <c r="G69" s="53" t="s">
        <v>40</v>
      </c>
      <c r="H69" s="54" t="s">
        <v>323</v>
      </c>
      <c r="I69" s="54"/>
      <c r="J69" s="53" t="s">
        <v>268</v>
      </c>
      <c r="K69" s="53" t="s">
        <v>202</v>
      </c>
      <c r="L69" s="54" t="s">
        <v>45</v>
      </c>
      <c r="M69" s="54"/>
      <c r="N69" s="53" t="s">
        <v>33</v>
      </c>
      <c r="O69" s="54"/>
      <c r="P69" s="54"/>
      <c r="Q69" s="54"/>
      <c r="R69" s="59">
        <v>640</v>
      </c>
      <c r="S69" s="53" t="str">
        <f ca="1">"417,5757"</f>
        <v>417,5757</v>
      </c>
      <c r="T69" s="53"/>
    </row>
    <row r="70" spans="1:20">
      <c r="A70" s="50" t="s">
        <v>95</v>
      </c>
      <c r="B70" s="50" t="s">
        <v>96</v>
      </c>
      <c r="C70" s="50" t="s">
        <v>74</v>
      </c>
      <c r="D70" s="50" t="str">
        <f ca="1">"1,0504"</f>
        <v>1,0504</v>
      </c>
      <c r="E70" s="50" t="s">
        <v>98</v>
      </c>
      <c r="F70" s="51" t="s">
        <v>556</v>
      </c>
      <c r="G70" s="51" t="s">
        <v>556</v>
      </c>
      <c r="H70" s="50" t="s">
        <v>556</v>
      </c>
      <c r="I70" s="51"/>
      <c r="J70" s="50" t="s">
        <v>99</v>
      </c>
      <c r="K70" s="51" t="s">
        <v>45</v>
      </c>
      <c r="L70" s="51"/>
      <c r="M70" s="51"/>
      <c r="N70" s="51" t="s">
        <v>374</v>
      </c>
      <c r="O70" s="50" t="s">
        <v>268</v>
      </c>
      <c r="P70" s="51" t="s">
        <v>45</v>
      </c>
      <c r="Q70" s="51"/>
      <c r="R70" s="58">
        <v>272.5</v>
      </c>
      <c r="S70" s="50" t="str">
        <f ca="1">"286,2215"</f>
        <v>286,2215</v>
      </c>
      <c r="T70" s="50"/>
    </row>
    <row r="72" ht="15.6" spans="1:19">
      <c r="A72" s="47" t="s">
        <v>102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</row>
    <row r="73" spans="1:20">
      <c r="A73" s="48" t="s">
        <v>1613</v>
      </c>
      <c r="B73" s="48" t="s">
        <v>1614</v>
      </c>
      <c r="C73" s="48" t="s">
        <v>910</v>
      </c>
      <c r="D73" s="48" t="str">
        <f ca="1">"0,5454"</f>
        <v>0,5454</v>
      </c>
      <c r="E73" s="48" t="s">
        <v>1042</v>
      </c>
      <c r="F73" s="49" t="s">
        <v>398</v>
      </c>
      <c r="G73" s="48" t="s">
        <v>398</v>
      </c>
      <c r="H73" s="48" t="s">
        <v>1615</v>
      </c>
      <c r="I73" s="49"/>
      <c r="J73" s="48" t="s">
        <v>50</v>
      </c>
      <c r="K73" s="48" t="s">
        <v>51</v>
      </c>
      <c r="L73" s="48" t="s">
        <v>52</v>
      </c>
      <c r="M73" s="49"/>
      <c r="N73" s="48" t="s">
        <v>84</v>
      </c>
      <c r="O73" s="48" t="s">
        <v>394</v>
      </c>
      <c r="P73" s="48" t="s">
        <v>1616</v>
      </c>
      <c r="Q73" s="49"/>
      <c r="R73" s="57">
        <v>922.5</v>
      </c>
      <c r="S73" s="48" t="str">
        <f ca="1">"503,1315"</f>
        <v>503,1315</v>
      </c>
      <c r="T73" s="48"/>
    </row>
    <row r="74" spans="1:20">
      <c r="A74" s="53" t="s">
        <v>1617</v>
      </c>
      <c r="B74" s="53" t="s">
        <v>1618</v>
      </c>
      <c r="C74" s="53" t="s">
        <v>108</v>
      </c>
      <c r="D74" s="53" t="str">
        <f ca="1">"0,5494"</f>
        <v>0,5494</v>
      </c>
      <c r="E74" s="53" t="s">
        <v>49</v>
      </c>
      <c r="F74" s="53" t="s">
        <v>1236</v>
      </c>
      <c r="G74" s="53" t="s">
        <v>118</v>
      </c>
      <c r="H74" s="54" t="s">
        <v>129</v>
      </c>
      <c r="I74" s="54"/>
      <c r="J74" s="53" t="s">
        <v>44</v>
      </c>
      <c r="K74" s="53" t="s">
        <v>264</v>
      </c>
      <c r="L74" s="54" t="s">
        <v>88</v>
      </c>
      <c r="M74" s="54"/>
      <c r="N74" s="53" t="s">
        <v>84</v>
      </c>
      <c r="O74" s="53" t="s">
        <v>118</v>
      </c>
      <c r="P74" s="54" t="s">
        <v>129</v>
      </c>
      <c r="Q74" s="54"/>
      <c r="R74" s="59">
        <v>865</v>
      </c>
      <c r="S74" s="53" t="str">
        <f ca="1">"475,2310"</f>
        <v>475,2310</v>
      </c>
      <c r="T74" s="53"/>
    </row>
    <row r="75" spans="1:20">
      <c r="A75" s="53" t="s">
        <v>383</v>
      </c>
      <c r="B75" s="53" t="s">
        <v>384</v>
      </c>
      <c r="C75" s="53" t="s">
        <v>1619</v>
      </c>
      <c r="D75" s="53" t="str">
        <f ca="1">"0,5514"</f>
        <v>0,5514</v>
      </c>
      <c r="E75" s="53" t="s">
        <v>21</v>
      </c>
      <c r="F75" s="53" t="s">
        <v>252</v>
      </c>
      <c r="G75" s="53" t="s">
        <v>88</v>
      </c>
      <c r="H75" s="54" t="s">
        <v>50</v>
      </c>
      <c r="I75" s="54"/>
      <c r="J75" s="53" t="s">
        <v>140</v>
      </c>
      <c r="K75" s="53" t="s">
        <v>141</v>
      </c>
      <c r="L75" s="54" t="s">
        <v>28</v>
      </c>
      <c r="M75" s="54"/>
      <c r="N75" s="54" t="s">
        <v>84</v>
      </c>
      <c r="O75" s="53" t="s">
        <v>84</v>
      </c>
      <c r="P75" s="54" t="s">
        <v>313</v>
      </c>
      <c r="Q75" s="54"/>
      <c r="R75" s="59">
        <v>720</v>
      </c>
      <c r="S75" s="53" t="str">
        <f ca="1">"397,0080"</f>
        <v>397,0080</v>
      </c>
      <c r="T75" s="53"/>
    </row>
    <row r="76" spans="1:20">
      <c r="A76" s="53" t="s">
        <v>1620</v>
      </c>
      <c r="B76" s="53" t="s">
        <v>1621</v>
      </c>
      <c r="C76" s="53" t="s">
        <v>1622</v>
      </c>
      <c r="D76" s="53" t="str">
        <f ca="1">"0,5545"</f>
        <v>0,5545</v>
      </c>
      <c r="E76" s="53" t="s">
        <v>1042</v>
      </c>
      <c r="F76" s="53" t="s">
        <v>347</v>
      </c>
      <c r="G76" s="54" t="s">
        <v>84</v>
      </c>
      <c r="H76" s="54" t="s">
        <v>84</v>
      </c>
      <c r="I76" s="54"/>
      <c r="J76" s="53" t="s">
        <v>44</v>
      </c>
      <c r="K76" s="54" t="s">
        <v>252</v>
      </c>
      <c r="L76" s="54" t="s">
        <v>252</v>
      </c>
      <c r="M76" s="54"/>
      <c r="N76" s="54" t="s">
        <v>131</v>
      </c>
      <c r="O76" s="54" t="s">
        <v>131</v>
      </c>
      <c r="P76" s="54" t="s">
        <v>131</v>
      </c>
      <c r="Q76" s="54"/>
      <c r="R76" s="59">
        <v>0</v>
      </c>
      <c r="S76" s="53" t="str">
        <f ca="1" t="shared" ref="S76:S77" si="2">"0,0000"</f>
        <v>0,0000</v>
      </c>
      <c r="T76" s="53"/>
    </row>
    <row r="77" spans="1:20">
      <c r="A77" s="53" t="s">
        <v>391</v>
      </c>
      <c r="B77" s="53" t="s">
        <v>392</v>
      </c>
      <c r="C77" s="53" t="s">
        <v>1623</v>
      </c>
      <c r="D77" s="53" t="str">
        <f ca="1">"0,5490"</f>
        <v>0,5490</v>
      </c>
      <c r="E77" s="53" t="s">
        <v>21</v>
      </c>
      <c r="F77" s="54" t="s">
        <v>23</v>
      </c>
      <c r="G77" s="54" t="s">
        <v>23</v>
      </c>
      <c r="H77" s="54" t="s">
        <v>23</v>
      </c>
      <c r="I77" s="54"/>
      <c r="J77" s="54" t="s">
        <v>208</v>
      </c>
      <c r="K77" s="54" t="s">
        <v>45</v>
      </c>
      <c r="L77" s="54"/>
      <c r="M77" s="54"/>
      <c r="N77" s="54"/>
      <c r="O77" s="54"/>
      <c r="P77" s="54"/>
      <c r="Q77" s="54"/>
      <c r="R77" s="59">
        <v>0</v>
      </c>
      <c r="S77" s="53" t="str">
        <f ca="1" t="shared" si="2"/>
        <v>0,0000</v>
      </c>
      <c r="T77" s="53"/>
    </row>
    <row r="78" spans="1:20">
      <c r="A78" s="53" t="s">
        <v>1624</v>
      </c>
      <c r="B78" s="53" t="s">
        <v>1625</v>
      </c>
      <c r="C78" s="53" t="s">
        <v>1626</v>
      </c>
      <c r="D78" s="53" t="str">
        <f ca="1">"0,5536"</f>
        <v>0,5536</v>
      </c>
      <c r="E78" s="53" t="s">
        <v>49</v>
      </c>
      <c r="F78" s="53" t="s">
        <v>202</v>
      </c>
      <c r="G78" s="54" t="s">
        <v>217</v>
      </c>
      <c r="H78" s="54" t="s">
        <v>217</v>
      </c>
      <c r="I78" s="54"/>
      <c r="J78" s="53" t="s">
        <v>213</v>
      </c>
      <c r="K78" s="53" t="s">
        <v>206</v>
      </c>
      <c r="L78" s="53" t="s">
        <v>233</v>
      </c>
      <c r="M78" s="54"/>
      <c r="N78" s="53" t="s">
        <v>213</v>
      </c>
      <c r="O78" s="53" t="s">
        <v>233</v>
      </c>
      <c r="P78" s="53" t="s">
        <v>141</v>
      </c>
      <c r="Q78" s="54"/>
      <c r="R78" s="59">
        <v>505</v>
      </c>
      <c r="S78" s="53" t="str">
        <f ca="1">"279,5584"</f>
        <v>279,5584</v>
      </c>
      <c r="T78" s="53" t="s">
        <v>1627</v>
      </c>
    </row>
    <row r="79" spans="1:20">
      <c r="A79" s="53" t="s">
        <v>891</v>
      </c>
      <c r="B79" s="53" t="s">
        <v>892</v>
      </c>
      <c r="C79" s="53" t="s">
        <v>1628</v>
      </c>
      <c r="D79" s="53" t="str">
        <f ca="1">"0,6054"</f>
        <v>0,6054</v>
      </c>
      <c r="E79" s="53" t="s">
        <v>49</v>
      </c>
      <c r="F79" s="54" t="s">
        <v>337</v>
      </c>
      <c r="G79" s="54" t="s">
        <v>80</v>
      </c>
      <c r="H79" s="54" t="s">
        <v>80</v>
      </c>
      <c r="I79" s="54"/>
      <c r="J79" s="54" t="s">
        <v>754</v>
      </c>
      <c r="K79" s="54"/>
      <c r="L79" s="54"/>
      <c r="M79" s="54"/>
      <c r="N79" s="54" t="s">
        <v>70</v>
      </c>
      <c r="O79" s="54"/>
      <c r="P79" s="54"/>
      <c r="Q79" s="54"/>
      <c r="R79" s="59">
        <v>0</v>
      </c>
      <c r="S79" s="53" t="str">
        <f ca="1">"0,0000"</f>
        <v>0,0000</v>
      </c>
      <c r="T79" s="53"/>
    </row>
    <row r="80" spans="1:20">
      <c r="A80" s="50" t="s">
        <v>1629</v>
      </c>
      <c r="B80" s="50" t="s">
        <v>1630</v>
      </c>
      <c r="C80" s="50" t="s">
        <v>1631</v>
      </c>
      <c r="D80" s="50" t="str">
        <f ca="1">"0,7190"</f>
        <v>0,7190</v>
      </c>
      <c r="E80" s="50" t="s">
        <v>49</v>
      </c>
      <c r="F80" s="50" t="s">
        <v>207</v>
      </c>
      <c r="G80" s="50" t="s">
        <v>233</v>
      </c>
      <c r="H80" s="50" t="s">
        <v>27</v>
      </c>
      <c r="I80" s="51"/>
      <c r="J80" s="50" t="s">
        <v>213</v>
      </c>
      <c r="K80" s="50" t="s">
        <v>147</v>
      </c>
      <c r="L80" s="50" t="s">
        <v>206</v>
      </c>
      <c r="M80" s="51"/>
      <c r="N80" s="50" t="s">
        <v>207</v>
      </c>
      <c r="O80" s="50" t="s">
        <v>140</v>
      </c>
      <c r="P80" s="50" t="s">
        <v>732</v>
      </c>
      <c r="Q80" s="51"/>
      <c r="R80" s="58">
        <v>545</v>
      </c>
      <c r="S80" s="50" t="str">
        <f ca="1">"391,8321"</f>
        <v>391,8321</v>
      </c>
      <c r="T80" s="50"/>
    </row>
    <row r="82" ht="15.6" spans="1:19">
      <c r="A82" s="47" t="s">
        <v>125</v>
      </c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</row>
    <row r="83" spans="1:20">
      <c r="A83" s="48" t="s">
        <v>918</v>
      </c>
      <c r="B83" s="48" t="s">
        <v>919</v>
      </c>
      <c r="C83" s="48" t="s">
        <v>421</v>
      </c>
      <c r="D83" s="48" t="str">
        <f ca="1">"0,5380"</f>
        <v>0,5380</v>
      </c>
      <c r="E83" s="48" t="s">
        <v>49</v>
      </c>
      <c r="F83" s="48" t="s">
        <v>347</v>
      </c>
      <c r="G83" s="49" t="s">
        <v>75</v>
      </c>
      <c r="H83" s="49" t="s">
        <v>45</v>
      </c>
      <c r="I83" s="49"/>
      <c r="J83" s="48" t="s">
        <v>44</v>
      </c>
      <c r="K83" s="48" t="s">
        <v>252</v>
      </c>
      <c r="L83" s="48" t="s">
        <v>264</v>
      </c>
      <c r="M83" s="49"/>
      <c r="N83" s="48" t="s">
        <v>84</v>
      </c>
      <c r="O83" s="48" t="s">
        <v>117</v>
      </c>
      <c r="P83" s="49" t="s">
        <v>118</v>
      </c>
      <c r="Q83" s="49"/>
      <c r="R83" s="57">
        <v>815</v>
      </c>
      <c r="S83" s="48" t="str">
        <f ca="1">"438,4537"</f>
        <v>438,4537</v>
      </c>
      <c r="T83" s="48" t="s">
        <v>923</v>
      </c>
    </row>
    <row r="84" spans="1:20">
      <c r="A84" s="53" t="s">
        <v>1632</v>
      </c>
      <c r="B84" s="53" t="s">
        <v>1633</v>
      </c>
      <c r="C84" s="53" t="s">
        <v>1634</v>
      </c>
      <c r="D84" s="53" t="str">
        <f ca="1">"0,5438"</f>
        <v>0,5438</v>
      </c>
      <c r="E84" s="53" t="s">
        <v>49</v>
      </c>
      <c r="F84" s="53" t="s">
        <v>1606</v>
      </c>
      <c r="G84" s="53" t="s">
        <v>40</v>
      </c>
      <c r="H84" s="53" t="s">
        <v>22</v>
      </c>
      <c r="I84" s="54"/>
      <c r="J84" s="53" t="s">
        <v>732</v>
      </c>
      <c r="K84" s="53" t="s">
        <v>226</v>
      </c>
      <c r="L84" s="53" t="s">
        <v>227</v>
      </c>
      <c r="M84" s="54"/>
      <c r="N84" s="53" t="s">
        <v>347</v>
      </c>
      <c r="O84" s="53" t="s">
        <v>84</v>
      </c>
      <c r="P84" s="54" t="s">
        <v>71</v>
      </c>
      <c r="Q84" s="54"/>
      <c r="R84" s="59">
        <v>780</v>
      </c>
      <c r="S84" s="53" t="str">
        <f ca="1">"424,1328"</f>
        <v>424,1328</v>
      </c>
      <c r="T84" s="53"/>
    </row>
    <row r="85" spans="1:20">
      <c r="A85" s="53" t="s">
        <v>1635</v>
      </c>
      <c r="B85" s="53" t="s">
        <v>1636</v>
      </c>
      <c r="C85" s="53" t="s">
        <v>1637</v>
      </c>
      <c r="D85" s="53" t="str">
        <f ca="1">"0,5397"</f>
        <v>0,5397</v>
      </c>
      <c r="E85" s="53" t="s">
        <v>686</v>
      </c>
      <c r="F85" s="53" t="s">
        <v>40</v>
      </c>
      <c r="G85" s="53" t="s">
        <v>22</v>
      </c>
      <c r="H85" s="54"/>
      <c r="I85" s="54"/>
      <c r="J85" s="53" t="s">
        <v>140</v>
      </c>
      <c r="K85" s="53" t="s">
        <v>793</v>
      </c>
      <c r="L85" s="53" t="s">
        <v>732</v>
      </c>
      <c r="M85" s="54"/>
      <c r="N85" s="53" t="s">
        <v>40</v>
      </c>
      <c r="O85" s="54"/>
      <c r="P85" s="54"/>
      <c r="Q85" s="54"/>
      <c r="R85" s="59">
        <v>720</v>
      </c>
      <c r="S85" s="53" t="str">
        <f ca="1">"388,5912"</f>
        <v>388,5912</v>
      </c>
      <c r="T85" s="53"/>
    </row>
    <row r="86" spans="1:20">
      <c r="A86" s="53" t="s">
        <v>1638</v>
      </c>
      <c r="B86" s="53" t="s">
        <v>1639</v>
      </c>
      <c r="C86" s="53" t="s">
        <v>1640</v>
      </c>
      <c r="D86" s="53" t="str">
        <f ca="1">"0,5688"</f>
        <v>0,5688</v>
      </c>
      <c r="E86" s="53" t="s">
        <v>686</v>
      </c>
      <c r="F86" s="53" t="s">
        <v>1236</v>
      </c>
      <c r="G86" s="54" t="s">
        <v>117</v>
      </c>
      <c r="H86" s="54"/>
      <c r="I86" s="54"/>
      <c r="J86" s="53" t="s">
        <v>141</v>
      </c>
      <c r="K86" s="53" t="s">
        <v>28</v>
      </c>
      <c r="L86" s="54" t="s">
        <v>226</v>
      </c>
      <c r="M86" s="54"/>
      <c r="N86" s="54" t="s">
        <v>84</v>
      </c>
      <c r="O86" s="54" t="s">
        <v>84</v>
      </c>
      <c r="P86" s="54"/>
      <c r="Q86" s="54"/>
      <c r="R86" s="59">
        <v>0</v>
      </c>
      <c r="S86" s="53" t="str">
        <f ca="1" t="shared" ref="S86:S87" si="3">"0,0000"</f>
        <v>0,0000</v>
      </c>
      <c r="T86" s="53"/>
    </row>
    <row r="87" spans="1:20">
      <c r="A87" s="50" t="s">
        <v>1641</v>
      </c>
      <c r="B87" s="50" t="s">
        <v>92</v>
      </c>
      <c r="C87" s="50" t="s">
        <v>1642</v>
      </c>
      <c r="D87" s="50" t="str">
        <f ca="1">"0,5749"</f>
        <v>0,5749</v>
      </c>
      <c r="E87" s="50" t="s">
        <v>32</v>
      </c>
      <c r="F87" s="51" t="s">
        <v>252</v>
      </c>
      <c r="G87" s="51" t="s">
        <v>252</v>
      </c>
      <c r="H87" s="51" t="s">
        <v>252</v>
      </c>
      <c r="I87" s="51"/>
      <c r="J87" s="51" t="s">
        <v>202</v>
      </c>
      <c r="K87" s="51"/>
      <c r="L87" s="51"/>
      <c r="M87" s="51"/>
      <c r="N87" s="51" t="s">
        <v>252</v>
      </c>
      <c r="O87" s="51"/>
      <c r="P87" s="51"/>
      <c r="Q87" s="51"/>
      <c r="R87" s="58">
        <v>0</v>
      </c>
      <c r="S87" s="50" t="str">
        <f ca="1" t="shared" si="3"/>
        <v>0,0000</v>
      </c>
      <c r="T87" s="50"/>
    </row>
    <row r="89" ht="15.6" spans="1:19">
      <c r="A89" s="47" t="s">
        <v>136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</row>
    <row r="90" spans="1:20">
      <c r="A90" s="46" t="s">
        <v>1643</v>
      </c>
      <c r="B90" s="46" t="s">
        <v>1644</v>
      </c>
      <c r="C90" s="46" t="s">
        <v>1645</v>
      </c>
      <c r="D90" s="46" t="str">
        <f ca="1">"0,5300"</f>
        <v>0,5300</v>
      </c>
      <c r="E90" s="46" t="s">
        <v>49</v>
      </c>
      <c r="F90" s="46"/>
      <c r="G90" s="46" t="s">
        <v>75</v>
      </c>
      <c r="H90" s="46" t="s">
        <v>70</v>
      </c>
      <c r="I90" s="52"/>
      <c r="J90" s="46" t="s">
        <v>206</v>
      </c>
      <c r="K90" s="46" t="s">
        <v>207</v>
      </c>
      <c r="L90" s="46" t="s">
        <v>233</v>
      </c>
      <c r="M90" s="52"/>
      <c r="N90" s="46" t="s">
        <v>347</v>
      </c>
      <c r="O90" s="46" t="s">
        <v>70</v>
      </c>
      <c r="P90" s="46" t="s">
        <v>76</v>
      </c>
      <c r="Q90" s="52"/>
      <c r="R90" s="56">
        <v>770</v>
      </c>
      <c r="S90" s="46" t="str">
        <f ca="1">"408,1000"</f>
        <v>408,1000</v>
      </c>
      <c r="T90" s="46"/>
    </row>
    <row r="92" ht="15.6" spans="5:5">
      <c r="E92" s="60" t="s">
        <v>148</v>
      </c>
    </row>
    <row r="93" ht="15.6" spans="5:5">
      <c r="E93" s="60" t="s">
        <v>149</v>
      </c>
    </row>
    <row r="94" ht="15.6" spans="5:5">
      <c r="E94" s="60" t="s">
        <v>150</v>
      </c>
    </row>
    <row r="95" spans="5:5">
      <c r="E95" s="43" t="s">
        <v>151</v>
      </c>
    </row>
    <row r="96" spans="5:5">
      <c r="E96" s="43" t="s">
        <v>152</v>
      </c>
    </row>
    <row r="97" spans="5:5">
      <c r="E97" s="43" t="s">
        <v>153</v>
      </c>
    </row>
    <row r="99" ht="18" spans="1:2">
      <c r="A99" s="61" t="s">
        <v>154</v>
      </c>
      <c r="B99" s="61"/>
    </row>
    <row r="100" ht="15.6" spans="1:2">
      <c r="A100" s="62" t="s">
        <v>443</v>
      </c>
      <c r="B100" s="62"/>
    </row>
    <row r="101" ht="13.8" spans="1:2">
      <c r="A101" s="63" t="s">
        <v>444</v>
      </c>
      <c r="B101" s="64"/>
    </row>
    <row r="102" ht="13.8" spans="1:5">
      <c r="A102" s="65" t="s">
        <v>1</v>
      </c>
      <c r="B102" s="65" t="s">
        <v>157</v>
      </c>
      <c r="C102" s="65" t="s">
        <v>158</v>
      </c>
      <c r="D102" s="65" t="s">
        <v>7</v>
      </c>
      <c r="E102" s="65" t="s">
        <v>159</v>
      </c>
    </row>
    <row r="103" spans="1:5">
      <c r="A103" s="66" t="s">
        <v>1499</v>
      </c>
      <c r="B103" s="43" t="s">
        <v>464</v>
      </c>
      <c r="C103" s="43" t="s">
        <v>537</v>
      </c>
      <c r="D103" s="43" t="s">
        <v>44</v>
      </c>
      <c r="E103" s="67" t="s">
        <v>1646</v>
      </c>
    </row>
    <row r="105" ht="13.8" spans="1:2">
      <c r="A105" s="63" t="s">
        <v>448</v>
      </c>
      <c r="B105" s="64"/>
    </row>
    <row r="106" ht="13.8" spans="1:5">
      <c r="A106" s="65" t="s">
        <v>1</v>
      </c>
      <c r="B106" s="65" t="s">
        <v>157</v>
      </c>
      <c r="C106" s="65" t="s">
        <v>158</v>
      </c>
      <c r="D106" s="65" t="s">
        <v>7</v>
      </c>
      <c r="E106" s="65" t="s">
        <v>159</v>
      </c>
    </row>
    <row r="107" spans="1:5">
      <c r="A107" s="66" t="s">
        <v>1513</v>
      </c>
      <c r="B107" s="43" t="s">
        <v>450</v>
      </c>
      <c r="C107" s="43" t="s">
        <v>535</v>
      </c>
      <c r="D107" s="43" t="s">
        <v>1647</v>
      </c>
      <c r="E107" s="67" t="s">
        <v>1648</v>
      </c>
    </row>
    <row r="109" ht="13.8" spans="1:2">
      <c r="A109" s="63" t="s">
        <v>156</v>
      </c>
      <c r="B109" s="64"/>
    </row>
    <row r="110" ht="13.8" spans="1:5">
      <c r="A110" s="65" t="s">
        <v>1</v>
      </c>
      <c r="B110" s="65" t="s">
        <v>157</v>
      </c>
      <c r="C110" s="65" t="s">
        <v>158</v>
      </c>
      <c r="D110" s="65" t="s">
        <v>7</v>
      </c>
      <c r="E110" s="65" t="s">
        <v>159</v>
      </c>
    </row>
    <row r="111" spans="1:5">
      <c r="A111" s="66" t="s">
        <v>1516</v>
      </c>
      <c r="B111" s="43" t="s">
        <v>156</v>
      </c>
      <c r="C111" s="43" t="s">
        <v>446</v>
      </c>
      <c r="D111" s="43" t="s">
        <v>1649</v>
      </c>
      <c r="E111" s="67" t="s">
        <v>1650</v>
      </c>
    </row>
    <row r="112" spans="1:5">
      <c r="A112" s="66" t="s">
        <v>1519</v>
      </c>
      <c r="B112" s="43" t="s">
        <v>156</v>
      </c>
      <c r="C112" s="43" t="s">
        <v>446</v>
      </c>
      <c r="D112" s="43" t="s">
        <v>398</v>
      </c>
      <c r="E112" s="67" t="s">
        <v>1651</v>
      </c>
    </row>
    <row r="114" ht="13.8" spans="1:2">
      <c r="A114" s="63" t="s">
        <v>178</v>
      </c>
      <c r="B114" s="64"/>
    </row>
    <row r="115" ht="13.8" spans="1:5">
      <c r="A115" s="65" t="s">
        <v>1</v>
      </c>
      <c r="B115" s="65" t="s">
        <v>157</v>
      </c>
      <c r="C115" s="65" t="s">
        <v>158</v>
      </c>
      <c r="D115" s="65" t="s">
        <v>7</v>
      </c>
      <c r="E115" s="65" t="s">
        <v>159</v>
      </c>
    </row>
    <row r="116" spans="1:5">
      <c r="A116" s="66" t="s">
        <v>214</v>
      </c>
      <c r="B116" s="43" t="s">
        <v>460</v>
      </c>
      <c r="C116" s="43" t="s">
        <v>456</v>
      </c>
      <c r="D116" s="43" t="s">
        <v>1072</v>
      </c>
      <c r="E116" s="67" t="s">
        <v>1652</v>
      </c>
    </row>
    <row r="117" spans="1:5">
      <c r="A117" s="66" t="s">
        <v>192</v>
      </c>
      <c r="B117" s="43" t="s">
        <v>181</v>
      </c>
      <c r="C117" s="43" t="s">
        <v>458</v>
      </c>
      <c r="D117" s="43" t="s">
        <v>33</v>
      </c>
      <c r="E117" s="67" t="s">
        <v>1653</v>
      </c>
    </row>
    <row r="118" spans="1:5">
      <c r="A118" s="66" t="s">
        <v>1506</v>
      </c>
      <c r="B118" s="43" t="s">
        <v>187</v>
      </c>
      <c r="C118" s="43" t="s">
        <v>458</v>
      </c>
      <c r="D118" s="43" t="s">
        <v>124</v>
      </c>
      <c r="E118" s="67" t="s">
        <v>1654</v>
      </c>
    </row>
    <row r="121" ht="15.6" spans="1:2">
      <c r="A121" s="62" t="s">
        <v>155</v>
      </c>
      <c r="B121" s="62"/>
    </row>
    <row r="122" ht="13.8" spans="1:2">
      <c r="A122" s="63" t="s">
        <v>444</v>
      </c>
      <c r="B122" s="64"/>
    </row>
    <row r="123" ht="13.8" spans="1:5">
      <c r="A123" s="65" t="s">
        <v>1</v>
      </c>
      <c r="B123" s="65" t="s">
        <v>157</v>
      </c>
      <c r="C123" s="65" t="s">
        <v>158</v>
      </c>
      <c r="D123" s="65" t="s">
        <v>7</v>
      </c>
      <c r="E123" s="65" t="s">
        <v>159</v>
      </c>
    </row>
    <row r="124" spans="1:5">
      <c r="A124" s="66" t="s">
        <v>1564</v>
      </c>
      <c r="B124" s="43" t="s">
        <v>464</v>
      </c>
      <c r="C124" s="43" t="s">
        <v>172</v>
      </c>
      <c r="D124" s="43" t="s">
        <v>1655</v>
      </c>
      <c r="E124" s="67" t="s">
        <v>1656</v>
      </c>
    </row>
    <row r="125" spans="1:5">
      <c r="A125" s="66" t="s">
        <v>1534</v>
      </c>
      <c r="B125" s="43" t="s">
        <v>445</v>
      </c>
      <c r="C125" s="43" t="s">
        <v>456</v>
      </c>
      <c r="D125" s="43" t="s">
        <v>1071</v>
      </c>
      <c r="E125" s="67" t="s">
        <v>1657</v>
      </c>
    </row>
    <row r="126" spans="1:5">
      <c r="A126" s="66" t="s">
        <v>1547</v>
      </c>
      <c r="B126" s="43" t="s">
        <v>464</v>
      </c>
      <c r="C126" s="43" t="s">
        <v>164</v>
      </c>
      <c r="D126" s="43" t="s">
        <v>1658</v>
      </c>
      <c r="E126" s="67" t="s">
        <v>1659</v>
      </c>
    </row>
    <row r="127" spans="1:5">
      <c r="A127" s="66" t="s">
        <v>1531</v>
      </c>
      <c r="B127" s="43" t="s">
        <v>464</v>
      </c>
      <c r="C127" s="43" t="s">
        <v>456</v>
      </c>
      <c r="D127" s="43" t="s">
        <v>1660</v>
      </c>
      <c r="E127" s="67" t="s">
        <v>1661</v>
      </c>
    </row>
    <row r="128" spans="1:5">
      <c r="A128" s="66" t="s">
        <v>625</v>
      </c>
      <c r="B128" s="43" t="s">
        <v>464</v>
      </c>
      <c r="C128" s="43" t="s">
        <v>446</v>
      </c>
      <c r="D128" s="43" t="s">
        <v>347</v>
      </c>
      <c r="E128" s="67" t="s">
        <v>1662</v>
      </c>
    </row>
    <row r="130" ht="13.8" spans="1:2">
      <c r="A130" s="63" t="s">
        <v>448</v>
      </c>
      <c r="B130" s="64"/>
    </row>
    <row r="131" ht="13.8" spans="1:5">
      <c r="A131" s="65" t="s">
        <v>1</v>
      </c>
      <c r="B131" s="65" t="s">
        <v>157</v>
      </c>
      <c r="C131" s="65" t="s">
        <v>158</v>
      </c>
      <c r="D131" s="65" t="s">
        <v>7</v>
      </c>
      <c r="E131" s="65" t="s">
        <v>159</v>
      </c>
    </row>
    <row r="132" spans="1:5">
      <c r="A132" s="66" t="s">
        <v>1537</v>
      </c>
      <c r="B132" s="43" t="s">
        <v>450</v>
      </c>
      <c r="C132" s="43" t="s">
        <v>456</v>
      </c>
      <c r="D132" s="43" t="s">
        <v>1455</v>
      </c>
      <c r="E132" s="67" t="s">
        <v>1663</v>
      </c>
    </row>
    <row r="133" spans="1:5">
      <c r="A133" s="66" t="s">
        <v>1525</v>
      </c>
      <c r="B133" s="43" t="s">
        <v>450</v>
      </c>
      <c r="C133" s="43" t="s">
        <v>446</v>
      </c>
      <c r="D133" s="43" t="s">
        <v>71</v>
      </c>
      <c r="E133" s="67" t="s">
        <v>1664</v>
      </c>
    </row>
    <row r="135" ht="13.8" spans="1:2">
      <c r="A135" s="63" t="s">
        <v>156</v>
      </c>
      <c r="B135" s="64"/>
    </row>
    <row r="136" ht="13.8" spans="1:5">
      <c r="A136" s="65" t="s">
        <v>1</v>
      </c>
      <c r="B136" s="65" t="s">
        <v>157</v>
      </c>
      <c r="C136" s="65" t="s">
        <v>158</v>
      </c>
      <c r="D136" s="65" t="s">
        <v>7</v>
      </c>
      <c r="E136" s="65" t="s">
        <v>159</v>
      </c>
    </row>
    <row r="137" spans="1:5">
      <c r="A137" s="66" t="s">
        <v>1613</v>
      </c>
      <c r="B137" s="43" t="s">
        <v>156</v>
      </c>
      <c r="C137" s="43" t="s">
        <v>167</v>
      </c>
      <c r="D137" s="43" t="s">
        <v>1665</v>
      </c>
      <c r="E137" s="67" t="s">
        <v>1666</v>
      </c>
    </row>
    <row r="138" spans="1:5">
      <c r="A138" s="66" t="s">
        <v>1617</v>
      </c>
      <c r="B138" s="43" t="s">
        <v>156</v>
      </c>
      <c r="C138" s="43" t="s">
        <v>167</v>
      </c>
      <c r="D138" s="43" t="s">
        <v>1461</v>
      </c>
      <c r="E138" s="67" t="s">
        <v>1667</v>
      </c>
    </row>
    <row r="139" spans="1:5">
      <c r="A139" s="66" t="s">
        <v>1594</v>
      </c>
      <c r="B139" s="43" t="s">
        <v>156</v>
      </c>
      <c r="C139" s="43" t="s">
        <v>163</v>
      </c>
      <c r="D139" s="43" t="s">
        <v>1668</v>
      </c>
      <c r="E139" s="67" t="s">
        <v>1669</v>
      </c>
    </row>
    <row r="140" spans="1:5">
      <c r="A140" s="66" t="s">
        <v>1597</v>
      </c>
      <c r="B140" s="43" t="s">
        <v>156</v>
      </c>
      <c r="C140" s="43" t="s">
        <v>163</v>
      </c>
      <c r="D140" s="43" t="s">
        <v>1670</v>
      </c>
      <c r="E140" s="67" t="s">
        <v>1671</v>
      </c>
    </row>
    <row r="141" spans="1:5">
      <c r="A141" s="66" t="s">
        <v>918</v>
      </c>
      <c r="B141" s="43" t="s">
        <v>156</v>
      </c>
      <c r="C141" s="43" t="s">
        <v>160</v>
      </c>
      <c r="D141" s="43" t="s">
        <v>1672</v>
      </c>
      <c r="E141" s="67" t="s">
        <v>1673</v>
      </c>
    </row>
    <row r="142" spans="1:5">
      <c r="A142" s="66" t="s">
        <v>1540</v>
      </c>
      <c r="B142" s="43" t="s">
        <v>156</v>
      </c>
      <c r="C142" s="43" t="s">
        <v>456</v>
      </c>
      <c r="D142" s="43" t="s">
        <v>1674</v>
      </c>
      <c r="E142" s="67" t="s">
        <v>1675</v>
      </c>
    </row>
    <row r="143" spans="1:5">
      <c r="A143" s="66" t="s">
        <v>1632</v>
      </c>
      <c r="B143" s="43" t="s">
        <v>156</v>
      </c>
      <c r="C143" s="43" t="s">
        <v>160</v>
      </c>
      <c r="D143" s="43" t="s">
        <v>1676</v>
      </c>
      <c r="E143" s="67" t="s">
        <v>1677</v>
      </c>
    </row>
    <row r="144" spans="1:5">
      <c r="A144" s="66" t="s">
        <v>1550</v>
      </c>
      <c r="B144" s="43" t="s">
        <v>156</v>
      </c>
      <c r="C144" s="43" t="s">
        <v>164</v>
      </c>
      <c r="D144" s="43" t="s">
        <v>1678</v>
      </c>
      <c r="E144" s="67" t="s">
        <v>1679</v>
      </c>
    </row>
    <row r="145" spans="1:5">
      <c r="A145" s="66" t="s">
        <v>1522</v>
      </c>
      <c r="B145" s="43" t="s">
        <v>156</v>
      </c>
      <c r="C145" s="43" t="s">
        <v>535</v>
      </c>
      <c r="D145" s="43" t="s">
        <v>1356</v>
      </c>
      <c r="E145" s="67" t="s">
        <v>1680</v>
      </c>
    </row>
    <row r="146" spans="1:5">
      <c r="A146" s="66" t="s">
        <v>1643</v>
      </c>
      <c r="B146" s="43" t="s">
        <v>156</v>
      </c>
      <c r="C146" s="43" t="s">
        <v>185</v>
      </c>
      <c r="D146" s="43" t="s">
        <v>1681</v>
      </c>
      <c r="E146" s="67" t="s">
        <v>1682</v>
      </c>
    </row>
    <row r="147" spans="1:5">
      <c r="A147" s="66" t="s">
        <v>1582</v>
      </c>
      <c r="B147" s="43" t="s">
        <v>156</v>
      </c>
      <c r="C147" s="43" t="s">
        <v>172</v>
      </c>
      <c r="D147" s="43" t="s">
        <v>1683</v>
      </c>
      <c r="E147" s="67" t="s">
        <v>1684</v>
      </c>
    </row>
    <row r="148" spans="1:5">
      <c r="A148" s="66" t="s">
        <v>383</v>
      </c>
      <c r="B148" s="43" t="s">
        <v>156</v>
      </c>
      <c r="C148" s="43" t="s">
        <v>167</v>
      </c>
      <c r="D148" s="43" t="s">
        <v>1685</v>
      </c>
      <c r="E148" s="67" t="s">
        <v>1686</v>
      </c>
    </row>
    <row r="149" spans="1:5">
      <c r="A149" s="66" t="s">
        <v>1560</v>
      </c>
      <c r="B149" s="43" t="s">
        <v>156</v>
      </c>
      <c r="C149" s="43" t="s">
        <v>170</v>
      </c>
      <c r="D149" s="43" t="s">
        <v>1687</v>
      </c>
      <c r="E149" s="67" t="s">
        <v>1688</v>
      </c>
    </row>
    <row r="150" spans="1:5">
      <c r="A150" s="66" t="s">
        <v>1635</v>
      </c>
      <c r="B150" s="43" t="s">
        <v>156</v>
      </c>
      <c r="C150" s="43" t="s">
        <v>160</v>
      </c>
      <c r="D150" s="43" t="s">
        <v>1685</v>
      </c>
      <c r="E150" s="67" t="s">
        <v>1689</v>
      </c>
    </row>
    <row r="151" spans="1:5">
      <c r="A151" s="66" t="s">
        <v>1553</v>
      </c>
      <c r="B151" s="43" t="s">
        <v>156</v>
      </c>
      <c r="C151" s="43" t="s">
        <v>164</v>
      </c>
      <c r="D151" s="43" t="s">
        <v>1690</v>
      </c>
      <c r="E151" s="67" t="s">
        <v>1691</v>
      </c>
    </row>
    <row r="152" spans="1:5">
      <c r="A152" s="66" t="s">
        <v>310</v>
      </c>
      <c r="B152" s="43" t="s">
        <v>156</v>
      </c>
      <c r="C152" s="43" t="s">
        <v>172</v>
      </c>
      <c r="D152" s="43" t="s">
        <v>1692</v>
      </c>
      <c r="E152" s="67" t="s">
        <v>1693</v>
      </c>
    </row>
    <row r="153" spans="1:5">
      <c r="A153" s="66" t="s">
        <v>314</v>
      </c>
      <c r="B153" s="43" t="s">
        <v>156</v>
      </c>
      <c r="C153" s="43" t="s">
        <v>172</v>
      </c>
      <c r="D153" s="43" t="s">
        <v>1694</v>
      </c>
      <c r="E153" s="67" t="s">
        <v>1695</v>
      </c>
    </row>
    <row r="154" spans="1:5">
      <c r="A154" s="66" t="s">
        <v>1578</v>
      </c>
      <c r="B154" s="43" t="s">
        <v>156</v>
      </c>
      <c r="C154" s="43" t="s">
        <v>172</v>
      </c>
      <c r="D154" s="43" t="s">
        <v>1694</v>
      </c>
      <c r="E154" s="67" t="s">
        <v>1696</v>
      </c>
    </row>
    <row r="155" spans="1:5">
      <c r="A155" s="66" t="s">
        <v>1555</v>
      </c>
      <c r="B155" s="43" t="s">
        <v>156</v>
      </c>
      <c r="C155" s="43" t="s">
        <v>170</v>
      </c>
      <c r="D155" s="43" t="s">
        <v>1073</v>
      </c>
      <c r="E155" s="67" t="s">
        <v>1697</v>
      </c>
    </row>
    <row r="157" ht="13.8" spans="1:2">
      <c r="A157" s="63" t="s">
        <v>178</v>
      </c>
      <c r="B157" s="64"/>
    </row>
    <row r="158" ht="13.8" spans="1:5">
      <c r="A158" s="65" t="s">
        <v>1</v>
      </c>
      <c r="B158" s="65" t="s">
        <v>157</v>
      </c>
      <c r="C158" s="65" t="s">
        <v>158</v>
      </c>
      <c r="D158" s="65" t="s">
        <v>7</v>
      </c>
      <c r="E158" s="65" t="s">
        <v>159</v>
      </c>
    </row>
    <row r="159" spans="1:5">
      <c r="A159" s="66" t="s">
        <v>1528</v>
      </c>
      <c r="B159" s="43" t="s">
        <v>1000</v>
      </c>
      <c r="C159" s="43" t="s">
        <v>446</v>
      </c>
      <c r="D159" s="43" t="s">
        <v>1660</v>
      </c>
      <c r="E159" s="67" t="s">
        <v>1698</v>
      </c>
    </row>
    <row r="160" spans="1:5">
      <c r="A160" s="66" t="s">
        <v>1544</v>
      </c>
      <c r="B160" s="43" t="s">
        <v>181</v>
      </c>
      <c r="C160" s="43" t="s">
        <v>456</v>
      </c>
      <c r="D160" s="43" t="s">
        <v>1699</v>
      </c>
      <c r="E160" s="67" t="s">
        <v>1700</v>
      </c>
    </row>
    <row r="161" spans="1:5">
      <c r="A161" s="66" t="s">
        <v>1589</v>
      </c>
      <c r="B161" s="43" t="s">
        <v>455</v>
      </c>
      <c r="C161" s="43" t="s">
        <v>172</v>
      </c>
      <c r="D161" s="43" t="s">
        <v>1455</v>
      </c>
      <c r="E161" s="67" t="s">
        <v>1701</v>
      </c>
    </row>
    <row r="162" spans="1:5">
      <c r="A162" s="66" t="s">
        <v>1562</v>
      </c>
      <c r="B162" s="43" t="s">
        <v>187</v>
      </c>
      <c r="C162" s="43" t="s">
        <v>170</v>
      </c>
      <c r="D162" s="43" t="s">
        <v>1702</v>
      </c>
      <c r="E162" s="67" t="s">
        <v>1703</v>
      </c>
    </row>
    <row r="163" spans="1:5">
      <c r="A163" s="66" t="s">
        <v>1610</v>
      </c>
      <c r="B163" s="43" t="s">
        <v>187</v>
      </c>
      <c r="C163" s="43" t="s">
        <v>163</v>
      </c>
      <c r="D163" s="43" t="s">
        <v>1687</v>
      </c>
      <c r="E163" s="67" t="s">
        <v>1704</v>
      </c>
    </row>
    <row r="164" spans="1:5">
      <c r="A164" s="66" t="s">
        <v>1603</v>
      </c>
      <c r="B164" s="43" t="s">
        <v>460</v>
      </c>
      <c r="C164" s="43" t="s">
        <v>163</v>
      </c>
      <c r="D164" s="43" t="s">
        <v>1459</v>
      </c>
      <c r="E164" s="67" t="s">
        <v>1705</v>
      </c>
    </row>
    <row r="165" spans="1:5">
      <c r="A165" s="66" t="s">
        <v>1591</v>
      </c>
      <c r="B165" s="43" t="s">
        <v>455</v>
      </c>
      <c r="C165" s="43" t="s">
        <v>172</v>
      </c>
      <c r="D165" s="43" t="s">
        <v>1706</v>
      </c>
      <c r="E165" s="67" t="s">
        <v>1707</v>
      </c>
    </row>
    <row r="166" spans="1:5">
      <c r="A166" s="66" t="s">
        <v>1587</v>
      </c>
      <c r="B166" s="43" t="s">
        <v>179</v>
      </c>
      <c r="C166" s="43" t="s">
        <v>172</v>
      </c>
      <c r="D166" s="43" t="s">
        <v>1687</v>
      </c>
      <c r="E166" s="67" t="s">
        <v>1708</v>
      </c>
    </row>
    <row r="167" spans="1:5">
      <c r="A167" s="66" t="s">
        <v>1584</v>
      </c>
      <c r="B167" s="43" t="s">
        <v>460</v>
      </c>
      <c r="C167" s="43" t="s">
        <v>172</v>
      </c>
      <c r="D167" s="43" t="s">
        <v>1709</v>
      </c>
      <c r="E167" s="67" t="s">
        <v>1710</v>
      </c>
    </row>
    <row r="168" spans="1:5">
      <c r="A168" s="66" t="s">
        <v>1629</v>
      </c>
      <c r="B168" s="43" t="s">
        <v>181</v>
      </c>
      <c r="C168" s="43" t="s">
        <v>167</v>
      </c>
      <c r="D168" s="43" t="s">
        <v>1455</v>
      </c>
      <c r="E168" s="67" t="s">
        <v>1711</v>
      </c>
    </row>
    <row r="169" spans="1:5">
      <c r="A169" s="66" t="s">
        <v>1607</v>
      </c>
      <c r="B169" s="43" t="s">
        <v>179</v>
      </c>
      <c r="C169" s="43" t="s">
        <v>163</v>
      </c>
      <c r="D169" s="43" t="s">
        <v>1712</v>
      </c>
      <c r="E169" s="67" t="s">
        <v>1713</v>
      </c>
    </row>
    <row r="170" spans="1:5">
      <c r="A170" s="66" t="s">
        <v>95</v>
      </c>
      <c r="B170" s="43" t="s">
        <v>1003</v>
      </c>
      <c r="C170" s="43" t="s">
        <v>163</v>
      </c>
      <c r="D170" s="43" t="s">
        <v>1570</v>
      </c>
      <c r="E170" s="67" t="s">
        <v>1714</v>
      </c>
    </row>
    <row r="171" spans="1:5">
      <c r="A171" s="66" t="s">
        <v>1624</v>
      </c>
      <c r="B171" s="43" t="s">
        <v>460</v>
      </c>
      <c r="C171" s="43" t="s">
        <v>167</v>
      </c>
      <c r="D171" s="43" t="s">
        <v>1715</v>
      </c>
      <c r="E171" s="67" t="s">
        <v>1716</v>
      </c>
    </row>
  </sheetData>
  <sheetProtection selectLockedCells="1" selectUnlockedCells="1"/>
  <mergeCells count="27">
    <mergeCell ref="F3:I3"/>
    <mergeCell ref="J3:M3"/>
    <mergeCell ref="N3:Q3"/>
    <mergeCell ref="A5:S5"/>
    <mergeCell ref="A8:S8"/>
    <mergeCell ref="A12:S12"/>
    <mergeCell ref="A15:S15"/>
    <mergeCell ref="A19:S19"/>
    <mergeCell ref="A22:S22"/>
    <mergeCell ref="A25:S25"/>
    <mergeCell ref="A30:S30"/>
    <mergeCell ref="A39:S39"/>
    <mergeCell ref="A44:S44"/>
    <mergeCell ref="A49:S49"/>
    <mergeCell ref="A62:S62"/>
    <mergeCell ref="A72:S72"/>
    <mergeCell ref="A82:S82"/>
    <mergeCell ref="A89:S89"/>
    <mergeCell ref="A3:A4"/>
    <mergeCell ref="B3:B4"/>
    <mergeCell ref="C3:C4"/>
    <mergeCell ref="D3:D4"/>
    <mergeCell ref="E3:E4"/>
    <mergeCell ref="R3:R4"/>
    <mergeCell ref="S3:S4"/>
    <mergeCell ref="T3:T4"/>
    <mergeCell ref="A1:T2"/>
  </mergeCells>
  <pageMargins left="0.75" right="0.75" top="0.979861111111111" bottom="0.979861111111111" header="0.509722222222222" footer="0.509722222222222"/>
  <pageSetup paperSize="9" fitToWidth="0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82"/>
  <sheetViews>
    <sheetView tabSelected="1" workbookViewId="0">
      <selection activeCell="O23" sqref="O23"/>
    </sheetView>
  </sheetViews>
  <sheetFormatPr defaultColWidth="8.88888888888889" defaultRowHeight="13.2"/>
  <cols>
    <col min="1" max="1" width="28.5555555555556" style="3"/>
    <col min="2" max="2" width="26.5555555555556" style="2"/>
    <col min="3" max="3" width="7.55555555555556" style="2"/>
    <col min="4" max="4" width="6.55555555555556" style="2"/>
    <col min="5" max="5" width="17" style="4"/>
    <col min="6" max="12" width="5.55555555555556" style="2"/>
    <col min="13" max="13" width="4.55555555555556" style="2"/>
    <col min="14" max="17" width="5.55555555555556" style="2"/>
    <col min="18" max="18" width="6.33333333333333" style="3"/>
    <col min="19" max="19" width="8.55555555555556" style="2"/>
    <col min="20" max="20" width="7.11111111111111" style="4"/>
    <col min="21" max="16384" width="9.11111111111111" style="5"/>
  </cols>
  <sheetData>
    <row r="1" ht="15" customHeight="1" spans="1:20">
      <c r="A1" s="6" t="s">
        <v>1717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ht="53.95" customHeight="1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12.75" customHeight="1" spans="1:20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1280</v>
      </c>
      <c r="G3" s="10"/>
      <c r="H3" s="10"/>
      <c r="I3" s="10"/>
      <c r="J3" s="10" t="s">
        <v>6</v>
      </c>
      <c r="K3" s="10"/>
      <c r="L3" s="10"/>
      <c r="M3" s="10"/>
      <c r="N3" s="10" t="s">
        <v>190</v>
      </c>
      <c r="O3" s="10"/>
      <c r="P3" s="10"/>
      <c r="Q3" s="10"/>
      <c r="R3" s="32" t="s">
        <v>7</v>
      </c>
      <c r="S3" s="9" t="s">
        <v>8</v>
      </c>
      <c r="T3" s="33" t="s">
        <v>9</v>
      </c>
    </row>
    <row r="4" s="1" customFormat="1" ht="23.25" customHeight="1" spans="1:20">
      <c r="A4" s="7"/>
      <c r="B4" s="8"/>
      <c r="C4" s="8"/>
      <c r="D4" s="8"/>
      <c r="E4" s="8"/>
      <c r="F4" s="11">
        <v>1</v>
      </c>
      <c r="G4" s="12">
        <v>2</v>
      </c>
      <c r="H4" s="12">
        <v>3</v>
      </c>
      <c r="I4" s="31" t="s">
        <v>10</v>
      </c>
      <c r="J4" s="11">
        <v>1</v>
      </c>
      <c r="K4" s="12">
        <v>2</v>
      </c>
      <c r="L4" s="12">
        <v>3</v>
      </c>
      <c r="M4" s="31" t="s">
        <v>10</v>
      </c>
      <c r="N4" s="11">
        <v>1</v>
      </c>
      <c r="O4" s="12">
        <v>2</v>
      </c>
      <c r="P4" s="12">
        <v>3</v>
      </c>
      <c r="Q4" s="31" t="s">
        <v>10</v>
      </c>
      <c r="R4" s="32"/>
      <c r="S4" s="9"/>
      <c r="T4" s="33"/>
    </row>
    <row r="5" s="2" customFormat="1" ht="15.6" spans="1:20">
      <c r="A5" s="13" t="s">
        <v>191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4"/>
    </row>
    <row r="6" s="2" customFormat="1" spans="1:20">
      <c r="A6" s="14" t="s">
        <v>547</v>
      </c>
      <c r="B6" s="15" t="s">
        <v>548</v>
      </c>
      <c r="C6" s="15" t="s">
        <v>194</v>
      </c>
      <c r="D6" s="15" t="str">
        <f ca="1">"1,0469"</f>
        <v>1,0469</v>
      </c>
      <c r="E6" s="16" t="s">
        <v>32</v>
      </c>
      <c r="F6" s="17" t="s">
        <v>343</v>
      </c>
      <c r="G6" s="15" t="s">
        <v>213</v>
      </c>
      <c r="H6" s="17" t="s">
        <v>770</v>
      </c>
      <c r="I6" s="17"/>
      <c r="J6" s="15" t="s">
        <v>244</v>
      </c>
      <c r="K6" s="15" t="s">
        <v>1718</v>
      </c>
      <c r="L6" s="17" t="s">
        <v>16</v>
      </c>
      <c r="M6" s="17"/>
      <c r="N6" s="15" t="s">
        <v>202</v>
      </c>
      <c r="O6" s="15" t="s">
        <v>217</v>
      </c>
      <c r="P6" s="15" t="s">
        <v>218</v>
      </c>
      <c r="Q6" s="17" t="s">
        <v>1719</v>
      </c>
      <c r="R6" s="14">
        <v>422.5</v>
      </c>
      <c r="S6" s="15" t="str">
        <f ca="1">"442,3153"</f>
        <v>442,3153</v>
      </c>
      <c r="T6" s="16"/>
    </row>
    <row r="7" s="2" customFormat="1" spans="1:20">
      <c r="A7" s="3"/>
      <c r="E7" s="4"/>
      <c r="R7" s="3"/>
      <c r="T7" s="4"/>
    </row>
    <row r="8" ht="15.6" spans="1:19">
      <c r="A8" s="18" t="s">
        <v>520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20">
      <c r="A9" s="14" t="s">
        <v>1720</v>
      </c>
      <c r="B9" s="15" t="s">
        <v>1721</v>
      </c>
      <c r="C9" s="15" t="s">
        <v>1722</v>
      </c>
      <c r="D9" s="15" t="str">
        <f ca="1">"1,0120"</f>
        <v>1,0120</v>
      </c>
      <c r="E9" s="16" t="s">
        <v>598</v>
      </c>
      <c r="F9" s="15" t="s">
        <v>678</v>
      </c>
      <c r="G9" s="15" t="s">
        <v>27</v>
      </c>
      <c r="H9" s="15" t="s">
        <v>141</v>
      </c>
      <c r="I9" s="17"/>
      <c r="J9" s="15" t="s">
        <v>1505</v>
      </c>
      <c r="K9" s="15" t="s">
        <v>99</v>
      </c>
      <c r="L9" s="15" t="s">
        <v>563</v>
      </c>
      <c r="M9" s="17"/>
      <c r="N9" s="17" t="s">
        <v>273</v>
      </c>
      <c r="O9" s="15" t="s">
        <v>233</v>
      </c>
      <c r="P9" s="15" t="s">
        <v>219</v>
      </c>
      <c r="Q9" s="17"/>
      <c r="R9" s="14">
        <v>460</v>
      </c>
      <c r="S9" s="15" t="str">
        <f ca="1">"465,5200"</f>
        <v>465,5200</v>
      </c>
      <c r="T9" s="16"/>
    </row>
    <row r="11" ht="15.6" spans="1:19">
      <c r="A11" s="18" t="s">
        <v>197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20">
      <c r="A12" s="14" t="s">
        <v>1723</v>
      </c>
      <c r="B12" s="15" t="s">
        <v>1724</v>
      </c>
      <c r="C12" s="15" t="s">
        <v>570</v>
      </c>
      <c r="D12" s="15" t="str">
        <f ca="1">"0,7997"</f>
        <v>0,7997</v>
      </c>
      <c r="E12" s="16" t="s">
        <v>49</v>
      </c>
      <c r="F12" s="17" t="s">
        <v>1725</v>
      </c>
      <c r="G12" s="15" t="s">
        <v>575</v>
      </c>
      <c r="H12" s="15" t="s">
        <v>545</v>
      </c>
      <c r="I12" s="17"/>
      <c r="J12" s="15" t="s">
        <v>1726</v>
      </c>
      <c r="K12" s="15" t="s">
        <v>1507</v>
      </c>
      <c r="L12" s="17" t="s">
        <v>612</v>
      </c>
      <c r="M12" s="17"/>
      <c r="N12" s="15" t="s">
        <v>1725</v>
      </c>
      <c r="O12" s="15" t="s">
        <v>545</v>
      </c>
      <c r="P12" s="15" t="s">
        <v>562</v>
      </c>
      <c r="Q12" s="17"/>
      <c r="R12" s="14">
        <v>195</v>
      </c>
      <c r="S12" s="15" t="str">
        <f ca="1">"155,9498"</f>
        <v>155,9498</v>
      </c>
      <c r="T12" s="16"/>
    </row>
    <row r="14" ht="15.6" spans="1:19">
      <c r="A14" s="18" t="s">
        <v>11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20">
      <c r="A15" s="19" t="s">
        <v>1727</v>
      </c>
      <c r="B15" s="20" t="s">
        <v>1728</v>
      </c>
      <c r="C15" s="20" t="s">
        <v>1729</v>
      </c>
      <c r="D15" s="20" t="str">
        <f ca="1">"0,8889"</f>
        <v>0,8889</v>
      </c>
      <c r="E15" s="21" t="s">
        <v>49</v>
      </c>
      <c r="F15" s="20" t="s">
        <v>142</v>
      </c>
      <c r="G15" s="20" t="s">
        <v>141</v>
      </c>
      <c r="H15" s="22" t="s">
        <v>28</v>
      </c>
      <c r="I15" s="22"/>
      <c r="J15" s="20" t="s">
        <v>1509</v>
      </c>
      <c r="K15" s="20" t="s">
        <v>245</v>
      </c>
      <c r="L15" s="22" t="s">
        <v>519</v>
      </c>
      <c r="M15" s="22"/>
      <c r="N15" s="20" t="s">
        <v>754</v>
      </c>
      <c r="O15" s="20" t="s">
        <v>44</v>
      </c>
      <c r="P15" s="22" t="s">
        <v>227</v>
      </c>
      <c r="Q15" s="22"/>
      <c r="R15" s="19">
        <v>500</v>
      </c>
      <c r="S15" s="20" t="str">
        <f ca="1">"444,4750"</f>
        <v>444,4750</v>
      </c>
      <c r="T15" s="21"/>
    </row>
    <row r="16" spans="1:20">
      <c r="A16" s="23" t="s">
        <v>1730</v>
      </c>
      <c r="B16" s="24" t="s">
        <v>1731</v>
      </c>
      <c r="C16" s="24" t="s">
        <v>1732</v>
      </c>
      <c r="D16" s="24" t="str">
        <f ca="1">"0,8407"</f>
        <v>0,8407</v>
      </c>
      <c r="E16" s="25" t="s">
        <v>32</v>
      </c>
      <c r="F16" s="24" t="s">
        <v>207</v>
      </c>
      <c r="G16" s="24" t="s">
        <v>141</v>
      </c>
      <c r="H16" s="26" t="s">
        <v>28</v>
      </c>
      <c r="I16" s="26"/>
      <c r="J16" s="24" t="s">
        <v>605</v>
      </c>
      <c r="K16" s="26" t="s">
        <v>268</v>
      </c>
      <c r="L16" s="26" t="s">
        <v>268</v>
      </c>
      <c r="M16" s="26"/>
      <c r="N16" s="24" t="s">
        <v>140</v>
      </c>
      <c r="O16" s="24" t="s">
        <v>732</v>
      </c>
      <c r="P16" s="26" t="s">
        <v>28</v>
      </c>
      <c r="Q16" s="26"/>
      <c r="R16" s="23" t="s">
        <v>1733</v>
      </c>
      <c r="S16" s="24" t="s">
        <v>1734</v>
      </c>
      <c r="T16" s="25"/>
    </row>
    <row r="18" ht="15.6" spans="1:19">
      <c r="A18" s="18" t="s">
        <v>520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20">
      <c r="A19" s="14" t="s">
        <v>1735</v>
      </c>
      <c r="B19" s="15" t="s">
        <v>1736</v>
      </c>
      <c r="C19" s="15" t="s">
        <v>1737</v>
      </c>
      <c r="D19" s="15" t="str">
        <f ca="1">"0,8568"</f>
        <v>0,8568</v>
      </c>
      <c r="E19" s="16" t="s">
        <v>1032</v>
      </c>
      <c r="F19" s="15" t="s">
        <v>605</v>
      </c>
      <c r="G19" s="15" t="s">
        <v>805</v>
      </c>
      <c r="H19" s="17" t="s">
        <v>147</v>
      </c>
      <c r="I19" s="17"/>
      <c r="J19" s="15" t="s">
        <v>544</v>
      </c>
      <c r="K19" s="15" t="s">
        <v>562</v>
      </c>
      <c r="L19" s="17"/>
      <c r="M19" s="17"/>
      <c r="N19" s="17" t="s">
        <v>207</v>
      </c>
      <c r="O19" s="15" t="s">
        <v>207</v>
      </c>
      <c r="P19" s="17" t="s">
        <v>141</v>
      </c>
      <c r="Q19" s="17"/>
      <c r="R19" s="14">
        <v>392.5</v>
      </c>
      <c r="S19" s="15" t="str">
        <f ca="1">"336,2744"</f>
        <v>336,2744</v>
      </c>
      <c r="T19" s="16"/>
    </row>
    <row r="21" ht="15.6" spans="1:19">
      <c r="A21" s="18" t="s">
        <v>197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20">
      <c r="A22" s="14" t="s">
        <v>254</v>
      </c>
      <c r="B22" s="15" t="s">
        <v>255</v>
      </c>
      <c r="C22" s="15" t="s">
        <v>1527</v>
      </c>
      <c r="D22" s="15" t="str">
        <f ca="1">"0,7484"</f>
        <v>0,7484</v>
      </c>
      <c r="E22" s="16" t="s">
        <v>256</v>
      </c>
      <c r="F22" s="15" t="s">
        <v>28</v>
      </c>
      <c r="G22" s="17" t="s">
        <v>252</v>
      </c>
      <c r="H22" s="15" t="s">
        <v>252</v>
      </c>
      <c r="I22" s="17"/>
      <c r="J22" s="17" t="s">
        <v>1738</v>
      </c>
      <c r="K22" s="17" t="s">
        <v>1738</v>
      </c>
      <c r="L22" s="17" t="s">
        <v>1738</v>
      </c>
      <c r="M22" s="17"/>
      <c r="N22" s="17" t="s">
        <v>437</v>
      </c>
      <c r="O22" s="17"/>
      <c r="P22" s="17"/>
      <c r="Q22" s="17"/>
      <c r="R22" s="14">
        <v>0</v>
      </c>
      <c r="S22" s="15" t="str">
        <f ca="1">"0,0000"</f>
        <v>0,0000</v>
      </c>
      <c r="T22" s="16"/>
    </row>
    <row r="24" ht="15.6" spans="1:19">
      <c r="A24" s="18" t="s">
        <v>11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20">
      <c r="A25" s="19" t="s">
        <v>246</v>
      </c>
      <c r="B25" s="20" t="s">
        <v>247</v>
      </c>
      <c r="C25" s="20" t="s">
        <v>646</v>
      </c>
      <c r="D25" s="20" t="str">
        <f ca="1">"0,6906"</f>
        <v>0,6906</v>
      </c>
      <c r="E25" s="21" t="s">
        <v>249</v>
      </c>
      <c r="F25" s="20" t="s">
        <v>88</v>
      </c>
      <c r="G25" s="22" t="s">
        <v>80</v>
      </c>
      <c r="H25" s="22" t="s">
        <v>80</v>
      </c>
      <c r="I25" s="22"/>
      <c r="J25" s="20" t="s">
        <v>147</v>
      </c>
      <c r="K25" s="20" t="s">
        <v>207</v>
      </c>
      <c r="L25" s="22" t="s">
        <v>1719</v>
      </c>
      <c r="M25" s="22"/>
      <c r="N25" s="20" t="s">
        <v>1606</v>
      </c>
      <c r="O25" s="20" t="s">
        <v>1739</v>
      </c>
      <c r="P25" s="22" t="s">
        <v>45</v>
      </c>
      <c r="Q25" s="22"/>
      <c r="R25" s="19" t="s">
        <v>1740</v>
      </c>
      <c r="S25" s="20" t="str">
        <f ca="1">"298,6845"</f>
        <v>298,6845</v>
      </c>
      <c r="T25" s="21"/>
    </row>
    <row r="26" spans="1:20">
      <c r="A26" s="27" t="s">
        <v>652</v>
      </c>
      <c r="B26" s="28" t="s">
        <v>653</v>
      </c>
      <c r="C26" s="28" t="s">
        <v>1741</v>
      </c>
      <c r="D26" s="28" t="str">
        <f ca="1">"0,6940"</f>
        <v>0,6940</v>
      </c>
      <c r="E26" s="29" t="s">
        <v>21</v>
      </c>
      <c r="F26" s="28" t="s">
        <v>28</v>
      </c>
      <c r="G26" s="30" t="s">
        <v>252</v>
      </c>
      <c r="H26" s="28" t="s">
        <v>252</v>
      </c>
      <c r="I26" s="30"/>
      <c r="J26" s="28" t="s">
        <v>343</v>
      </c>
      <c r="K26" s="28" t="s">
        <v>147</v>
      </c>
      <c r="L26" s="30" t="s">
        <v>770</v>
      </c>
      <c r="M26" s="30"/>
      <c r="N26" s="28" t="s">
        <v>754</v>
      </c>
      <c r="O26" s="30" t="s">
        <v>252</v>
      </c>
      <c r="P26" s="30" t="s">
        <v>50</v>
      </c>
      <c r="Q26" s="30"/>
      <c r="R26" s="27" t="s">
        <v>1742</v>
      </c>
      <c r="S26" s="28" t="str">
        <f ca="1">"263,7200"</f>
        <v>263,7200</v>
      </c>
      <c r="T26" s="29"/>
    </row>
    <row r="27" spans="1:20">
      <c r="A27" s="27" t="s">
        <v>1743</v>
      </c>
      <c r="B27" s="28" t="s">
        <v>1744</v>
      </c>
      <c r="C27" s="28" t="s">
        <v>1283</v>
      </c>
      <c r="D27" s="28" t="str">
        <f ca="1">"0,6947"</f>
        <v>0,6947</v>
      </c>
      <c r="E27" s="29" t="s">
        <v>686</v>
      </c>
      <c r="F27" s="28" t="s">
        <v>28</v>
      </c>
      <c r="G27" s="30" t="s">
        <v>44</v>
      </c>
      <c r="H27" s="30" t="s">
        <v>44</v>
      </c>
      <c r="I27" s="30"/>
      <c r="J27" s="28" t="s">
        <v>605</v>
      </c>
      <c r="K27" s="30" t="s">
        <v>123</v>
      </c>
      <c r="L27" s="30" t="s">
        <v>1039</v>
      </c>
      <c r="M27" s="30"/>
      <c r="N27" s="28" t="s">
        <v>290</v>
      </c>
      <c r="O27" s="28" t="s">
        <v>28</v>
      </c>
      <c r="P27" s="30" t="s">
        <v>44</v>
      </c>
      <c r="Q27" s="30"/>
      <c r="R27" s="27" t="s">
        <v>1745</v>
      </c>
      <c r="S27" s="28" t="str">
        <f ca="1">"138,9400"</f>
        <v>138,9400</v>
      </c>
      <c r="T27" s="29"/>
    </row>
    <row r="28" spans="1:20">
      <c r="A28" s="27" t="s">
        <v>1746</v>
      </c>
      <c r="B28" s="28" t="s">
        <v>258</v>
      </c>
      <c r="C28" s="28" t="s">
        <v>639</v>
      </c>
      <c r="D28" s="28" t="str">
        <f ca="1">"0,7113"</f>
        <v>0,7113</v>
      </c>
      <c r="E28" s="29" t="s">
        <v>1032</v>
      </c>
      <c r="F28" s="28" t="s">
        <v>207</v>
      </c>
      <c r="G28" s="28" t="s">
        <v>141</v>
      </c>
      <c r="H28" s="30"/>
      <c r="I28" s="30"/>
      <c r="J28" s="28" t="s">
        <v>202</v>
      </c>
      <c r="K28" s="28" t="s">
        <v>217</v>
      </c>
      <c r="L28" s="28" t="s">
        <v>770</v>
      </c>
      <c r="M28" s="30"/>
      <c r="N28" s="28" t="s">
        <v>147</v>
      </c>
      <c r="O28" s="28" t="s">
        <v>27</v>
      </c>
      <c r="P28" s="30"/>
      <c r="Q28" s="30"/>
      <c r="R28" s="27" t="s">
        <v>1747</v>
      </c>
      <c r="S28" s="28" t="str">
        <f ca="1">"382,3167"</f>
        <v>382,3167</v>
      </c>
      <c r="T28" s="29"/>
    </row>
    <row r="29" spans="1:20">
      <c r="A29" s="23" t="s">
        <v>1021</v>
      </c>
      <c r="B29" s="24" t="s">
        <v>1028</v>
      </c>
      <c r="C29" s="24" t="s">
        <v>248</v>
      </c>
      <c r="D29" s="24" t="str">
        <f ca="1">"0,8152"</f>
        <v>0,8152</v>
      </c>
      <c r="E29" s="25" t="s">
        <v>49</v>
      </c>
      <c r="F29" s="24" t="s">
        <v>1377</v>
      </c>
      <c r="G29" s="24" t="s">
        <v>605</v>
      </c>
      <c r="H29" s="24" t="s">
        <v>202</v>
      </c>
      <c r="I29" s="26"/>
      <c r="J29" s="24" t="s">
        <v>16</v>
      </c>
      <c r="K29" s="24" t="s">
        <v>591</v>
      </c>
      <c r="L29" s="26" t="s">
        <v>196</v>
      </c>
      <c r="M29" s="26"/>
      <c r="N29" s="24" t="s">
        <v>167</v>
      </c>
      <c r="O29" s="24" t="s">
        <v>528</v>
      </c>
      <c r="P29" s="24" t="s">
        <v>273</v>
      </c>
      <c r="Q29" s="26"/>
      <c r="R29" s="23">
        <v>420</v>
      </c>
      <c r="S29" s="24" t="str">
        <f ca="1">"342,4021"</f>
        <v>342,4021</v>
      </c>
      <c r="T29" s="25"/>
    </row>
    <row r="31" ht="15.6" spans="1:19">
      <c r="A31" s="18" t="s">
        <v>17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20">
      <c r="A32" s="19" t="s">
        <v>1748</v>
      </c>
      <c r="B32" s="20" t="s">
        <v>1749</v>
      </c>
      <c r="C32" s="20" t="s">
        <v>1161</v>
      </c>
      <c r="D32" s="20" t="str">
        <f ca="1">"0,6524"</f>
        <v>0,6524</v>
      </c>
      <c r="E32" s="21" t="s">
        <v>1750</v>
      </c>
      <c r="F32" s="20" t="s">
        <v>141</v>
      </c>
      <c r="G32" s="20" t="s">
        <v>28</v>
      </c>
      <c r="H32" s="20" t="s">
        <v>834</v>
      </c>
      <c r="I32" s="22"/>
      <c r="J32" s="20" t="s">
        <v>167</v>
      </c>
      <c r="K32" s="20" t="s">
        <v>201</v>
      </c>
      <c r="L32" s="20" t="s">
        <v>202</v>
      </c>
      <c r="M32" s="22"/>
      <c r="N32" s="20" t="s">
        <v>754</v>
      </c>
      <c r="O32" s="20" t="s">
        <v>264</v>
      </c>
      <c r="P32" s="20" t="s">
        <v>88</v>
      </c>
      <c r="Q32" s="22"/>
      <c r="R32" s="19">
        <v>572.5</v>
      </c>
      <c r="S32" s="20" t="str">
        <f ca="1">"373,4704"</f>
        <v>373,4704</v>
      </c>
      <c r="T32" s="21"/>
    </row>
    <row r="33" spans="1:20">
      <c r="A33" s="27" t="s">
        <v>1029</v>
      </c>
      <c r="B33" s="28" t="s">
        <v>1030</v>
      </c>
      <c r="C33" s="28" t="s">
        <v>282</v>
      </c>
      <c r="D33" s="28" t="str">
        <f ca="1" t="shared" ref="D33:D34" si="0">"0,6482"</f>
        <v>0,6482</v>
      </c>
      <c r="E33" s="29" t="s">
        <v>1032</v>
      </c>
      <c r="F33" s="28" t="s">
        <v>226</v>
      </c>
      <c r="G33" s="28" t="s">
        <v>342</v>
      </c>
      <c r="H33" s="28" t="s">
        <v>252</v>
      </c>
      <c r="I33" s="30"/>
      <c r="J33" s="28" t="s">
        <v>16</v>
      </c>
      <c r="K33" s="28" t="s">
        <v>195</v>
      </c>
      <c r="L33" s="28" t="s">
        <v>196</v>
      </c>
      <c r="M33" s="30"/>
      <c r="N33" s="28" t="s">
        <v>227</v>
      </c>
      <c r="O33" s="28" t="s">
        <v>88</v>
      </c>
      <c r="P33" s="28" t="s">
        <v>758</v>
      </c>
      <c r="Q33" s="30" t="s">
        <v>253</v>
      </c>
      <c r="R33" s="27">
        <v>572.5</v>
      </c>
      <c r="S33" s="28" t="str">
        <f ca="1">"371,0945"</f>
        <v>371,0945</v>
      </c>
      <c r="T33" s="29"/>
    </row>
    <row r="34" spans="1:20">
      <c r="A34" s="27" t="s">
        <v>1751</v>
      </c>
      <c r="B34" s="28" t="s">
        <v>1752</v>
      </c>
      <c r="C34" s="28" t="s">
        <v>282</v>
      </c>
      <c r="D34" s="28" t="str">
        <f ca="1" t="shared" si="0"/>
        <v>0,6482</v>
      </c>
      <c r="E34" s="29" t="s">
        <v>21</v>
      </c>
      <c r="F34" s="28" t="s">
        <v>141</v>
      </c>
      <c r="G34" s="30" t="s">
        <v>834</v>
      </c>
      <c r="H34" s="28" t="s">
        <v>834</v>
      </c>
      <c r="I34" s="30"/>
      <c r="J34" s="28" t="s">
        <v>167</v>
      </c>
      <c r="K34" s="28" t="s">
        <v>697</v>
      </c>
      <c r="L34" s="28" t="s">
        <v>201</v>
      </c>
      <c r="M34" s="30"/>
      <c r="N34" s="28" t="s">
        <v>727</v>
      </c>
      <c r="O34" s="28" t="s">
        <v>252</v>
      </c>
      <c r="P34" s="30" t="s">
        <v>50</v>
      </c>
      <c r="Q34" s="30"/>
      <c r="R34" s="27">
        <v>557.5</v>
      </c>
      <c r="S34" s="28" t="str">
        <f ca="1">"361,3715"</f>
        <v>361,3715</v>
      </c>
      <c r="T34" s="29"/>
    </row>
    <row r="35" spans="1:20">
      <c r="A35" s="27" t="s">
        <v>1753</v>
      </c>
      <c r="B35" s="28" t="s">
        <v>1754</v>
      </c>
      <c r="C35" s="28" t="s">
        <v>279</v>
      </c>
      <c r="D35" s="28" t="str">
        <f ca="1">"0,6446"</f>
        <v>0,6446</v>
      </c>
      <c r="E35" s="29" t="s">
        <v>49</v>
      </c>
      <c r="F35" s="28" t="s">
        <v>1755</v>
      </c>
      <c r="G35" s="30" t="s">
        <v>62</v>
      </c>
      <c r="H35" s="30" t="s">
        <v>62</v>
      </c>
      <c r="I35" s="30"/>
      <c r="J35" s="28" t="s">
        <v>207</v>
      </c>
      <c r="K35" s="28" t="s">
        <v>140</v>
      </c>
      <c r="L35" s="30" t="s">
        <v>27</v>
      </c>
      <c r="M35" s="30"/>
      <c r="N35" s="28" t="s">
        <v>318</v>
      </c>
      <c r="O35" s="28" t="s">
        <v>62</v>
      </c>
      <c r="P35" s="28" t="s">
        <v>129</v>
      </c>
      <c r="Q35" s="30"/>
      <c r="R35" s="27" t="s">
        <v>1756</v>
      </c>
      <c r="S35" s="28" t="s">
        <v>1757</v>
      </c>
      <c r="T35" s="29"/>
    </row>
    <row r="36" spans="1:20">
      <c r="A36" s="27" t="s">
        <v>1758</v>
      </c>
      <c r="B36" s="28" t="s">
        <v>1759</v>
      </c>
      <c r="C36" s="28" t="s">
        <v>1760</v>
      </c>
      <c r="D36" s="28" t="str">
        <f ca="1">"0,6477"</f>
        <v>0,6477</v>
      </c>
      <c r="E36" s="29" t="s">
        <v>543</v>
      </c>
      <c r="F36" s="28" t="s">
        <v>142</v>
      </c>
      <c r="G36" s="30" t="s">
        <v>141</v>
      </c>
      <c r="H36" s="28" t="s">
        <v>141</v>
      </c>
      <c r="I36" s="30"/>
      <c r="J36" s="28" t="s">
        <v>1176</v>
      </c>
      <c r="K36" s="28" t="s">
        <v>213</v>
      </c>
      <c r="L36" s="30" t="s">
        <v>217</v>
      </c>
      <c r="M36" s="30"/>
      <c r="N36" s="28" t="s">
        <v>40</v>
      </c>
      <c r="O36" s="28" t="s">
        <v>22</v>
      </c>
      <c r="P36" s="28" t="s">
        <v>23</v>
      </c>
      <c r="Q36" s="30"/>
      <c r="R36" s="27">
        <v>610</v>
      </c>
      <c r="S36" s="28" t="str">
        <f ca="1">"395,0665"</f>
        <v>395,0665</v>
      </c>
      <c r="T36" s="29"/>
    </row>
    <row r="37" spans="1:20">
      <c r="A37" s="27" t="s">
        <v>1761</v>
      </c>
      <c r="B37" s="28" t="s">
        <v>1762</v>
      </c>
      <c r="C37" s="28" t="s">
        <v>1763</v>
      </c>
      <c r="D37" s="28" t="str">
        <f ca="1">"0,6545"</f>
        <v>0,6545</v>
      </c>
      <c r="E37" s="29" t="s">
        <v>1764</v>
      </c>
      <c r="F37" s="30" t="s">
        <v>28</v>
      </c>
      <c r="G37" s="30" t="s">
        <v>28</v>
      </c>
      <c r="H37" s="28" t="s">
        <v>28</v>
      </c>
      <c r="I37" s="30"/>
      <c r="J37" s="28" t="s">
        <v>202</v>
      </c>
      <c r="K37" s="28" t="s">
        <v>528</v>
      </c>
      <c r="L37" s="30" t="s">
        <v>217</v>
      </c>
      <c r="M37" s="30"/>
      <c r="N37" s="28" t="s">
        <v>88</v>
      </c>
      <c r="O37" s="30" t="s">
        <v>51</v>
      </c>
      <c r="P37" s="30" t="s">
        <v>80</v>
      </c>
      <c r="Q37" s="30"/>
      <c r="R37" s="27">
        <v>577.5</v>
      </c>
      <c r="S37" s="28" t="str">
        <f ca="1">"377,9738"</f>
        <v>377,9738</v>
      </c>
      <c r="T37" s="29"/>
    </row>
    <row r="38" spans="1:20">
      <c r="A38" s="27" t="s">
        <v>1029</v>
      </c>
      <c r="B38" s="28" t="s">
        <v>1765</v>
      </c>
      <c r="C38" s="28" t="s">
        <v>282</v>
      </c>
      <c r="D38" s="28" t="str">
        <f ca="1">"0,6482"</f>
        <v>0,6482</v>
      </c>
      <c r="E38" s="29" t="s">
        <v>1032</v>
      </c>
      <c r="F38" s="28" t="s">
        <v>226</v>
      </c>
      <c r="G38" s="28" t="s">
        <v>342</v>
      </c>
      <c r="H38" s="28" t="s">
        <v>252</v>
      </c>
      <c r="I38" s="30"/>
      <c r="J38" s="28" t="s">
        <v>16</v>
      </c>
      <c r="K38" s="28" t="s">
        <v>195</v>
      </c>
      <c r="L38" s="28" t="s">
        <v>196</v>
      </c>
      <c r="M38" s="30"/>
      <c r="N38" s="28" t="s">
        <v>227</v>
      </c>
      <c r="O38" s="28" t="s">
        <v>88</v>
      </c>
      <c r="P38" s="28" t="s">
        <v>758</v>
      </c>
      <c r="Q38" s="30" t="s">
        <v>253</v>
      </c>
      <c r="R38" s="27">
        <v>572.5</v>
      </c>
      <c r="S38" s="28" t="str">
        <f ca="1">"371,0945"</f>
        <v>371,0945</v>
      </c>
      <c r="T38" s="29"/>
    </row>
    <row r="39" spans="1:20">
      <c r="A39" s="27" t="s">
        <v>1766</v>
      </c>
      <c r="B39" s="28" t="s">
        <v>1767</v>
      </c>
      <c r="C39" s="28" t="s">
        <v>1768</v>
      </c>
      <c r="D39" s="28" t="str">
        <f ca="1">"0,9119"</f>
        <v>0,9119</v>
      </c>
      <c r="E39" s="29" t="s">
        <v>15</v>
      </c>
      <c r="F39" s="28" t="s">
        <v>142</v>
      </c>
      <c r="G39" s="28" t="s">
        <v>141</v>
      </c>
      <c r="H39" s="28" t="s">
        <v>732</v>
      </c>
      <c r="I39" s="30"/>
      <c r="J39" s="28" t="s">
        <v>691</v>
      </c>
      <c r="K39" s="28" t="s">
        <v>605</v>
      </c>
      <c r="L39" s="30" t="s">
        <v>1299</v>
      </c>
      <c r="M39" s="30"/>
      <c r="N39" s="28" t="s">
        <v>1769</v>
      </c>
      <c r="O39" s="28" t="s">
        <v>228</v>
      </c>
      <c r="P39" s="30" t="s">
        <v>45</v>
      </c>
      <c r="Q39" s="30"/>
      <c r="R39" s="27">
        <v>532.5</v>
      </c>
      <c r="S39" s="28" t="str">
        <f ca="1">"485,6065"</f>
        <v>485,6065</v>
      </c>
      <c r="T39" s="29"/>
    </row>
    <row r="40" spans="1:20">
      <c r="A40" s="23" t="s">
        <v>1770</v>
      </c>
      <c r="B40" s="24" t="s">
        <v>1771</v>
      </c>
      <c r="C40" s="24" t="s">
        <v>1772</v>
      </c>
      <c r="D40" s="24" t="str">
        <f ca="1">"0,9695"</f>
        <v>0,9695</v>
      </c>
      <c r="E40" s="25" t="s">
        <v>49</v>
      </c>
      <c r="F40" s="24" t="s">
        <v>343</v>
      </c>
      <c r="G40" s="24" t="s">
        <v>147</v>
      </c>
      <c r="H40" s="24" t="s">
        <v>207</v>
      </c>
      <c r="I40" s="26"/>
      <c r="J40" s="24" t="s">
        <v>535</v>
      </c>
      <c r="K40" s="26" t="s">
        <v>575</v>
      </c>
      <c r="L40" s="26" t="s">
        <v>575</v>
      </c>
      <c r="M40" s="26"/>
      <c r="N40" s="24" t="s">
        <v>213</v>
      </c>
      <c r="O40" s="24" t="s">
        <v>207</v>
      </c>
      <c r="P40" s="26" t="s">
        <v>140</v>
      </c>
      <c r="Q40" s="26"/>
      <c r="R40" s="23">
        <v>340</v>
      </c>
      <c r="S40" s="24" t="str">
        <f ca="1">"329,6211"</f>
        <v>329,6211</v>
      </c>
      <c r="T40" s="25"/>
    </row>
    <row r="42" ht="15.6" spans="1:19">
      <c r="A42" s="18" t="s">
        <v>35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20">
      <c r="A43" s="19" t="s">
        <v>292</v>
      </c>
      <c r="B43" s="20" t="s">
        <v>293</v>
      </c>
      <c r="C43" s="20" t="s">
        <v>1773</v>
      </c>
      <c r="D43" s="20" t="str">
        <f ca="1">"0,6169"</f>
        <v>0,6169</v>
      </c>
      <c r="E43" s="21" t="s">
        <v>256</v>
      </c>
      <c r="F43" s="20" t="s">
        <v>360</v>
      </c>
      <c r="G43" s="20" t="s">
        <v>1401</v>
      </c>
      <c r="H43" s="20" t="s">
        <v>71</v>
      </c>
      <c r="I43" s="22"/>
      <c r="J43" s="20" t="s">
        <v>343</v>
      </c>
      <c r="K43" s="20" t="s">
        <v>217</v>
      </c>
      <c r="L43" s="20" t="s">
        <v>770</v>
      </c>
      <c r="M43" s="22"/>
      <c r="N43" s="20" t="s">
        <v>88</v>
      </c>
      <c r="O43" s="20" t="s">
        <v>52</v>
      </c>
      <c r="P43" s="20" t="s">
        <v>327</v>
      </c>
      <c r="Q43" s="22"/>
      <c r="R43" s="19">
        <v>725</v>
      </c>
      <c r="S43" s="20" t="str">
        <f ca="1">"447,2163"</f>
        <v>447,2163</v>
      </c>
      <c r="T43" s="21"/>
    </row>
    <row r="44" spans="1:20">
      <c r="A44" s="27" t="s">
        <v>1774</v>
      </c>
      <c r="B44" s="28" t="s">
        <v>1775</v>
      </c>
      <c r="C44" s="28" t="s">
        <v>38</v>
      </c>
      <c r="D44" s="28" t="str">
        <f ca="1">"0,6145"</f>
        <v>0,6145</v>
      </c>
      <c r="E44" s="29" t="s">
        <v>61</v>
      </c>
      <c r="F44" s="28" t="s">
        <v>394</v>
      </c>
      <c r="G44" s="28" t="s">
        <v>398</v>
      </c>
      <c r="H44" s="28" t="s">
        <v>64</v>
      </c>
      <c r="I44" s="30"/>
      <c r="J44" s="28" t="s">
        <v>207</v>
      </c>
      <c r="K44" s="28" t="s">
        <v>140</v>
      </c>
      <c r="L44" s="30" t="s">
        <v>27</v>
      </c>
      <c r="M44" s="30"/>
      <c r="N44" s="28" t="s">
        <v>84</v>
      </c>
      <c r="O44" s="28" t="s">
        <v>394</v>
      </c>
      <c r="P44" s="30" t="s">
        <v>313</v>
      </c>
      <c r="Q44" s="30"/>
      <c r="R44" s="27">
        <v>845</v>
      </c>
      <c r="S44" s="28" t="str">
        <f ca="1">"519,2947"</f>
        <v>519,2947</v>
      </c>
      <c r="T44" s="29"/>
    </row>
    <row r="45" spans="1:20">
      <c r="A45" s="27" t="s">
        <v>1109</v>
      </c>
      <c r="B45" s="28" t="s">
        <v>1110</v>
      </c>
      <c r="C45" s="28" t="s">
        <v>747</v>
      </c>
      <c r="D45" s="28" t="str">
        <f ca="1">"0,6184"</f>
        <v>0,6184</v>
      </c>
      <c r="E45" s="29" t="s">
        <v>1042</v>
      </c>
      <c r="F45" s="28" t="s">
        <v>28</v>
      </c>
      <c r="G45" s="30" t="s">
        <v>80</v>
      </c>
      <c r="H45" s="28" t="s">
        <v>23</v>
      </c>
      <c r="I45" s="30"/>
      <c r="J45" s="28" t="s">
        <v>142</v>
      </c>
      <c r="K45" s="30" t="s">
        <v>27</v>
      </c>
      <c r="L45" s="30" t="s">
        <v>27</v>
      </c>
      <c r="M45" s="30"/>
      <c r="N45" s="28" t="s">
        <v>84</v>
      </c>
      <c r="O45" s="30" t="s">
        <v>394</v>
      </c>
      <c r="P45" s="30" t="s">
        <v>394</v>
      </c>
      <c r="Q45" s="30"/>
      <c r="R45" s="27" t="s">
        <v>1776</v>
      </c>
      <c r="S45" s="28" t="s">
        <v>1777</v>
      </c>
      <c r="T45" s="29"/>
    </row>
    <row r="46" spans="1:20">
      <c r="A46" s="27" t="s">
        <v>1778</v>
      </c>
      <c r="B46" s="28" t="s">
        <v>1779</v>
      </c>
      <c r="C46" s="28" t="s">
        <v>1780</v>
      </c>
      <c r="D46" s="28" t="str">
        <f ca="1">"0,6165"</f>
        <v>0,6165</v>
      </c>
      <c r="E46" s="29" t="s">
        <v>61</v>
      </c>
      <c r="F46" s="28" t="s">
        <v>1432</v>
      </c>
      <c r="G46" s="30" t="s">
        <v>84</v>
      </c>
      <c r="H46" s="28" t="s">
        <v>84</v>
      </c>
      <c r="I46" s="30"/>
      <c r="J46" s="28" t="s">
        <v>343</v>
      </c>
      <c r="K46" s="30" t="s">
        <v>217</v>
      </c>
      <c r="L46" s="30" t="s">
        <v>217</v>
      </c>
      <c r="M46" s="30"/>
      <c r="N46" s="28" t="s">
        <v>40</v>
      </c>
      <c r="O46" s="28" t="s">
        <v>323</v>
      </c>
      <c r="P46" s="28" t="s">
        <v>1115</v>
      </c>
      <c r="Q46" s="30"/>
      <c r="R46" s="27" t="s">
        <v>1781</v>
      </c>
      <c r="S46" s="28" t="s">
        <v>1782</v>
      </c>
      <c r="T46" s="29"/>
    </row>
    <row r="47" spans="1:20">
      <c r="A47" s="27" t="s">
        <v>1783</v>
      </c>
      <c r="B47" s="28" t="s">
        <v>1057</v>
      </c>
      <c r="C47" s="28" t="s">
        <v>1557</v>
      </c>
      <c r="D47" s="28" t="str">
        <f ca="1">"0,6130"</f>
        <v>0,6130</v>
      </c>
      <c r="E47" s="29" t="s">
        <v>49</v>
      </c>
      <c r="F47" s="28" t="s">
        <v>347</v>
      </c>
      <c r="G47" s="30" t="s">
        <v>1401</v>
      </c>
      <c r="H47" s="30" t="s">
        <v>1401</v>
      </c>
      <c r="I47" s="30"/>
      <c r="J47" s="30" t="s">
        <v>754</v>
      </c>
      <c r="K47" s="28" t="s">
        <v>28</v>
      </c>
      <c r="L47" s="30" t="s">
        <v>834</v>
      </c>
      <c r="M47" s="30"/>
      <c r="N47" s="30" t="s">
        <v>88</v>
      </c>
      <c r="O47" s="28" t="s">
        <v>88</v>
      </c>
      <c r="P47" s="28" t="s">
        <v>51</v>
      </c>
      <c r="Q47" s="30"/>
      <c r="R47" s="27" t="s">
        <v>1784</v>
      </c>
      <c r="S47" s="28" t="s">
        <v>1785</v>
      </c>
      <c r="T47" s="29"/>
    </row>
    <row r="48" spans="1:20">
      <c r="A48" s="27" t="s">
        <v>324</v>
      </c>
      <c r="B48" s="28" t="s">
        <v>325</v>
      </c>
      <c r="C48" s="28" t="s">
        <v>302</v>
      </c>
      <c r="D48" s="28" t="str">
        <f ca="1">"0,6157"</f>
        <v>0,6157</v>
      </c>
      <c r="E48" s="29" t="s">
        <v>256</v>
      </c>
      <c r="F48" s="28" t="s">
        <v>33</v>
      </c>
      <c r="G48" s="30" t="s">
        <v>40</v>
      </c>
      <c r="H48" s="28" t="s">
        <v>22</v>
      </c>
      <c r="I48" s="30"/>
      <c r="J48" s="28" t="s">
        <v>202</v>
      </c>
      <c r="K48" s="28" t="s">
        <v>213</v>
      </c>
      <c r="L48" s="28" t="s">
        <v>770</v>
      </c>
      <c r="M48" s="30"/>
      <c r="N48" s="28" t="s">
        <v>437</v>
      </c>
      <c r="O48" s="30" t="s">
        <v>40</v>
      </c>
      <c r="P48" s="30" t="s">
        <v>40</v>
      </c>
      <c r="Q48" s="30"/>
      <c r="R48" s="27" t="s">
        <v>1786</v>
      </c>
      <c r="S48" s="28" t="s">
        <v>1787</v>
      </c>
      <c r="T48" s="29"/>
    </row>
    <row r="49" spans="1:20">
      <c r="A49" s="27" t="s">
        <v>1788</v>
      </c>
      <c r="B49" s="28" t="s">
        <v>1789</v>
      </c>
      <c r="C49" s="28" t="s">
        <v>731</v>
      </c>
      <c r="D49" s="28" t="str">
        <f ca="1">"0,6181"</f>
        <v>0,6181</v>
      </c>
      <c r="E49" s="29" t="s">
        <v>430</v>
      </c>
      <c r="F49" s="28" t="s">
        <v>921</v>
      </c>
      <c r="G49" s="28" t="s">
        <v>88</v>
      </c>
      <c r="H49" s="30" t="s">
        <v>33</v>
      </c>
      <c r="I49" s="30"/>
      <c r="J49" s="28" t="s">
        <v>202</v>
      </c>
      <c r="K49" s="28" t="s">
        <v>213</v>
      </c>
      <c r="L49" s="30" t="s">
        <v>529</v>
      </c>
      <c r="M49" s="30"/>
      <c r="N49" s="28" t="s">
        <v>754</v>
      </c>
      <c r="O49" s="28" t="s">
        <v>227</v>
      </c>
      <c r="P49" s="28" t="s">
        <v>264</v>
      </c>
      <c r="Q49" s="30"/>
      <c r="R49" s="27">
        <v>605</v>
      </c>
      <c r="S49" s="28" t="str">
        <f ca="1">"373,9505"</f>
        <v>373,9505</v>
      </c>
      <c r="T49" s="29"/>
    </row>
    <row r="50" spans="1:20">
      <c r="A50" s="27" t="s">
        <v>1790</v>
      </c>
      <c r="B50" s="28" t="s">
        <v>1791</v>
      </c>
      <c r="C50" s="28" t="s">
        <v>1792</v>
      </c>
      <c r="D50" s="28" t="str">
        <f ca="1">"0,6431"</f>
        <v>0,6431</v>
      </c>
      <c r="E50" s="29" t="s">
        <v>49</v>
      </c>
      <c r="F50" s="30" t="s">
        <v>33</v>
      </c>
      <c r="G50" s="30" t="s">
        <v>33</v>
      </c>
      <c r="H50" s="30" t="s">
        <v>33</v>
      </c>
      <c r="I50" s="30"/>
      <c r="J50" s="30" t="s">
        <v>605</v>
      </c>
      <c r="K50" s="30"/>
      <c r="L50" s="30"/>
      <c r="M50" s="30"/>
      <c r="N50" s="30"/>
      <c r="O50" s="30"/>
      <c r="P50" s="30"/>
      <c r="Q50" s="30"/>
      <c r="R50" s="27">
        <v>0</v>
      </c>
      <c r="S50" s="28" t="str">
        <f ca="1">"0,0000"</f>
        <v>0,0000</v>
      </c>
      <c r="T50" s="29"/>
    </row>
    <row r="51" spans="1:20">
      <c r="A51" s="27" t="s">
        <v>1793</v>
      </c>
      <c r="B51" s="28" t="s">
        <v>1794</v>
      </c>
      <c r="C51" s="28" t="s">
        <v>1795</v>
      </c>
      <c r="D51" s="28" t="str">
        <f ca="1">"0,6317"</f>
        <v>0,6317</v>
      </c>
      <c r="E51" s="29" t="s">
        <v>1796</v>
      </c>
      <c r="F51" s="28" t="s">
        <v>147</v>
      </c>
      <c r="G51" s="28" t="s">
        <v>140</v>
      </c>
      <c r="H51" s="30" t="s">
        <v>28</v>
      </c>
      <c r="I51" s="30"/>
      <c r="J51" s="28" t="s">
        <v>697</v>
      </c>
      <c r="K51" s="28" t="s">
        <v>805</v>
      </c>
      <c r="L51" s="30" t="s">
        <v>213</v>
      </c>
      <c r="M51" s="30"/>
      <c r="N51" s="28" t="s">
        <v>140</v>
      </c>
      <c r="O51" s="28" t="s">
        <v>732</v>
      </c>
      <c r="P51" s="28" t="s">
        <v>226</v>
      </c>
      <c r="Q51" s="30"/>
      <c r="R51" s="27">
        <v>527.5</v>
      </c>
      <c r="S51" s="28" t="str">
        <f ca="1">"333,2217"</f>
        <v>333,2217</v>
      </c>
      <c r="T51" s="29"/>
    </row>
    <row r="52" spans="1:20">
      <c r="A52" s="23" t="s">
        <v>1797</v>
      </c>
      <c r="B52" s="24" t="s">
        <v>1798</v>
      </c>
      <c r="C52" s="24" t="s">
        <v>744</v>
      </c>
      <c r="D52" s="24" t="str">
        <f ca="1">"0,6597"</f>
        <v>0,6597</v>
      </c>
      <c r="E52" s="25" t="s">
        <v>598</v>
      </c>
      <c r="F52" s="24" t="s">
        <v>141</v>
      </c>
      <c r="G52" s="24" t="s">
        <v>28</v>
      </c>
      <c r="H52" s="26" t="s">
        <v>44</v>
      </c>
      <c r="I52" s="26"/>
      <c r="J52" s="24" t="s">
        <v>1799</v>
      </c>
      <c r="K52" s="24" t="s">
        <v>269</v>
      </c>
      <c r="L52" s="24" t="s">
        <v>213</v>
      </c>
      <c r="M52" s="26"/>
      <c r="N52" s="24" t="s">
        <v>1566</v>
      </c>
      <c r="O52" s="26" t="s">
        <v>253</v>
      </c>
      <c r="P52" s="26" t="s">
        <v>253</v>
      </c>
      <c r="Q52" s="26"/>
      <c r="R52" s="23">
        <v>350</v>
      </c>
      <c r="S52" s="24" t="str">
        <f ca="1">"230,8962"</f>
        <v>230,8962</v>
      </c>
      <c r="T52" s="25"/>
    </row>
    <row r="54" ht="15.6" spans="1:19">
      <c r="A54" s="18" t="s">
        <v>53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20">
      <c r="A55" s="19" t="s">
        <v>771</v>
      </c>
      <c r="B55" s="20" t="s">
        <v>772</v>
      </c>
      <c r="C55" s="20" t="s">
        <v>1800</v>
      </c>
      <c r="D55" s="20" t="str">
        <f ca="1">"0,5984"</f>
        <v>0,5984</v>
      </c>
      <c r="E55" s="21" t="s">
        <v>256</v>
      </c>
      <c r="F55" s="22" t="s">
        <v>28</v>
      </c>
      <c r="G55" s="20" t="s">
        <v>226</v>
      </c>
      <c r="H55" s="22" t="s">
        <v>227</v>
      </c>
      <c r="I55" s="22"/>
      <c r="J55" s="20" t="s">
        <v>208</v>
      </c>
      <c r="K55" s="22" t="s">
        <v>207</v>
      </c>
      <c r="L55" s="22" t="s">
        <v>207</v>
      </c>
      <c r="M55" s="22"/>
      <c r="N55" s="22" t="s">
        <v>727</v>
      </c>
      <c r="O55" s="20" t="s">
        <v>227</v>
      </c>
      <c r="P55" s="20" t="s">
        <v>88</v>
      </c>
      <c r="Q55" s="22"/>
      <c r="R55" s="19" t="s">
        <v>1801</v>
      </c>
      <c r="S55" s="20" t="s">
        <v>1802</v>
      </c>
      <c r="T55" s="21"/>
    </row>
    <row r="56" spans="1:20">
      <c r="A56" s="27" t="s">
        <v>814</v>
      </c>
      <c r="B56" s="28" t="s">
        <v>815</v>
      </c>
      <c r="C56" s="28" t="s">
        <v>1803</v>
      </c>
      <c r="D56" s="28" t="str">
        <f ca="1">"0,5843"</f>
        <v>0,5843</v>
      </c>
      <c r="E56" s="29" t="s">
        <v>817</v>
      </c>
      <c r="F56" s="30" t="s">
        <v>44</v>
      </c>
      <c r="G56" s="28" t="s">
        <v>44</v>
      </c>
      <c r="H56" s="30" t="s">
        <v>264</v>
      </c>
      <c r="I56" s="30"/>
      <c r="J56" s="28" t="s">
        <v>147</v>
      </c>
      <c r="K56" s="28" t="s">
        <v>207</v>
      </c>
      <c r="L56" s="28" t="s">
        <v>233</v>
      </c>
      <c r="M56" s="30"/>
      <c r="N56" s="28" t="s">
        <v>437</v>
      </c>
      <c r="O56" s="28" t="s">
        <v>80</v>
      </c>
      <c r="P56" s="30" t="s">
        <v>40</v>
      </c>
      <c r="Q56" s="30"/>
      <c r="R56" s="27" t="s">
        <v>1804</v>
      </c>
      <c r="S56" s="28" t="s">
        <v>1805</v>
      </c>
      <c r="T56" s="29"/>
    </row>
    <row r="57" spans="1:20">
      <c r="A57" s="27" t="s">
        <v>306</v>
      </c>
      <c r="B57" s="28" t="s">
        <v>307</v>
      </c>
      <c r="C57" s="28" t="s">
        <v>56</v>
      </c>
      <c r="D57" s="28" t="str">
        <f ca="1">"0,5828"</f>
        <v>0,5828</v>
      </c>
      <c r="E57" s="29" t="s">
        <v>309</v>
      </c>
      <c r="F57" s="28" t="s">
        <v>141</v>
      </c>
      <c r="G57" s="28" t="s">
        <v>28</v>
      </c>
      <c r="H57" s="28" t="s">
        <v>252</v>
      </c>
      <c r="I57" s="30"/>
      <c r="J57" s="28" t="s">
        <v>1799</v>
      </c>
      <c r="K57" s="28" t="s">
        <v>269</v>
      </c>
      <c r="L57" s="28" t="s">
        <v>213</v>
      </c>
      <c r="M57" s="30"/>
      <c r="N57" s="28" t="s">
        <v>290</v>
      </c>
      <c r="O57" s="28" t="s">
        <v>44</v>
      </c>
      <c r="P57" s="28" t="s">
        <v>252</v>
      </c>
      <c r="Q57" s="30"/>
      <c r="R57" s="27" t="s">
        <v>1806</v>
      </c>
      <c r="S57" s="28" t="str">
        <f ca="1">"343,8520"</f>
        <v>343,8520</v>
      </c>
      <c r="T57" s="29"/>
    </row>
    <row r="58" spans="1:20">
      <c r="A58" s="27" t="s">
        <v>1807</v>
      </c>
      <c r="B58" s="28" t="s">
        <v>1808</v>
      </c>
      <c r="C58" s="28" t="s">
        <v>1803</v>
      </c>
      <c r="D58" s="28" t="str">
        <f ca="1">"0,5843"</f>
        <v>0,5843</v>
      </c>
      <c r="E58" s="29" t="s">
        <v>1809</v>
      </c>
      <c r="F58" s="30" t="s">
        <v>1810</v>
      </c>
      <c r="G58" s="28" t="s">
        <v>313</v>
      </c>
      <c r="H58" s="28" t="s">
        <v>63</v>
      </c>
      <c r="I58" s="30"/>
      <c r="J58" s="28" t="s">
        <v>207</v>
      </c>
      <c r="K58" s="28" t="s">
        <v>140</v>
      </c>
      <c r="L58" s="30" t="s">
        <v>219</v>
      </c>
      <c r="M58" s="30"/>
      <c r="N58" s="28" t="s">
        <v>347</v>
      </c>
      <c r="O58" s="28" t="s">
        <v>75</v>
      </c>
      <c r="P58" s="28" t="s">
        <v>84</v>
      </c>
      <c r="Q58" s="30"/>
      <c r="R58" s="27">
        <v>825</v>
      </c>
      <c r="S58" s="28" t="str">
        <f ca="1">"482,0475"</f>
        <v>482,0475</v>
      </c>
      <c r="T58" s="29"/>
    </row>
    <row r="59" spans="1:20">
      <c r="A59" s="27" t="s">
        <v>320</v>
      </c>
      <c r="B59" s="28" t="s">
        <v>321</v>
      </c>
      <c r="C59" s="28" t="s">
        <v>1811</v>
      </c>
      <c r="D59" s="28" t="str">
        <f ca="1">"0,6040"</f>
        <v>0,6040</v>
      </c>
      <c r="E59" s="29" t="s">
        <v>256</v>
      </c>
      <c r="F59" s="28" t="s">
        <v>1398</v>
      </c>
      <c r="G59" s="28" t="s">
        <v>84</v>
      </c>
      <c r="H59" s="30" t="s">
        <v>117</v>
      </c>
      <c r="I59" s="30"/>
      <c r="J59" s="28" t="s">
        <v>142</v>
      </c>
      <c r="K59" s="28" t="s">
        <v>141</v>
      </c>
      <c r="L59" s="30" t="s">
        <v>732</v>
      </c>
      <c r="M59" s="30"/>
      <c r="N59" s="28" t="s">
        <v>360</v>
      </c>
      <c r="O59" s="28" t="s">
        <v>347</v>
      </c>
      <c r="P59" s="30" t="s">
        <v>1401</v>
      </c>
      <c r="Q59" s="30"/>
      <c r="R59" s="27">
        <v>770</v>
      </c>
      <c r="S59" s="28" t="str">
        <f ca="1">"465,0800"</f>
        <v>465,0800</v>
      </c>
      <c r="T59" s="29"/>
    </row>
    <row r="60" spans="1:20">
      <c r="A60" s="27" t="s">
        <v>1193</v>
      </c>
      <c r="B60" s="28" t="s">
        <v>1194</v>
      </c>
      <c r="C60" s="28" t="s">
        <v>1812</v>
      </c>
      <c r="D60" s="28" t="str">
        <f ca="1">"0,5952"</f>
        <v>0,5952</v>
      </c>
      <c r="E60" s="29" t="s">
        <v>1032</v>
      </c>
      <c r="F60" s="28" t="s">
        <v>347</v>
      </c>
      <c r="G60" s="30" t="s">
        <v>84</v>
      </c>
      <c r="H60" s="28" t="s">
        <v>117</v>
      </c>
      <c r="I60" s="30" t="s">
        <v>45</v>
      </c>
      <c r="J60" s="28" t="s">
        <v>141</v>
      </c>
      <c r="K60" s="28" t="s">
        <v>28</v>
      </c>
      <c r="L60" s="30" t="s">
        <v>226</v>
      </c>
      <c r="M60" s="30"/>
      <c r="N60" s="28" t="s">
        <v>437</v>
      </c>
      <c r="O60" s="28" t="s">
        <v>80</v>
      </c>
      <c r="P60" s="28" t="s">
        <v>40</v>
      </c>
      <c r="Q60" s="30"/>
      <c r="R60" s="27">
        <v>770</v>
      </c>
      <c r="S60" s="28" t="str">
        <f ca="1">"458,3040"</f>
        <v>458,3040</v>
      </c>
      <c r="T60" s="29"/>
    </row>
    <row r="61" spans="1:20">
      <c r="A61" s="27" t="s">
        <v>1813</v>
      </c>
      <c r="B61" s="28" t="s">
        <v>1814</v>
      </c>
      <c r="C61" s="28" t="s">
        <v>1053</v>
      </c>
      <c r="D61" s="28" t="str">
        <f ca="1">"0,5896"</f>
        <v>0,5896</v>
      </c>
      <c r="E61" s="29" t="s">
        <v>49</v>
      </c>
      <c r="F61" s="28" t="s">
        <v>40</v>
      </c>
      <c r="G61" s="28" t="s">
        <v>23</v>
      </c>
      <c r="H61" s="28" t="s">
        <v>347</v>
      </c>
      <c r="I61" s="30"/>
      <c r="J61" s="28" t="s">
        <v>142</v>
      </c>
      <c r="K61" s="28" t="s">
        <v>141</v>
      </c>
      <c r="L61" s="30" t="s">
        <v>732</v>
      </c>
      <c r="M61" s="30"/>
      <c r="N61" s="28" t="s">
        <v>347</v>
      </c>
      <c r="O61" s="30" t="s">
        <v>75</v>
      </c>
      <c r="P61" s="30" t="s">
        <v>45</v>
      </c>
      <c r="Q61" s="30"/>
      <c r="R61" s="27">
        <v>750</v>
      </c>
      <c r="S61" s="28" t="str">
        <f ca="1">"442,2375"</f>
        <v>442,2375</v>
      </c>
      <c r="T61" s="29"/>
    </row>
    <row r="62" spans="1:20">
      <c r="A62" s="27" t="s">
        <v>1815</v>
      </c>
      <c r="B62" s="28" t="s">
        <v>1816</v>
      </c>
      <c r="C62" s="28" t="s">
        <v>1817</v>
      </c>
      <c r="D62" s="28" t="str">
        <f ca="1">"0,5929"</f>
        <v>0,5929</v>
      </c>
      <c r="E62" s="29" t="s">
        <v>49</v>
      </c>
      <c r="F62" s="28" t="s">
        <v>347</v>
      </c>
      <c r="G62" s="30" t="s">
        <v>84</v>
      </c>
      <c r="H62" s="28" t="s">
        <v>84</v>
      </c>
      <c r="I62" s="30"/>
      <c r="J62" s="28" t="s">
        <v>343</v>
      </c>
      <c r="K62" s="28" t="s">
        <v>147</v>
      </c>
      <c r="L62" s="30" t="s">
        <v>207</v>
      </c>
      <c r="M62" s="30"/>
      <c r="N62" s="28" t="s">
        <v>80</v>
      </c>
      <c r="O62" s="28" t="s">
        <v>40</v>
      </c>
      <c r="P62" s="28" t="s">
        <v>22</v>
      </c>
      <c r="Q62" s="30"/>
      <c r="R62" s="27">
        <v>725</v>
      </c>
      <c r="S62" s="28" t="str">
        <f ca="1">"429,8163"</f>
        <v>429,8163</v>
      </c>
      <c r="T62" s="29"/>
    </row>
    <row r="63" spans="1:20">
      <c r="A63" s="27" t="s">
        <v>1818</v>
      </c>
      <c r="B63" s="28" t="s">
        <v>1819</v>
      </c>
      <c r="C63" s="28" t="s">
        <v>1820</v>
      </c>
      <c r="D63" s="28" t="str">
        <f ca="1">"0,5838"</f>
        <v>0,5838</v>
      </c>
      <c r="E63" s="29" t="s">
        <v>21</v>
      </c>
      <c r="F63" s="30" t="s">
        <v>88</v>
      </c>
      <c r="G63" s="30" t="s">
        <v>33</v>
      </c>
      <c r="H63" s="28" t="s">
        <v>40</v>
      </c>
      <c r="I63" s="30"/>
      <c r="J63" s="28" t="s">
        <v>202</v>
      </c>
      <c r="K63" s="28" t="s">
        <v>147</v>
      </c>
      <c r="L63" s="30" t="s">
        <v>206</v>
      </c>
      <c r="M63" s="30"/>
      <c r="N63" s="28" t="s">
        <v>437</v>
      </c>
      <c r="O63" s="28" t="s">
        <v>40</v>
      </c>
      <c r="P63" s="28" t="s">
        <v>23</v>
      </c>
      <c r="Q63" s="30"/>
      <c r="R63" s="27">
        <v>690</v>
      </c>
      <c r="S63" s="28" t="str">
        <f ca="1">"402,8220"</f>
        <v>402,8220</v>
      </c>
      <c r="T63" s="29"/>
    </row>
    <row r="64" spans="1:20">
      <c r="A64" s="27" t="s">
        <v>1116</v>
      </c>
      <c r="B64" s="28" t="s">
        <v>1117</v>
      </c>
      <c r="C64" s="28" t="s">
        <v>1053</v>
      </c>
      <c r="D64" s="28" t="str">
        <f ca="1">"0,5896"</f>
        <v>0,5896</v>
      </c>
      <c r="E64" s="29" t="s">
        <v>430</v>
      </c>
      <c r="F64" s="28" t="s">
        <v>343</v>
      </c>
      <c r="G64" s="28" t="s">
        <v>233</v>
      </c>
      <c r="H64" s="28" t="s">
        <v>28</v>
      </c>
      <c r="I64" s="30"/>
      <c r="J64" s="28" t="s">
        <v>202</v>
      </c>
      <c r="K64" s="30" t="s">
        <v>213</v>
      </c>
      <c r="L64" s="30" t="s">
        <v>213</v>
      </c>
      <c r="M64" s="30"/>
      <c r="N64" s="28" t="s">
        <v>80</v>
      </c>
      <c r="O64" s="30" t="s">
        <v>323</v>
      </c>
      <c r="P64" s="30"/>
      <c r="Q64" s="30"/>
      <c r="R64" s="27" t="s">
        <v>1806</v>
      </c>
      <c r="S64" s="28" t="s">
        <v>1821</v>
      </c>
      <c r="T64" s="29"/>
    </row>
    <row r="65" spans="1:20">
      <c r="A65" s="27" t="s">
        <v>1822</v>
      </c>
      <c r="B65" s="28" t="s">
        <v>1823</v>
      </c>
      <c r="C65" s="28" t="s">
        <v>776</v>
      </c>
      <c r="D65" s="28" t="str">
        <f ca="1">"0,5894"</f>
        <v>0,5894</v>
      </c>
      <c r="E65" s="29" t="s">
        <v>1032</v>
      </c>
      <c r="F65" s="28" t="s">
        <v>227</v>
      </c>
      <c r="G65" s="28" t="s">
        <v>88</v>
      </c>
      <c r="H65" s="30" t="s">
        <v>80</v>
      </c>
      <c r="I65" s="30"/>
      <c r="J65" s="28" t="s">
        <v>147</v>
      </c>
      <c r="K65" s="28" t="s">
        <v>207</v>
      </c>
      <c r="L65" s="30" t="s">
        <v>140</v>
      </c>
      <c r="M65" s="30"/>
      <c r="N65" s="28" t="s">
        <v>754</v>
      </c>
      <c r="O65" s="28" t="s">
        <v>227</v>
      </c>
      <c r="P65" s="30" t="s">
        <v>252</v>
      </c>
      <c r="Q65" s="30"/>
      <c r="R65" s="27">
        <v>615</v>
      </c>
      <c r="S65" s="28" t="str">
        <f ca="1">"362,4810"</f>
        <v>362,4810</v>
      </c>
      <c r="T65" s="29"/>
    </row>
    <row r="66" spans="1:20">
      <c r="A66" s="23" t="s">
        <v>1310</v>
      </c>
      <c r="B66" s="24" t="s">
        <v>1311</v>
      </c>
      <c r="C66" s="24" t="s">
        <v>799</v>
      </c>
      <c r="D66" s="24" t="str">
        <f ca="1">"0,7048"</f>
        <v>0,7048</v>
      </c>
      <c r="E66" s="25" t="s">
        <v>49</v>
      </c>
      <c r="F66" s="24" t="s">
        <v>207</v>
      </c>
      <c r="G66" s="24" t="s">
        <v>140</v>
      </c>
      <c r="H66" s="24" t="s">
        <v>141</v>
      </c>
      <c r="I66" s="26"/>
      <c r="J66" s="24" t="s">
        <v>612</v>
      </c>
      <c r="K66" s="24" t="s">
        <v>245</v>
      </c>
      <c r="L66" s="26" t="s">
        <v>268</v>
      </c>
      <c r="M66" s="26"/>
      <c r="N66" s="24" t="s">
        <v>207</v>
      </c>
      <c r="O66" s="24" t="s">
        <v>27</v>
      </c>
      <c r="P66" s="26" t="s">
        <v>28</v>
      </c>
      <c r="Q66" s="26"/>
      <c r="R66" s="23">
        <v>475</v>
      </c>
      <c r="S66" s="24" t="str">
        <f ca="1">"334,7919"</f>
        <v>334,7919</v>
      </c>
      <c r="T66" s="25"/>
    </row>
    <row r="68" ht="15.6" spans="1:19">
      <c r="A68" s="18" t="s">
        <v>57</v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1:20">
      <c r="A69" s="19" t="s">
        <v>1824</v>
      </c>
      <c r="B69" s="20" t="s">
        <v>1825</v>
      </c>
      <c r="C69" s="20" t="s">
        <v>1826</v>
      </c>
      <c r="D69" s="20" t="str">
        <f ca="1">"0,5670"</f>
        <v>0,5670</v>
      </c>
      <c r="E69" s="21" t="s">
        <v>1502</v>
      </c>
      <c r="F69" s="22" t="s">
        <v>318</v>
      </c>
      <c r="G69" s="22" t="s">
        <v>118</v>
      </c>
      <c r="H69" s="20" t="s">
        <v>118</v>
      </c>
      <c r="I69" s="22"/>
      <c r="J69" s="20" t="s">
        <v>207</v>
      </c>
      <c r="K69" s="20" t="s">
        <v>140</v>
      </c>
      <c r="L69" s="22" t="s">
        <v>219</v>
      </c>
      <c r="M69" s="22"/>
      <c r="N69" s="20" t="s">
        <v>118</v>
      </c>
      <c r="O69" s="20" t="s">
        <v>129</v>
      </c>
      <c r="P69" s="22" t="s">
        <v>63</v>
      </c>
      <c r="Q69" s="22"/>
      <c r="R69" s="19">
        <v>840</v>
      </c>
      <c r="S69" s="20" t="str">
        <f ca="1">"476,2380"</f>
        <v>476,2380</v>
      </c>
      <c r="T69" s="21"/>
    </row>
    <row r="70" spans="1:20">
      <c r="A70" s="27" t="s">
        <v>355</v>
      </c>
      <c r="B70" s="28" t="s">
        <v>356</v>
      </c>
      <c r="C70" s="28" t="s">
        <v>833</v>
      </c>
      <c r="D70" s="28" t="str">
        <f ca="1">"0,5655"</f>
        <v>0,5655</v>
      </c>
      <c r="E70" s="29" t="s">
        <v>21</v>
      </c>
      <c r="F70" s="28" t="s">
        <v>40</v>
      </c>
      <c r="G70" s="30" t="s">
        <v>347</v>
      </c>
      <c r="H70" s="28" t="s">
        <v>75</v>
      </c>
      <c r="I70" s="30"/>
      <c r="J70" s="28" t="s">
        <v>141</v>
      </c>
      <c r="K70" s="30" t="s">
        <v>28</v>
      </c>
      <c r="L70" s="28" t="s">
        <v>28</v>
      </c>
      <c r="M70" s="30"/>
      <c r="N70" s="28" t="s">
        <v>84</v>
      </c>
      <c r="O70" s="28" t="s">
        <v>118</v>
      </c>
      <c r="P70" s="30" t="s">
        <v>62</v>
      </c>
      <c r="Q70" s="30"/>
      <c r="R70" s="27">
        <v>810</v>
      </c>
      <c r="S70" s="28" t="str">
        <f ca="1">"458,0550"</f>
        <v>458,0550</v>
      </c>
      <c r="T70" s="29"/>
    </row>
    <row r="71" spans="1:20">
      <c r="A71" s="27" t="s">
        <v>1827</v>
      </c>
      <c r="B71" s="28" t="s">
        <v>1828</v>
      </c>
      <c r="C71" s="28" t="s">
        <v>1829</v>
      </c>
      <c r="D71" s="28" t="str">
        <f ca="1">"0,5632"</f>
        <v>0,5632</v>
      </c>
      <c r="E71" s="29" t="s">
        <v>98</v>
      </c>
      <c r="F71" s="28" t="s">
        <v>1067</v>
      </c>
      <c r="G71" s="30" t="s">
        <v>22</v>
      </c>
      <c r="H71" s="30" t="s">
        <v>22</v>
      </c>
      <c r="I71" s="30"/>
      <c r="J71" s="28" t="s">
        <v>227</v>
      </c>
      <c r="K71" s="30" t="s">
        <v>88</v>
      </c>
      <c r="L71" s="30" t="s">
        <v>88</v>
      </c>
      <c r="M71" s="30"/>
      <c r="N71" s="28" t="s">
        <v>1570</v>
      </c>
      <c r="O71" s="30" t="s">
        <v>1830</v>
      </c>
      <c r="P71" s="30" t="s">
        <v>1830</v>
      </c>
      <c r="Q71" s="30"/>
      <c r="R71" s="27" t="s">
        <v>1831</v>
      </c>
      <c r="S71" s="28" t="s">
        <v>1832</v>
      </c>
      <c r="T71" s="29"/>
    </row>
    <row r="72" spans="1:20">
      <c r="A72" s="27" t="s">
        <v>1833</v>
      </c>
      <c r="B72" s="28" t="s">
        <v>1834</v>
      </c>
      <c r="C72" s="28" t="s">
        <v>1835</v>
      </c>
      <c r="D72" s="28" t="str">
        <f ca="1">"0,5924"</f>
        <v>0,5924</v>
      </c>
      <c r="E72" s="29" t="s">
        <v>1032</v>
      </c>
      <c r="F72" s="28" t="s">
        <v>252</v>
      </c>
      <c r="G72" s="28" t="s">
        <v>33</v>
      </c>
      <c r="H72" s="28" t="s">
        <v>23</v>
      </c>
      <c r="I72" s="30"/>
      <c r="J72" s="28" t="s">
        <v>233</v>
      </c>
      <c r="K72" s="28" t="s">
        <v>27</v>
      </c>
      <c r="L72" s="28" t="s">
        <v>141</v>
      </c>
      <c r="M72" s="30"/>
      <c r="N72" s="28" t="s">
        <v>252</v>
      </c>
      <c r="O72" s="28" t="s">
        <v>89</v>
      </c>
      <c r="P72" s="30" t="s">
        <v>22</v>
      </c>
      <c r="Q72" s="30"/>
      <c r="R72" s="27">
        <v>715</v>
      </c>
      <c r="S72" s="28" t="str">
        <f ca="1">"423,5459"</f>
        <v>423,5459</v>
      </c>
      <c r="T72" s="29"/>
    </row>
    <row r="73" spans="1:20">
      <c r="A73" s="27" t="s">
        <v>1836</v>
      </c>
      <c r="B73" s="28" t="s">
        <v>1837</v>
      </c>
      <c r="C73" s="28" t="s">
        <v>1838</v>
      </c>
      <c r="D73" s="28" t="str">
        <f ca="1">"0,5761"</f>
        <v>0,5761</v>
      </c>
      <c r="E73" s="29" t="s">
        <v>32</v>
      </c>
      <c r="F73" s="28" t="s">
        <v>88</v>
      </c>
      <c r="G73" s="28" t="s">
        <v>80</v>
      </c>
      <c r="H73" s="30" t="s">
        <v>23</v>
      </c>
      <c r="I73" s="30"/>
      <c r="J73" s="28" t="s">
        <v>27</v>
      </c>
      <c r="K73" s="30" t="s">
        <v>732</v>
      </c>
      <c r="L73" s="30" t="s">
        <v>732</v>
      </c>
      <c r="M73" s="30"/>
      <c r="N73" s="28" t="s">
        <v>80</v>
      </c>
      <c r="O73" s="28" t="s">
        <v>23</v>
      </c>
      <c r="P73" s="30" t="s">
        <v>407</v>
      </c>
      <c r="Q73" s="30"/>
      <c r="R73" s="27" t="s">
        <v>1558</v>
      </c>
      <c r="S73" s="28" t="s">
        <v>1839</v>
      </c>
      <c r="T73" s="29"/>
    </row>
    <row r="74" spans="1:20">
      <c r="A74" s="27" t="s">
        <v>1319</v>
      </c>
      <c r="B74" s="28" t="s">
        <v>1320</v>
      </c>
      <c r="C74" s="28" t="s">
        <v>1321</v>
      </c>
      <c r="D74" s="28" t="str">
        <f ca="1">"0,6153"</f>
        <v>0,6153</v>
      </c>
      <c r="E74" s="29" t="s">
        <v>98</v>
      </c>
      <c r="F74" s="28" t="s">
        <v>27</v>
      </c>
      <c r="G74" s="30"/>
      <c r="H74" s="30"/>
      <c r="I74" s="30"/>
      <c r="J74" s="28" t="s">
        <v>805</v>
      </c>
      <c r="K74" s="30" t="s">
        <v>45</v>
      </c>
      <c r="L74" s="30"/>
      <c r="M74" s="30"/>
      <c r="N74" s="28" t="s">
        <v>27</v>
      </c>
      <c r="O74" s="30"/>
      <c r="P74" s="30"/>
      <c r="Q74" s="30"/>
      <c r="R74" s="27" t="s">
        <v>1840</v>
      </c>
      <c r="S74" s="28" t="s">
        <v>1841</v>
      </c>
      <c r="T74" s="29"/>
    </row>
    <row r="75" spans="1:20">
      <c r="A75" s="27" t="s">
        <v>790</v>
      </c>
      <c r="B75" s="28" t="s">
        <v>791</v>
      </c>
      <c r="C75" s="28" t="s">
        <v>97</v>
      </c>
      <c r="D75" s="28" t="str">
        <f ca="1">"0,6612"</f>
        <v>0,6612</v>
      </c>
      <c r="E75" s="29" t="s">
        <v>516</v>
      </c>
      <c r="F75" s="28" t="s">
        <v>140</v>
      </c>
      <c r="G75" s="30" t="s">
        <v>226</v>
      </c>
      <c r="H75" s="28" t="s">
        <v>226</v>
      </c>
      <c r="I75" s="30"/>
      <c r="J75" s="28" t="s">
        <v>218</v>
      </c>
      <c r="K75" s="28" t="s">
        <v>140</v>
      </c>
      <c r="L75" s="30" t="s">
        <v>793</v>
      </c>
      <c r="M75" s="30"/>
      <c r="N75" s="30" t="s">
        <v>44</v>
      </c>
      <c r="O75" s="28" t="s">
        <v>44</v>
      </c>
      <c r="P75" s="30" t="s">
        <v>135</v>
      </c>
      <c r="Q75" s="30"/>
      <c r="R75" s="27">
        <v>595</v>
      </c>
      <c r="S75" s="28" t="str">
        <f ca="1">"393,4411"</f>
        <v>393,4411</v>
      </c>
      <c r="T75" s="29"/>
    </row>
    <row r="76" spans="1:20">
      <c r="A76" s="27" t="s">
        <v>369</v>
      </c>
      <c r="B76" s="28" t="s">
        <v>370</v>
      </c>
      <c r="C76" s="28" t="s">
        <v>371</v>
      </c>
      <c r="D76" s="28" t="str">
        <f ca="1">"0,8183"</f>
        <v>0,8183</v>
      </c>
      <c r="E76" s="29" t="s">
        <v>256</v>
      </c>
      <c r="F76" s="28" t="s">
        <v>245</v>
      </c>
      <c r="G76" s="30" t="s">
        <v>195</v>
      </c>
      <c r="H76" s="28" t="s">
        <v>195</v>
      </c>
      <c r="I76" s="30"/>
      <c r="J76" s="28" t="s">
        <v>245</v>
      </c>
      <c r="K76" s="28" t="s">
        <v>195</v>
      </c>
      <c r="L76" s="30" t="s">
        <v>196</v>
      </c>
      <c r="M76" s="30"/>
      <c r="N76" s="28" t="s">
        <v>213</v>
      </c>
      <c r="O76" s="28" t="s">
        <v>207</v>
      </c>
      <c r="P76" s="28" t="s">
        <v>140</v>
      </c>
      <c r="Q76" s="30"/>
      <c r="R76" s="27">
        <v>400</v>
      </c>
      <c r="S76" s="28" t="str">
        <f ca="1">"327,3131"</f>
        <v>327,3131</v>
      </c>
      <c r="T76" s="29"/>
    </row>
    <row r="77" spans="1:20">
      <c r="A77" s="23" t="s">
        <v>95</v>
      </c>
      <c r="B77" s="24" t="s">
        <v>96</v>
      </c>
      <c r="C77" s="24" t="s">
        <v>1421</v>
      </c>
      <c r="D77" s="24" t="str">
        <f ca="1">"1,0544"</f>
        <v>1,0544</v>
      </c>
      <c r="E77" s="25" t="s">
        <v>98</v>
      </c>
      <c r="F77" s="24" t="s">
        <v>561</v>
      </c>
      <c r="G77" s="26"/>
      <c r="H77" s="26"/>
      <c r="I77" s="26"/>
      <c r="J77" s="24" t="s">
        <v>99</v>
      </c>
      <c r="K77" s="26"/>
      <c r="L77" s="26"/>
      <c r="M77" s="26"/>
      <c r="N77" s="24" t="s">
        <v>268</v>
      </c>
      <c r="O77" s="26" t="s">
        <v>45</v>
      </c>
      <c r="P77" s="26"/>
      <c r="Q77" s="26"/>
      <c r="R77" s="23" t="s">
        <v>1398</v>
      </c>
      <c r="S77" s="24" t="s">
        <v>1842</v>
      </c>
      <c r="T77" s="25"/>
    </row>
    <row r="79" ht="15.6" spans="1:19">
      <c r="A79" s="18" t="s">
        <v>102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1:20">
      <c r="A80" s="19" t="s">
        <v>1843</v>
      </c>
      <c r="B80" s="20" t="s">
        <v>1844</v>
      </c>
      <c r="C80" s="20" t="s">
        <v>910</v>
      </c>
      <c r="D80" s="20" t="str">
        <f ca="1">"0,5454"</f>
        <v>0,5454</v>
      </c>
      <c r="E80" s="21" t="s">
        <v>109</v>
      </c>
      <c r="F80" s="22" t="s">
        <v>347</v>
      </c>
      <c r="G80" s="20" t="s">
        <v>347</v>
      </c>
      <c r="H80" s="20" t="s">
        <v>84</v>
      </c>
      <c r="I80" s="20" t="s">
        <v>118</v>
      </c>
      <c r="J80" s="20" t="s">
        <v>147</v>
      </c>
      <c r="K80" s="20" t="s">
        <v>207</v>
      </c>
      <c r="L80" s="20" t="s">
        <v>140</v>
      </c>
      <c r="M80" s="22"/>
      <c r="N80" s="20" t="s">
        <v>245</v>
      </c>
      <c r="O80" s="20" t="s">
        <v>407</v>
      </c>
      <c r="P80" s="20" t="s">
        <v>84</v>
      </c>
      <c r="Q80" s="22"/>
      <c r="R80" s="19">
        <v>780</v>
      </c>
      <c r="S80" s="20" t="str">
        <f ca="1">"425,4120"</f>
        <v>425,4120</v>
      </c>
      <c r="T80" s="21"/>
    </row>
    <row r="81" spans="1:20">
      <c r="A81" s="27" t="s">
        <v>1845</v>
      </c>
      <c r="B81" s="28" t="s">
        <v>1846</v>
      </c>
      <c r="C81" s="28" t="s">
        <v>1126</v>
      </c>
      <c r="D81" s="28" t="str">
        <f ca="1">"0,5548"</f>
        <v>0,5548</v>
      </c>
      <c r="E81" s="29" t="s">
        <v>49</v>
      </c>
      <c r="F81" s="28" t="s">
        <v>64</v>
      </c>
      <c r="G81" s="28" t="s">
        <v>131</v>
      </c>
      <c r="H81" s="28" t="s">
        <v>1847</v>
      </c>
      <c r="I81" s="30"/>
      <c r="J81" s="28" t="s">
        <v>44</v>
      </c>
      <c r="K81" s="28" t="s">
        <v>252</v>
      </c>
      <c r="L81" s="28" t="s">
        <v>124</v>
      </c>
      <c r="M81" s="30"/>
      <c r="N81" s="28" t="s">
        <v>129</v>
      </c>
      <c r="O81" s="28" t="s">
        <v>426</v>
      </c>
      <c r="P81" s="30" t="s">
        <v>131</v>
      </c>
      <c r="Q81" s="30"/>
      <c r="R81" s="27">
        <v>957.5</v>
      </c>
      <c r="S81" s="28" t="str">
        <f ca="1">"531,1731"</f>
        <v>531,1731</v>
      </c>
      <c r="T81" s="29"/>
    </row>
    <row r="82" spans="1:20">
      <c r="A82" s="27" t="s">
        <v>1848</v>
      </c>
      <c r="B82" s="28" t="s">
        <v>1849</v>
      </c>
      <c r="C82" s="28" t="s">
        <v>1850</v>
      </c>
      <c r="D82" s="28" t="str">
        <f ca="1">"0,5573"</f>
        <v>0,5573</v>
      </c>
      <c r="E82" s="29" t="s">
        <v>430</v>
      </c>
      <c r="F82" s="28" t="s">
        <v>33</v>
      </c>
      <c r="G82" s="28" t="s">
        <v>89</v>
      </c>
      <c r="H82" s="28" t="s">
        <v>23</v>
      </c>
      <c r="I82" s="30"/>
      <c r="J82" s="28" t="s">
        <v>140</v>
      </c>
      <c r="K82" s="28" t="s">
        <v>793</v>
      </c>
      <c r="L82" s="30" t="s">
        <v>732</v>
      </c>
      <c r="M82" s="30"/>
      <c r="N82" s="28" t="s">
        <v>23</v>
      </c>
      <c r="O82" s="28" t="s">
        <v>24</v>
      </c>
      <c r="P82" s="28" t="s">
        <v>70</v>
      </c>
      <c r="Q82" s="30"/>
      <c r="R82" s="27">
        <v>750</v>
      </c>
      <c r="S82" s="28" t="str">
        <f ca="1">"417,9375"</f>
        <v>417,9375</v>
      </c>
      <c r="T82" s="29"/>
    </row>
    <row r="83" spans="1:20">
      <c r="A83" s="27" t="s">
        <v>1851</v>
      </c>
      <c r="B83" s="28" t="s">
        <v>1852</v>
      </c>
      <c r="C83" s="28" t="s">
        <v>108</v>
      </c>
      <c r="D83" s="28" t="str">
        <f ca="1">"0,5494"</f>
        <v>0,5494</v>
      </c>
      <c r="E83" s="29" t="s">
        <v>98</v>
      </c>
      <c r="F83" s="28" t="s">
        <v>88</v>
      </c>
      <c r="G83" s="30" t="s">
        <v>80</v>
      </c>
      <c r="H83" s="30" t="s">
        <v>80</v>
      </c>
      <c r="I83" s="30"/>
      <c r="J83" s="28" t="s">
        <v>27</v>
      </c>
      <c r="K83" s="30" t="s">
        <v>732</v>
      </c>
      <c r="L83" s="30" t="s">
        <v>45</v>
      </c>
      <c r="M83" s="30"/>
      <c r="N83" s="28" t="s">
        <v>269</v>
      </c>
      <c r="O83" s="30"/>
      <c r="P83" s="30"/>
      <c r="Q83" s="30"/>
      <c r="R83" s="27" t="s">
        <v>1853</v>
      </c>
      <c r="S83" s="28" t="s">
        <v>1854</v>
      </c>
      <c r="T83" s="29"/>
    </row>
    <row r="84" spans="1:20">
      <c r="A84" s="27" t="s">
        <v>408</v>
      </c>
      <c r="B84" s="28" t="s">
        <v>409</v>
      </c>
      <c r="C84" s="28" t="s">
        <v>1619</v>
      </c>
      <c r="D84" s="28" t="str">
        <f ca="1">"0,6137"</f>
        <v>0,6137</v>
      </c>
      <c r="E84" s="29" t="s">
        <v>49</v>
      </c>
      <c r="F84" s="28" t="s">
        <v>44</v>
      </c>
      <c r="G84" s="28" t="s">
        <v>50</v>
      </c>
      <c r="H84" s="30" t="s">
        <v>80</v>
      </c>
      <c r="I84" s="30"/>
      <c r="J84" s="28" t="s">
        <v>202</v>
      </c>
      <c r="K84" s="28" t="s">
        <v>213</v>
      </c>
      <c r="L84" s="28" t="s">
        <v>147</v>
      </c>
      <c r="M84" s="30"/>
      <c r="N84" s="28" t="s">
        <v>264</v>
      </c>
      <c r="O84" s="28" t="s">
        <v>80</v>
      </c>
      <c r="P84" s="28" t="s">
        <v>323</v>
      </c>
      <c r="Q84" s="30"/>
      <c r="R84" s="27">
        <v>670</v>
      </c>
      <c r="S84" s="28" t="str">
        <f ca="1">"411,1845"</f>
        <v>411,1845</v>
      </c>
      <c r="T84" s="29"/>
    </row>
    <row r="85" spans="1:20">
      <c r="A85" s="23" t="s">
        <v>1855</v>
      </c>
      <c r="B85" s="24" t="s">
        <v>1856</v>
      </c>
      <c r="C85" s="24" t="s">
        <v>1857</v>
      </c>
      <c r="D85" s="24" t="str">
        <f ca="1">"0,6316"</f>
        <v>0,6316</v>
      </c>
      <c r="E85" s="25" t="s">
        <v>1032</v>
      </c>
      <c r="F85" s="24" t="s">
        <v>213</v>
      </c>
      <c r="G85" s="24" t="s">
        <v>147</v>
      </c>
      <c r="H85" s="26" t="s">
        <v>140</v>
      </c>
      <c r="I85" s="26"/>
      <c r="J85" s="24" t="s">
        <v>207</v>
      </c>
      <c r="K85" s="26" t="s">
        <v>27</v>
      </c>
      <c r="L85" s="24" t="s">
        <v>27</v>
      </c>
      <c r="M85" s="26"/>
      <c r="N85" s="24" t="s">
        <v>207</v>
      </c>
      <c r="O85" s="26"/>
      <c r="P85" s="26"/>
      <c r="Q85" s="26"/>
      <c r="R85" s="23" t="s">
        <v>1420</v>
      </c>
      <c r="S85" s="24" t="s">
        <v>1858</v>
      </c>
      <c r="T85" s="25"/>
    </row>
    <row r="87" ht="15.6" spans="1:19">
      <c r="A87" s="18" t="s">
        <v>125</v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1:20">
      <c r="A88" s="19" t="s">
        <v>376</v>
      </c>
      <c r="B88" s="20" t="s">
        <v>377</v>
      </c>
      <c r="C88" s="20" t="s">
        <v>1859</v>
      </c>
      <c r="D88" s="20" t="str">
        <f ca="1">"0,5450"</f>
        <v>0,5450</v>
      </c>
      <c r="E88" s="21" t="s">
        <v>109</v>
      </c>
      <c r="F88" s="22" t="s">
        <v>347</v>
      </c>
      <c r="G88" s="22"/>
      <c r="H88" s="22"/>
      <c r="I88" s="22"/>
      <c r="J88" s="22" t="s">
        <v>147</v>
      </c>
      <c r="K88" s="22"/>
      <c r="L88" s="22"/>
      <c r="M88" s="22"/>
      <c r="N88" s="22"/>
      <c r="O88" s="22"/>
      <c r="P88" s="22"/>
      <c r="Q88" s="22"/>
      <c r="R88" s="19">
        <v>0</v>
      </c>
      <c r="S88" s="20" t="str">
        <f ca="1">"0,0000"</f>
        <v>0,0000</v>
      </c>
      <c r="T88" s="21"/>
    </row>
    <row r="89" spans="1:20">
      <c r="A89" s="27" t="s">
        <v>1860</v>
      </c>
      <c r="B89" s="28" t="s">
        <v>1861</v>
      </c>
      <c r="C89" s="28" t="s">
        <v>1862</v>
      </c>
      <c r="D89" s="28" t="str">
        <f ca="1">"0,5338"</f>
        <v>0,5338</v>
      </c>
      <c r="E89" s="29" t="s">
        <v>1032</v>
      </c>
      <c r="F89" s="30" t="s">
        <v>80</v>
      </c>
      <c r="G89" s="28" t="s">
        <v>64</v>
      </c>
      <c r="H89" s="30" t="s">
        <v>1847</v>
      </c>
      <c r="I89" s="30"/>
      <c r="J89" s="28" t="s">
        <v>264</v>
      </c>
      <c r="K89" s="30" t="s">
        <v>135</v>
      </c>
      <c r="L89" s="30" t="s">
        <v>45</v>
      </c>
      <c r="M89" s="30" t="s">
        <v>45</v>
      </c>
      <c r="N89" s="28" t="s">
        <v>323</v>
      </c>
      <c r="O89" s="28" t="s">
        <v>84</v>
      </c>
      <c r="P89" s="30"/>
      <c r="Q89" s="30"/>
      <c r="R89" s="27" t="s">
        <v>1863</v>
      </c>
      <c r="S89" s="28" t="s">
        <v>1864</v>
      </c>
      <c r="T89" s="29"/>
    </row>
    <row r="90" spans="1:20">
      <c r="A90" s="27" t="s">
        <v>427</v>
      </c>
      <c r="B90" s="28" t="s">
        <v>428</v>
      </c>
      <c r="C90" s="28" t="s">
        <v>433</v>
      </c>
      <c r="D90" s="28" t="str">
        <f ca="1">"0,5406"</f>
        <v>0,5406</v>
      </c>
      <c r="E90" s="29" t="s">
        <v>430</v>
      </c>
      <c r="F90" s="30" t="s">
        <v>84</v>
      </c>
      <c r="G90" s="30" t="s">
        <v>84</v>
      </c>
      <c r="H90" s="28" t="s">
        <v>84</v>
      </c>
      <c r="I90" s="30"/>
      <c r="J90" s="28" t="s">
        <v>605</v>
      </c>
      <c r="K90" s="28" t="s">
        <v>201</v>
      </c>
      <c r="L90" s="28" t="s">
        <v>213</v>
      </c>
      <c r="M90" s="30"/>
      <c r="N90" s="28" t="s">
        <v>323</v>
      </c>
      <c r="O90" s="28" t="s">
        <v>84</v>
      </c>
      <c r="P90" s="28" t="s">
        <v>117</v>
      </c>
      <c r="Q90" s="30"/>
      <c r="R90" s="27">
        <v>760</v>
      </c>
      <c r="S90" s="28" t="str">
        <f ca="1">"410,8560"</f>
        <v>410,8560</v>
      </c>
      <c r="T90" s="29"/>
    </row>
    <row r="91" spans="1:20">
      <c r="A91" s="27" t="s">
        <v>1865</v>
      </c>
      <c r="B91" s="28" t="s">
        <v>1866</v>
      </c>
      <c r="C91" s="28" t="s">
        <v>1867</v>
      </c>
      <c r="D91" s="28" t="str">
        <f ca="1">"0,5346"</f>
        <v>0,5346</v>
      </c>
      <c r="E91" s="29" t="s">
        <v>49</v>
      </c>
      <c r="F91" s="28" t="s">
        <v>80</v>
      </c>
      <c r="G91" s="28" t="s">
        <v>23</v>
      </c>
      <c r="H91" s="28" t="s">
        <v>24</v>
      </c>
      <c r="I91" s="30"/>
      <c r="J91" s="28" t="s">
        <v>233</v>
      </c>
      <c r="K91" s="28" t="s">
        <v>27</v>
      </c>
      <c r="L91" s="28" t="s">
        <v>141</v>
      </c>
      <c r="M91" s="30"/>
      <c r="N91" s="28" t="s">
        <v>264</v>
      </c>
      <c r="O91" s="28" t="s">
        <v>80</v>
      </c>
      <c r="P91" s="30" t="s">
        <v>40</v>
      </c>
      <c r="Q91" s="30"/>
      <c r="R91" s="27">
        <v>725</v>
      </c>
      <c r="S91" s="28" t="str">
        <f ca="1">"387,5995"</f>
        <v>387,5995</v>
      </c>
      <c r="T91" s="29"/>
    </row>
    <row r="92" spans="1:20">
      <c r="A92" s="27" t="s">
        <v>1865</v>
      </c>
      <c r="B92" s="28" t="s">
        <v>1868</v>
      </c>
      <c r="C92" s="28" t="s">
        <v>1867</v>
      </c>
      <c r="D92" s="28" t="str">
        <f ca="1">"0,5576"</f>
        <v>0,5576</v>
      </c>
      <c r="E92" s="29" t="s">
        <v>49</v>
      </c>
      <c r="F92" s="28" t="s">
        <v>80</v>
      </c>
      <c r="G92" s="28" t="s">
        <v>23</v>
      </c>
      <c r="H92" s="28" t="s">
        <v>24</v>
      </c>
      <c r="I92" s="30"/>
      <c r="J92" s="28" t="s">
        <v>233</v>
      </c>
      <c r="K92" s="28" t="s">
        <v>27</v>
      </c>
      <c r="L92" s="28" t="s">
        <v>141</v>
      </c>
      <c r="M92" s="30"/>
      <c r="N92" s="28" t="s">
        <v>264</v>
      </c>
      <c r="O92" s="28" t="s">
        <v>80</v>
      </c>
      <c r="P92" s="30" t="s">
        <v>40</v>
      </c>
      <c r="Q92" s="30"/>
      <c r="R92" s="27">
        <v>725</v>
      </c>
      <c r="S92" s="28" t="str">
        <f ca="1">"404,2663"</f>
        <v>404,2663</v>
      </c>
      <c r="T92" s="29"/>
    </row>
    <row r="93" spans="1:20">
      <c r="A93" s="23" t="s">
        <v>411</v>
      </c>
      <c r="B93" s="24" t="s">
        <v>412</v>
      </c>
      <c r="C93" s="24" t="s">
        <v>1869</v>
      </c>
      <c r="D93" s="24" t="str">
        <f ca="1">"0,5813"</f>
        <v>0,5813</v>
      </c>
      <c r="E93" s="25" t="s">
        <v>256</v>
      </c>
      <c r="F93" s="26" t="s">
        <v>28</v>
      </c>
      <c r="G93" s="24" t="s">
        <v>28</v>
      </c>
      <c r="H93" s="24" t="s">
        <v>252</v>
      </c>
      <c r="I93" s="26"/>
      <c r="J93" s="24" t="s">
        <v>147</v>
      </c>
      <c r="K93" s="24" t="s">
        <v>207</v>
      </c>
      <c r="L93" s="24" t="s">
        <v>233</v>
      </c>
      <c r="M93" s="26"/>
      <c r="N93" s="24" t="s">
        <v>44</v>
      </c>
      <c r="O93" s="24" t="s">
        <v>80</v>
      </c>
      <c r="P93" s="26" t="s">
        <v>89</v>
      </c>
      <c r="Q93" s="26"/>
      <c r="R93" s="23">
        <v>645</v>
      </c>
      <c r="S93" s="24" t="str">
        <f ca="1">"374,9189"</f>
        <v>374,9189</v>
      </c>
      <c r="T93" s="25"/>
    </row>
    <row r="95" ht="15.6" spans="1:19">
      <c r="A95" s="18" t="s">
        <v>136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</row>
    <row r="96" spans="1:20">
      <c r="A96" s="19" t="s">
        <v>1870</v>
      </c>
      <c r="B96" s="20" t="s">
        <v>1871</v>
      </c>
      <c r="C96" s="20" t="s">
        <v>1872</v>
      </c>
      <c r="D96" s="20" t="str">
        <f ca="1">"0,5233"</f>
        <v>0,5233</v>
      </c>
      <c r="E96" s="21" t="s">
        <v>598</v>
      </c>
      <c r="F96" s="20" t="s">
        <v>394</v>
      </c>
      <c r="G96" s="20" t="s">
        <v>1616</v>
      </c>
      <c r="H96" s="20" t="s">
        <v>63</v>
      </c>
      <c r="I96" s="22"/>
      <c r="J96" s="20" t="s">
        <v>27</v>
      </c>
      <c r="K96" s="20" t="s">
        <v>141</v>
      </c>
      <c r="L96" s="20" t="s">
        <v>647</v>
      </c>
      <c r="M96" s="22"/>
      <c r="N96" s="20" t="s">
        <v>64</v>
      </c>
      <c r="O96" s="20" t="s">
        <v>131</v>
      </c>
      <c r="P96" s="22" t="s">
        <v>1660</v>
      </c>
      <c r="Q96" s="22"/>
      <c r="R96" s="19">
        <v>902.5</v>
      </c>
      <c r="S96" s="20" t="str">
        <f ca="1">"472,3008"</f>
        <v>472,3008</v>
      </c>
      <c r="T96" s="21"/>
    </row>
    <row r="97" spans="1:20">
      <c r="A97" s="23" t="s">
        <v>1873</v>
      </c>
      <c r="B97" s="24" t="s">
        <v>1874</v>
      </c>
      <c r="C97" s="24" t="s">
        <v>1875</v>
      </c>
      <c r="D97" s="24" t="str">
        <f ca="1">"0,5422"</f>
        <v>0,5422</v>
      </c>
      <c r="E97" s="25" t="s">
        <v>249</v>
      </c>
      <c r="F97" s="24" t="s">
        <v>23</v>
      </c>
      <c r="G97" s="24" t="s">
        <v>75</v>
      </c>
      <c r="H97" s="24" t="s">
        <v>117</v>
      </c>
      <c r="I97" s="26"/>
      <c r="J97" s="24" t="s">
        <v>141</v>
      </c>
      <c r="K97" s="24" t="s">
        <v>28</v>
      </c>
      <c r="L97" s="24" t="s">
        <v>44</v>
      </c>
      <c r="M97" s="26"/>
      <c r="N97" s="24" t="s">
        <v>80</v>
      </c>
      <c r="O97" s="24" t="s">
        <v>323</v>
      </c>
      <c r="P97" s="24" t="s">
        <v>75</v>
      </c>
      <c r="Q97" s="26"/>
      <c r="R97" s="23">
        <v>810</v>
      </c>
      <c r="S97" s="24" t="str">
        <f ca="1">"439,2045"</f>
        <v>439,2045</v>
      </c>
      <c r="T97" s="25"/>
    </row>
    <row r="99" ht="15.6" spans="5:5">
      <c r="E99" s="34" t="s">
        <v>148</v>
      </c>
    </row>
    <row r="100" ht="15.6" spans="5:5">
      <c r="E100" s="34" t="s">
        <v>149</v>
      </c>
    </row>
    <row r="101" ht="15.6" spans="5:5">
      <c r="E101" s="34" t="s">
        <v>150</v>
      </c>
    </row>
    <row r="102" spans="5:5">
      <c r="E102" s="4" t="s">
        <v>151</v>
      </c>
    </row>
    <row r="103" spans="5:5">
      <c r="E103" s="4" t="s">
        <v>152</v>
      </c>
    </row>
    <row r="104" spans="5:5">
      <c r="E104" s="4" t="s">
        <v>153</v>
      </c>
    </row>
    <row r="108" ht="18" spans="1:2">
      <c r="A108" s="35" t="s">
        <v>154</v>
      </c>
      <c r="B108" s="36"/>
    </row>
    <row r="109" ht="15.6" spans="1:2">
      <c r="A109" s="37" t="s">
        <v>443</v>
      </c>
      <c r="B109" s="38"/>
    </row>
    <row r="110" ht="13.8" spans="1:2">
      <c r="A110" s="39" t="s">
        <v>156</v>
      </c>
      <c r="B110" s="40"/>
    </row>
    <row r="111" ht="13.8" spans="1:5">
      <c r="A111" s="41" t="s">
        <v>1</v>
      </c>
      <c r="B111" s="41" t="s">
        <v>157</v>
      </c>
      <c r="C111" s="41" t="s">
        <v>158</v>
      </c>
      <c r="D111" s="41" t="s">
        <v>7</v>
      </c>
      <c r="E111" s="41" t="s">
        <v>159</v>
      </c>
    </row>
    <row r="112" spans="1:5">
      <c r="A112" s="42" t="s">
        <v>1720</v>
      </c>
      <c r="B112" s="2" t="s">
        <v>156</v>
      </c>
      <c r="C112" s="2" t="s">
        <v>535</v>
      </c>
      <c r="D112" s="2" t="s">
        <v>1326</v>
      </c>
      <c r="E112" s="3" t="s">
        <v>1876</v>
      </c>
    </row>
    <row r="113" spans="1:5">
      <c r="A113" s="42" t="s">
        <v>1727</v>
      </c>
      <c r="B113" s="2" t="s">
        <v>156</v>
      </c>
      <c r="C113" s="2" t="s">
        <v>456</v>
      </c>
      <c r="D113" s="2" t="s">
        <v>1877</v>
      </c>
      <c r="E113" s="3" t="s">
        <v>1878</v>
      </c>
    </row>
    <row r="114" spans="1:5">
      <c r="A114" s="42" t="s">
        <v>547</v>
      </c>
      <c r="B114" s="2" t="s">
        <v>156</v>
      </c>
      <c r="C114" s="2" t="s">
        <v>458</v>
      </c>
      <c r="D114" s="2" t="s">
        <v>1361</v>
      </c>
      <c r="E114" s="3" t="s">
        <v>1879</v>
      </c>
    </row>
    <row r="115" spans="1:5">
      <c r="A115" s="42" t="s">
        <v>1730</v>
      </c>
      <c r="B115" s="2" t="s">
        <v>156</v>
      </c>
      <c r="C115" s="2" t="s">
        <v>456</v>
      </c>
      <c r="D115" s="2" t="s">
        <v>1071</v>
      </c>
      <c r="E115" s="3" t="s">
        <v>1880</v>
      </c>
    </row>
    <row r="117" ht="13.8" spans="1:2">
      <c r="A117" s="39" t="s">
        <v>178</v>
      </c>
      <c r="B117" s="40"/>
    </row>
    <row r="118" ht="13.8" spans="1:5">
      <c r="A118" s="41" t="s">
        <v>1</v>
      </c>
      <c r="B118" s="41" t="s">
        <v>157</v>
      </c>
      <c r="C118" s="41" t="s">
        <v>158</v>
      </c>
      <c r="D118" s="41" t="s">
        <v>7</v>
      </c>
      <c r="E118" s="41" t="s">
        <v>159</v>
      </c>
    </row>
    <row r="119" spans="1:5">
      <c r="A119" s="42" t="s">
        <v>1723</v>
      </c>
      <c r="B119" s="2" t="s">
        <v>179</v>
      </c>
      <c r="C119" s="2" t="s">
        <v>446</v>
      </c>
      <c r="D119" s="2" t="s">
        <v>732</v>
      </c>
      <c r="E119" s="3" t="s">
        <v>1881</v>
      </c>
    </row>
    <row r="122" ht="15.6" spans="1:2">
      <c r="A122" s="37" t="s">
        <v>155</v>
      </c>
      <c r="B122" s="38"/>
    </row>
    <row r="123" ht="13.8" spans="1:2">
      <c r="A123" s="39" t="s">
        <v>444</v>
      </c>
      <c r="B123" s="40"/>
    </row>
    <row r="124" ht="13.8" spans="1:5">
      <c r="A124" s="41" t="s">
        <v>1</v>
      </c>
      <c r="B124" s="41" t="s">
        <v>157</v>
      </c>
      <c r="C124" s="41" t="s">
        <v>158</v>
      </c>
      <c r="D124" s="41" t="s">
        <v>7</v>
      </c>
      <c r="E124" s="41" t="s">
        <v>159</v>
      </c>
    </row>
    <row r="125" spans="1:5">
      <c r="A125" s="42" t="s">
        <v>1843</v>
      </c>
      <c r="B125" s="2" t="s">
        <v>445</v>
      </c>
      <c r="C125" s="2" t="s">
        <v>167</v>
      </c>
      <c r="D125" s="2" t="s">
        <v>1676</v>
      </c>
      <c r="E125" s="3" t="s">
        <v>1882</v>
      </c>
    </row>
    <row r="126" spans="1:5">
      <c r="A126" s="42" t="s">
        <v>771</v>
      </c>
      <c r="B126" s="2" t="s">
        <v>445</v>
      </c>
      <c r="C126" s="2" t="s">
        <v>172</v>
      </c>
      <c r="D126" s="2" t="s">
        <v>1883</v>
      </c>
      <c r="E126" s="3" t="s">
        <v>1884</v>
      </c>
    </row>
    <row r="128" ht="13.8" spans="1:2">
      <c r="A128" s="39" t="s">
        <v>448</v>
      </c>
      <c r="B128" s="40"/>
    </row>
    <row r="129" ht="13.8" spans="1:5">
      <c r="A129" s="41" t="s">
        <v>1</v>
      </c>
      <c r="B129" s="41" t="s">
        <v>157</v>
      </c>
      <c r="C129" s="41" t="s">
        <v>158</v>
      </c>
      <c r="D129" s="41" t="s">
        <v>7</v>
      </c>
      <c r="E129" s="41" t="s">
        <v>159</v>
      </c>
    </row>
    <row r="130" spans="1:5">
      <c r="A130" s="42" t="s">
        <v>292</v>
      </c>
      <c r="B130" s="2" t="s">
        <v>450</v>
      </c>
      <c r="C130" s="2" t="s">
        <v>170</v>
      </c>
      <c r="D130" s="2" t="s">
        <v>1885</v>
      </c>
      <c r="E130" s="3" t="s">
        <v>1886</v>
      </c>
    </row>
    <row r="131" spans="1:5">
      <c r="A131" s="42" t="s">
        <v>1748</v>
      </c>
      <c r="B131" s="2" t="s">
        <v>450</v>
      </c>
      <c r="C131" s="2" t="s">
        <v>164</v>
      </c>
      <c r="D131" s="2" t="s">
        <v>1887</v>
      </c>
      <c r="E131" s="3" t="s">
        <v>1888</v>
      </c>
    </row>
    <row r="132" spans="1:5">
      <c r="A132" s="42" t="s">
        <v>814</v>
      </c>
      <c r="B132" s="2" t="s">
        <v>450</v>
      </c>
      <c r="C132" s="2" t="s">
        <v>172</v>
      </c>
      <c r="D132" s="2" t="s">
        <v>1889</v>
      </c>
      <c r="E132" s="3" t="s">
        <v>1805</v>
      </c>
    </row>
    <row r="133" spans="1:5">
      <c r="A133" s="42" t="s">
        <v>1751</v>
      </c>
      <c r="B133" s="2" t="s">
        <v>450</v>
      </c>
      <c r="C133" s="2" t="s">
        <v>164</v>
      </c>
      <c r="D133" s="2" t="s">
        <v>1890</v>
      </c>
      <c r="E133" s="3" t="s">
        <v>1891</v>
      </c>
    </row>
    <row r="134" spans="1:5">
      <c r="A134" s="42" t="s">
        <v>306</v>
      </c>
      <c r="B134" s="2" t="s">
        <v>450</v>
      </c>
      <c r="C134" s="2" t="s">
        <v>172</v>
      </c>
      <c r="D134" s="2" t="s">
        <v>1892</v>
      </c>
      <c r="E134" s="3" t="s">
        <v>1893</v>
      </c>
    </row>
    <row r="135" spans="1:5">
      <c r="A135" s="42" t="s">
        <v>1735</v>
      </c>
      <c r="B135" s="2" t="s">
        <v>450</v>
      </c>
      <c r="C135" s="2" t="s">
        <v>535</v>
      </c>
      <c r="D135" s="2" t="s">
        <v>1658</v>
      </c>
      <c r="E135" s="3" t="s">
        <v>1894</v>
      </c>
    </row>
    <row r="137" ht="13.8" spans="1:2">
      <c r="A137" s="39" t="s">
        <v>156</v>
      </c>
      <c r="B137" s="40"/>
    </row>
    <row r="138" ht="13.8" spans="1:5">
      <c r="A138" s="41" t="s">
        <v>1</v>
      </c>
      <c r="B138" s="41" t="s">
        <v>157</v>
      </c>
      <c r="C138" s="41" t="s">
        <v>158</v>
      </c>
      <c r="D138" s="41" t="s">
        <v>7</v>
      </c>
      <c r="E138" s="41" t="s">
        <v>159</v>
      </c>
    </row>
    <row r="139" spans="1:5">
      <c r="A139" s="42" t="s">
        <v>1845</v>
      </c>
      <c r="B139" s="2" t="s">
        <v>156</v>
      </c>
      <c r="C139" s="2" t="s">
        <v>167</v>
      </c>
      <c r="D139" s="2" t="s">
        <v>1895</v>
      </c>
      <c r="E139" s="3" t="s">
        <v>1896</v>
      </c>
    </row>
    <row r="140" spans="1:5">
      <c r="A140" s="42" t="s">
        <v>1774</v>
      </c>
      <c r="B140" s="2" t="s">
        <v>156</v>
      </c>
      <c r="C140" s="2" t="s">
        <v>170</v>
      </c>
      <c r="D140" s="2" t="s">
        <v>1897</v>
      </c>
      <c r="E140" s="3" t="s">
        <v>1898</v>
      </c>
    </row>
    <row r="141" spans="1:5">
      <c r="A141" s="42" t="s">
        <v>1807</v>
      </c>
      <c r="B141" s="2" t="s">
        <v>156</v>
      </c>
      <c r="C141" s="2" t="s">
        <v>172</v>
      </c>
      <c r="D141" s="2" t="s">
        <v>1468</v>
      </c>
      <c r="E141" s="3" t="s">
        <v>1899</v>
      </c>
    </row>
    <row r="142" spans="1:5">
      <c r="A142" s="42" t="s">
        <v>1824</v>
      </c>
      <c r="B142" s="2" t="s">
        <v>156</v>
      </c>
      <c r="C142" s="2" t="s">
        <v>163</v>
      </c>
      <c r="D142" s="2" t="s">
        <v>1900</v>
      </c>
      <c r="E142" s="3" t="s">
        <v>1901</v>
      </c>
    </row>
    <row r="143" spans="1:5">
      <c r="A143" s="42" t="s">
        <v>1870</v>
      </c>
      <c r="B143" s="2" t="s">
        <v>156</v>
      </c>
      <c r="C143" s="2" t="s">
        <v>185</v>
      </c>
      <c r="D143" s="2" t="s">
        <v>1902</v>
      </c>
      <c r="E143" s="3" t="s">
        <v>1903</v>
      </c>
    </row>
    <row r="144" spans="1:5">
      <c r="A144" s="42" t="s">
        <v>320</v>
      </c>
      <c r="B144" s="2" t="s">
        <v>156</v>
      </c>
      <c r="C144" s="2" t="s">
        <v>172</v>
      </c>
      <c r="D144" s="2" t="s">
        <v>1681</v>
      </c>
      <c r="E144" s="3" t="s">
        <v>1904</v>
      </c>
    </row>
    <row r="145" spans="1:5">
      <c r="A145" s="42" t="s">
        <v>1193</v>
      </c>
      <c r="B145" s="2" t="s">
        <v>156</v>
      </c>
      <c r="C145" s="2" t="s">
        <v>172</v>
      </c>
      <c r="D145" s="2" t="s">
        <v>1681</v>
      </c>
      <c r="E145" s="3" t="s">
        <v>1905</v>
      </c>
    </row>
    <row r="146" spans="1:5">
      <c r="A146" s="42" t="s">
        <v>355</v>
      </c>
      <c r="B146" s="2" t="s">
        <v>156</v>
      </c>
      <c r="C146" s="2" t="s">
        <v>163</v>
      </c>
      <c r="D146" s="2" t="s">
        <v>1906</v>
      </c>
      <c r="E146" s="3" t="s">
        <v>1907</v>
      </c>
    </row>
    <row r="147" spans="1:5">
      <c r="A147" s="42" t="s">
        <v>1813</v>
      </c>
      <c r="B147" s="2" t="s">
        <v>156</v>
      </c>
      <c r="C147" s="2" t="s">
        <v>172</v>
      </c>
      <c r="D147" s="2" t="s">
        <v>1367</v>
      </c>
      <c r="E147" s="3" t="s">
        <v>1908</v>
      </c>
    </row>
    <row r="148" spans="1:5">
      <c r="A148" s="42" t="s">
        <v>1815</v>
      </c>
      <c r="B148" s="2" t="s">
        <v>156</v>
      </c>
      <c r="C148" s="2" t="s">
        <v>172</v>
      </c>
      <c r="D148" s="2" t="s">
        <v>1885</v>
      </c>
      <c r="E148" s="3" t="s">
        <v>1909</v>
      </c>
    </row>
    <row r="149" spans="1:5">
      <c r="A149" s="42" t="s">
        <v>1848</v>
      </c>
      <c r="B149" s="2" t="s">
        <v>156</v>
      </c>
      <c r="C149" s="2" t="s">
        <v>167</v>
      </c>
      <c r="D149" s="2" t="s">
        <v>1367</v>
      </c>
      <c r="E149" s="3" t="s">
        <v>1910</v>
      </c>
    </row>
    <row r="150" spans="1:5">
      <c r="A150" s="42" t="s">
        <v>427</v>
      </c>
      <c r="B150" s="2" t="s">
        <v>156</v>
      </c>
      <c r="C150" s="2" t="s">
        <v>160</v>
      </c>
      <c r="D150" s="2" t="s">
        <v>1471</v>
      </c>
      <c r="E150" s="3" t="s">
        <v>1911</v>
      </c>
    </row>
    <row r="151" spans="1:5">
      <c r="A151" s="42" t="s">
        <v>1818</v>
      </c>
      <c r="B151" s="2" t="s">
        <v>156</v>
      </c>
      <c r="C151" s="2" t="s">
        <v>172</v>
      </c>
      <c r="D151" s="2" t="s">
        <v>1683</v>
      </c>
      <c r="E151" s="3" t="s">
        <v>1912</v>
      </c>
    </row>
    <row r="152" spans="1:5">
      <c r="A152" s="42" t="s">
        <v>1758</v>
      </c>
      <c r="B152" s="2" t="s">
        <v>156</v>
      </c>
      <c r="C152" s="2" t="s">
        <v>164</v>
      </c>
      <c r="D152" s="2" t="s">
        <v>1913</v>
      </c>
      <c r="E152" s="3" t="s">
        <v>1914</v>
      </c>
    </row>
    <row r="153" spans="1:5">
      <c r="A153" s="42" t="s">
        <v>1865</v>
      </c>
      <c r="B153" s="2" t="s">
        <v>156</v>
      </c>
      <c r="C153" s="2" t="s">
        <v>160</v>
      </c>
      <c r="D153" s="2" t="s">
        <v>1885</v>
      </c>
      <c r="E153" s="3" t="s">
        <v>1915</v>
      </c>
    </row>
    <row r="154" spans="1:5">
      <c r="A154" s="42" t="s">
        <v>1761</v>
      </c>
      <c r="B154" s="2" t="s">
        <v>156</v>
      </c>
      <c r="C154" s="2" t="s">
        <v>164</v>
      </c>
      <c r="D154" s="2" t="s">
        <v>1916</v>
      </c>
      <c r="E154" s="3" t="s">
        <v>1917</v>
      </c>
    </row>
    <row r="155" spans="1:5">
      <c r="A155" s="42" t="s">
        <v>1788</v>
      </c>
      <c r="B155" s="2" t="s">
        <v>156</v>
      </c>
      <c r="C155" s="2" t="s">
        <v>170</v>
      </c>
      <c r="D155" s="2" t="s">
        <v>1918</v>
      </c>
      <c r="E155" s="3" t="s">
        <v>1919</v>
      </c>
    </row>
    <row r="156" spans="1:5">
      <c r="A156" s="42" t="s">
        <v>1029</v>
      </c>
      <c r="B156" s="2" t="s">
        <v>156</v>
      </c>
      <c r="C156" s="2" t="s">
        <v>164</v>
      </c>
      <c r="D156" s="2" t="s">
        <v>1887</v>
      </c>
      <c r="E156" s="3" t="s">
        <v>1920</v>
      </c>
    </row>
    <row r="157" spans="1:5">
      <c r="A157" s="42" t="s">
        <v>1778</v>
      </c>
      <c r="B157" s="2" t="s">
        <v>156</v>
      </c>
      <c r="C157" s="2" t="s">
        <v>170</v>
      </c>
      <c r="D157" s="2" t="s">
        <v>1916</v>
      </c>
      <c r="E157" s="3" t="s">
        <v>1921</v>
      </c>
    </row>
    <row r="158" spans="1:5">
      <c r="A158" s="42" t="s">
        <v>1860</v>
      </c>
      <c r="B158" s="2" t="s">
        <v>156</v>
      </c>
      <c r="C158" s="2" t="s">
        <v>160</v>
      </c>
      <c r="D158" s="2" t="s">
        <v>1922</v>
      </c>
      <c r="E158" s="3" t="s">
        <v>1923</v>
      </c>
    </row>
    <row r="159" spans="1:5">
      <c r="A159" s="42" t="s">
        <v>1753</v>
      </c>
      <c r="B159" s="2" t="s">
        <v>156</v>
      </c>
      <c r="C159" s="2" t="s">
        <v>164</v>
      </c>
      <c r="D159" s="2" t="s">
        <v>1706</v>
      </c>
      <c r="E159" s="3" t="s">
        <v>1924</v>
      </c>
    </row>
    <row r="160" spans="1:5">
      <c r="A160" s="42" t="s">
        <v>246</v>
      </c>
      <c r="B160" s="2" t="s">
        <v>156</v>
      </c>
      <c r="C160" s="2" t="s">
        <v>456</v>
      </c>
      <c r="D160" s="2" t="s">
        <v>1925</v>
      </c>
      <c r="E160" s="3" t="s">
        <v>1926</v>
      </c>
    </row>
    <row r="161" spans="1:5">
      <c r="A161" s="42" t="s">
        <v>1783</v>
      </c>
      <c r="B161" s="2" t="s">
        <v>156</v>
      </c>
      <c r="C161" s="2" t="s">
        <v>170</v>
      </c>
      <c r="D161" s="2" t="s">
        <v>1927</v>
      </c>
      <c r="E161" s="3" t="s">
        <v>1928</v>
      </c>
    </row>
    <row r="162" spans="1:5">
      <c r="A162" s="42" t="s">
        <v>652</v>
      </c>
      <c r="B162" s="2" t="s">
        <v>156</v>
      </c>
      <c r="C162" s="2" t="s">
        <v>456</v>
      </c>
      <c r="D162" s="2" t="s">
        <v>115</v>
      </c>
      <c r="E162" s="3" t="s">
        <v>1929</v>
      </c>
    </row>
    <row r="164" ht="13.8" spans="1:2">
      <c r="A164" s="39" t="s">
        <v>178</v>
      </c>
      <c r="B164" s="40"/>
    </row>
    <row r="165" ht="13.8" spans="1:5">
      <c r="A165" s="41" t="s">
        <v>1</v>
      </c>
      <c r="B165" s="41" t="s">
        <v>157</v>
      </c>
      <c r="C165" s="41" t="s">
        <v>158</v>
      </c>
      <c r="D165" s="41" t="s">
        <v>7</v>
      </c>
      <c r="E165" s="41" t="s">
        <v>159</v>
      </c>
    </row>
    <row r="166" spans="1:5">
      <c r="A166" s="42" t="s">
        <v>1766</v>
      </c>
      <c r="B166" s="2" t="s">
        <v>455</v>
      </c>
      <c r="C166" s="2" t="s">
        <v>164</v>
      </c>
      <c r="D166" s="2" t="s">
        <v>1930</v>
      </c>
      <c r="E166" s="3" t="s">
        <v>1931</v>
      </c>
    </row>
    <row r="167" spans="1:5">
      <c r="A167" s="42" t="s">
        <v>1873</v>
      </c>
      <c r="B167" s="2" t="s">
        <v>460</v>
      </c>
      <c r="C167" s="2" t="s">
        <v>185</v>
      </c>
      <c r="D167" s="2" t="s">
        <v>1906</v>
      </c>
      <c r="E167" s="3" t="s">
        <v>1932</v>
      </c>
    </row>
    <row r="168" spans="1:5">
      <c r="A168" s="42" t="s">
        <v>1833</v>
      </c>
      <c r="B168" s="2" t="s">
        <v>460</v>
      </c>
      <c r="C168" s="2" t="s">
        <v>163</v>
      </c>
      <c r="D168" s="2" t="s">
        <v>1933</v>
      </c>
      <c r="E168" s="3" t="s">
        <v>1934</v>
      </c>
    </row>
    <row r="169" spans="1:5">
      <c r="A169" s="42" t="s">
        <v>408</v>
      </c>
      <c r="B169" s="2" t="s">
        <v>179</v>
      </c>
      <c r="C169" s="2" t="s">
        <v>167</v>
      </c>
      <c r="D169" s="2" t="s">
        <v>1486</v>
      </c>
      <c r="E169" s="3" t="s">
        <v>1935</v>
      </c>
    </row>
    <row r="170" spans="1:5">
      <c r="A170" s="42" t="s">
        <v>1865</v>
      </c>
      <c r="B170" s="2" t="s">
        <v>460</v>
      </c>
      <c r="C170" s="2" t="s">
        <v>160</v>
      </c>
      <c r="D170" s="2" t="s">
        <v>1885</v>
      </c>
      <c r="E170" s="3" t="s">
        <v>1936</v>
      </c>
    </row>
    <row r="171" spans="1:5">
      <c r="A171" s="42" t="s">
        <v>790</v>
      </c>
      <c r="B171" s="2" t="s">
        <v>187</v>
      </c>
      <c r="C171" s="2" t="s">
        <v>163</v>
      </c>
      <c r="D171" s="2" t="s">
        <v>1937</v>
      </c>
      <c r="E171" s="3" t="s">
        <v>1938</v>
      </c>
    </row>
    <row r="172" spans="1:5">
      <c r="A172" s="42" t="s">
        <v>1746</v>
      </c>
      <c r="B172" s="2" t="s">
        <v>460</v>
      </c>
      <c r="C172" s="2" t="s">
        <v>456</v>
      </c>
      <c r="D172" s="2" t="s">
        <v>1747</v>
      </c>
      <c r="E172" s="3" t="s">
        <v>1939</v>
      </c>
    </row>
    <row r="173" spans="1:5">
      <c r="A173" s="42" t="s">
        <v>411</v>
      </c>
      <c r="B173" s="2" t="s">
        <v>179</v>
      </c>
      <c r="C173" s="2" t="s">
        <v>160</v>
      </c>
      <c r="D173" s="2" t="s">
        <v>1940</v>
      </c>
      <c r="E173" s="3" t="s">
        <v>1941</v>
      </c>
    </row>
    <row r="174" spans="1:5">
      <c r="A174" s="42" t="s">
        <v>1822</v>
      </c>
      <c r="B174" s="2" t="s">
        <v>460</v>
      </c>
      <c r="C174" s="2" t="s">
        <v>172</v>
      </c>
      <c r="D174" s="2" t="s">
        <v>1655</v>
      </c>
      <c r="E174" s="3" t="s">
        <v>1942</v>
      </c>
    </row>
    <row r="175" spans="1:5">
      <c r="A175" s="42" t="s">
        <v>1021</v>
      </c>
      <c r="B175" s="2" t="s">
        <v>187</v>
      </c>
      <c r="C175" s="2" t="s">
        <v>456</v>
      </c>
      <c r="D175" s="2" t="s">
        <v>1338</v>
      </c>
      <c r="E175" s="3" t="s">
        <v>1943</v>
      </c>
    </row>
    <row r="176" spans="1:5">
      <c r="A176" s="42" t="s">
        <v>1310</v>
      </c>
      <c r="B176" s="2" t="s">
        <v>187</v>
      </c>
      <c r="C176" s="2" t="s">
        <v>172</v>
      </c>
      <c r="D176" s="2" t="s">
        <v>1464</v>
      </c>
      <c r="E176" s="3" t="s">
        <v>1944</v>
      </c>
    </row>
    <row r="177" spans="1:5">
      <c r="A177" s="42" t="s">
        <v>1793</v>
      </c>
      <c r="B177" s="2" t="s">
        <v>460</v>
      </c>
      <c r="C177" s="2" t="s">
        <v>170</v>
      </c>
      <c r="D177" s="2" t="s">
        <v>1699</v>
      </c>
      <c r="E177" s="3" t="s">
        <v>1945</v>
      </c>
    </row>
    <row r="178" spans="1:5">
      <c r="A178" s="42" t="s">
        <v>1770</v>
      </c>
      <c r="B178" s="2" t="s">
        <v>502</v>
      </c>
      <c r="C178" s="2" t="s">
        <v>164</v>
      </c>
      <c r="D178" s="2" t="s">
        <v>129</v>
      </c>
      <c r="E178" s="3" t="s">
        <v>1946</v>
      </c>
    </row>
    <row r="179" spans="1:5">
      <c r="A179" s="42" t="s">
        <v>369</v>
      </c>
      <c r="B179" s="2" t="s">
        <v>455</v>
      </c>
      <c r="C179" s="2" t="s">
        <v>163</v>
      </c>
      <c r="D179" s="2" t="s">
        <v>1072</v>
      </c>
      <c r="E179" s="3" t="s">
        <v>1947</v>
      </c>
    </row>
    <row r="180" spans="1:5">
      <c r="A180" s="42" t="s">
        <v>1836</v>
      </c>
      <c r="B180" s="2" t="s">
        <v>460</v>
      </c>
      <c r="C180" s="2" t="s">
        <v>163</v>
      </c>
      <c r="D180" s="2" t="s">
        <v>1706</v>
      </c>
      <c r="E180" s="3" t="s">
        <v>1948</v>
      </c>
    </row>
    <row r="181" spans="1:5">
      <c r="A181" s="42" t="s">
        <v>1797</v>
      </c>
      <c r="B181" s="2" t="s">
        <v>179</v>
      </c>
      <c r="C181" s="2" t="s">
        <v>170</v>
      </c>
      <c r="D181" s="2" t="s">
        <v>64</v>
      </c>
      <c r="E181" s="3" t="s">
        <v>1949</v>
      </c>
    </row>
    <row r="182" spans="1:5">
      <c r="A182" s="42" t="s">
        <v>1855</v>
      </c>
      <c r="B182" s="2" t="s">
        <v>187</v>
      </c>
      <c r="C182" s="2" t="s">
        <v>167</v>
      </c>
      <c r="D182" s="2" t="s">
        <v>63</v>
      </c>
      <c r="E182" s="3" t="s">
        <v>1950</v>
      </c>
    </row>
  </sheetData>
  <sheetProtection selectLockedCells="1" selectUnlockedCells="1"/>
  <mergeCells count="26">
    <mergeCell ref="F3:I3"/>
    <mergeCell ref="J3:M3"/>
    <mergeCell ref="N3:Q3"/>
    <mergeCell ref="A5:S5"/>
    <mergeCell ref="A8:S8"/>
    <mergeCell ref="A11:S11"/>
    <mergeCell ref="A14:S14"/>
    <mergeCell ref="A18:S18"/>
    <mergeCell ref="A21:S21"/>
    <mergeCell ref="A24:S24"/>
    <mergeCell ref="A31:S31"/>
    <mergeCell ref="A42:S42"/>
    <mergeCell ref="A54:S54"/>
    <mergeCell ref="A68:S68"/>
    <mergeCell ref="A79:S79"/>
    <mergeCell ref="A87:S87"/>
    <mergeCell ref="A95:S95"/>
    <mergeCell ref="A3:A4"/>
    <mergeCell ref="B3:B4"/>
    <mergeCell ref="C3:C4"/>
    <mergeCell ref="D3:D4"/>
    <mergeCell ref="E3:E4"/>
    <mergeCell ref="R3:R4"/>
    <mergeCell ref="S3:S4"/>
    <mergeCell ref="T3:T4"/>
    <mergeCell ref="A1:T2"/>
  </mergeCells>
  <pageMargins left="0.75" right="0.75" top="0.979861111111111" bottom="0.979861111111111" header="0.509722222222222" footer="0.509722222222222"/>
  <pageSetup paperSize="9" fitToWidth="0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8"/>
  <sheetViews>
    <sheetView tabSelected="1" topLeftCell="A143" workbookViewId="0">
      <selection activeCell="O23" sqref="O23"/>
    </sheetView>
  </sheetViews>
  <sheetFormatPr defaultColWidth="8.88888888888889" defaultRowHeight="13.2"/>
  <cols>
    <col min="1" max="1" width="24.8796296296296" style="43"/>
    <col min="2" max="2" width="26.5555555555556" style="43"/>
    <col min="3" max="3" width="7.55555555555556" style="43"/>
    <col min="4" max="4" width="6.55555555555556" style="43"/>
    <col min="5" max="5" width="17" style="43"/>
    <col min="6" max="9" width="5.55555555555556" style="43"/>
    <col min="10" max="10" width="6.33333333333333" style="67"/>
    <col min="11" max="11" width="8.55555555555556" style="43"/>
    <col min="12" max="12" width="7.11111111111111" style="43"/>
  </cols>
  <sheetData>
    <row r="1" s="5" customFormat="1" ht="15" customHeight="1" spans="1:12">
      <c r="A1" s="6" t="s">
        <v>189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5" customFormat="1" ht="56.2" customHeigh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12.75" customHeight="1" spans="1:12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190</v>
      </c>
      <c r="G3" s="10"/>
      <c r="H3" s="10"/>
      <c r="I3" s="10"/>
      <c r="J3" s="32" t="s">
        <v>7</v>
      </c>
      <c r="K3" s="9" t="s">
        <v>8</v>
      </c>
      <c r="L3" s="33" t="s">
        <v>9</v>
      </c>
    </row>
    <row r="4" s="1" customFormat="1" ht="23.25" customHeight="1" spans="1:12">
      <c r="A4" s="7"/>
      <c r="B4" s="8"/>
      <c r="C4" s="8"/>
      <c r="D4" s="8"/>
      <c r="E4" s="8"/>
      <c r="F4" s="11">
        <v>1</v>
      </c>
      <c r="G4" s="12">
        <v>2</v>
      </c>
      <c r="H4" s="12">
        <v>3</v>
      </c>
      <c r="I4" s="31" t="s">
        <v>10</v>
      </c>
      <c r="J4" s="32"/>
      <c r="K4" s="9"/>
      <c r="L4" s="33"/>
    </row>
    <row r="5" ht="15.6" spans="1:11">
      <c r="A5" s="45" t="s">
        <v>191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>
      <c r="A6" s="46" t="s">
        <v>192</v>
      </c>
      <c r="B6" s="46" t="s">
        <v>193</v>
      </c>
      <c r="C6" s="46" t="s">
        <v>194</v>
      </c>
      <c r="D6" s="46" t="str">
        <f ca="1">"1,3767"</f>
        <v>1,3767</v>
      </c>
      <c r="E6" s="46" t="s">
        <v>98</v>
      </c>
      <c r="F6" s="52" t="s">
        <v>195</v>
      </c>
      <c r="G6" s="46" t="s">
        <v>195</v>
      </c>
      <c r="H6" s="52" t="s">
        <v>196</v>
      </c>
      <c r="I6" s="52"/>
      <c r="J6" s="73">
        <v>110</v>
      </c>
      <c r="K6" s="46" t="str">
        <f ca="1">"151,4341"</f>
        <v>151,4341</v>
      </c>
      <c r="L6" s="46"/>
    </row>
    <row r="8" ht="15.6" spans="1:11">
      <c r="A8" s="47" t="s">
        <v>197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2">
      <c r="A9" s="48" t="s">
        <v>198</v>
      </c>
      <c r="B9" s="48" t="s">
        <v>199</v>
      </c>
      <c r="C9" s="48" t="s">
        <v>200</v>
      </c>
      <c r="D9" s="48" t="str">
        <f ca="1">"0,9772"</f>
        <v>0,9772</v>
      </c>
      <c r="E9" s="48" t="s">
        <v>49</v>
      </c>
      <c r="F9" s="48" t="s">
        <v>123</v>
      </c>
      <c r="G9" s="48" t="s">
        <v>201</v>
      </c>
      <c r="H9" s="48" t="s">
        <v>202</v>
      </c>
      <c r="I9" s="49"/>
      <c r="J9" s="69">
        <v>140</v>
      </c>
      <c r="K9" s="48" t="str">
        <f ca="1">"136,8010"</f>
        <v>136,8010</v>
      </c>
      <c r="L9" s="48"/>
    </row>
    <row r="10" spans="1:12">
      <c r="A10" s="53" t="s">
        <v>203</v>
      </c>
      <c r="B10" s="53" t="s">
        <v>204</v>
      </c>
      <c r="C10" s="53" t="s">
        <v>205</v>
      </c>
      <c r="D10" s="53" t="str">
        <f ca="1">"0,9451"</f>
        <v>0,9451</v>
      </c>
      <c r="E10" s="53" t="s">
        <v>49</v>
      </c>
      <c r="F10" s="53" t="s">
        <v>206</v>
      </c>
      <c r="G10" s="54" t="s">
        <v>207</v>
      </c>
      <c r="H10" s="54" t="s">
        <v>207</v>
      </c>
      <c r="I10" s="77"/>
      <c r="J10" s="59" t="s">
        <v>208</v>
      </c>
      <c r="K10" s="53" t="s">
        <v>209</v>
      </c>
      <c r="L10" s="53"/>
    </row>
    <row r="11" spans="1:12">
      <c r="A11" s="50" t="s">
        <v>210</v>
      </c>
      <c r="B11" s="50" t="s">
        <v>211</v>
      </c>
      <c r="C11" s="50" t="s">
        <v>212</v>
      </c>
      <c r="D11" s="50" t="str">
        <f ca="1">"0,9211"</f>
        <v>0,9211</v>
      </c>
      <c r="E11" s="50" t="s">
        <v>49</v>
      </c>
      <c r="F11" s="50" t="s">
        <v>202</v>
      </c>
      <c r="G11" s="50" t="s">
        <v>213</v>
      </c>
      <c r="H11" s="51" t="s">
        <v>147</v>
      </c>
      <c r="I11" s="51"/>
      <c r="J11" s="74">
        <v>150</v>
      </c>
      <c r="K11" s="50" t="str">
        <f ca="1">"138,1650"</f>
        <v>138,1650</v>
      </c>
      <c r="L11" s="50"/>
    </row>
    <row r="13" ht="15.6" spans="1:11">
      <c r="A13" s="47" t="s">
        <v>11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2">
      <c r="A14" s="48" t="s">
        <v>214</v>
      </c>
      <c r="B14" s="48" t="s">
        <v>215</v>
      </c>
      <c r="C14" s="48" t="s">
        <v>216</v>
      </c>
      <c r="D14" s="48" t="str">
        <f ca="1">"0,8628"</f>
        <v>0,8628</v>
      </c>
      <c r="E14" s="48" t="s">
        <v>21</v>
      </c>
      <c r="F14" s="48" t="s">
        <v>217</v>
      </c>
      <c r="G14" s="48" t="s">
        <v>218</v>
      </c>
      <c r="H14" s="49" t="s">
        <v>219</v>
      </c>
      <c r="I14" s="49"/>
      <c r="J14" s="69">
        <v>172.5</v>
      </c>
      <c r="K14" s="48" t="str">
        <f ca="1">"148,8317"</f>
        <v>148,8317</v>
      </c>
      <c r="L14" s="48"/>
    </row>
    <row r="15" spans="1:12">
      <c r="A15" s="50" t="s">
        <v>220</v>
      </c>
      <c r="B15" s="50" t="s">
        <v>221</v>
      </c>
      <c r="C15" s="50" t="s">
        <v>222</v>
      </c>
      <c r="D15" s="50" t="str">
        <f ca="1">"1,1529"</f>
        <v>1,1529</v>
      </c>
      <c r="E15" s="50" t="s">
        <v>32</v>
      </c>
      <c r="F15" s="50" t="s">
        <v>217</v>
      </c>
      <c r="G15" s="50" t="s">
        <v>147</v>
      </c>
      <c r="H15" s="51"/>
      <c r="I15" s="51"/>
      <c r="J15" s="74">
        <v>160</v>
      </c>
      <c r="K15" s="50" t="str">
        <f ca="1">"184,4590"</f>
        <v>184,4590</v>
      </c>
      <c r="L15" s="50"/>
    </row>
    <row r="17" ht="15.6" spans="1:11">
      <c r="A17" s="47" t="s">
        <v>17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2">
      <c r="A18" s="48" t="s">
        <v>223</v>
      </c>
      <c r="B18" s="48" t="s">
        <v>224</v>
      </c>
      <c r="C18" s="48" t="s">
        <v>225</v>
      </c>
      <c r="D18" s="48" t="str">
        <f ca="1">"0,7931"</f>
        <v>0,7931</v>
      </c>
      <c r="E18" s="48" t="s">
        <v>32</v>
      </c>
      <c r="F18" s="49" t="s">
        <v>226</v>
      </c>
      <c r="G18" s="48" t="s">
        <v>227</v>
      </c>
      <c r="H18" s="49" t="s">
        <v>228</v>
      </c>
      <c r="I18" s="49"/>
      <c r="J18" s="69">
        <v>215</v>
      </c>
      <c r="K18" s="48" t="str">
        <f ca="1">"170,5165"</f>
        <v>170,5165</v>
      </c>
      <c r="L18" s="48"/>
    </row>
    <row r="19" spans="1:12">
      <c r="A19" s="50" t="s">
        <v>223</v>
      </c>
      <c r="B19" s="50" t="s">
        <v>229</v>
      </c>
      <c r="C19" s="50" t="s">
        <v>225</v>
      </c>
      <c r="D19" s="50" t="str">
        <f ca="1">"0,8962"</f>
        <v>0,8962</v>
      </c>
      <c r="E19" s="50" t="s">
        <v>32</v>
      </c>
      <c r="F19" s="51" t="s">
        <v>226</v>
      </c>
      <c r="G19" s="50" t="s">
        <v>227</v>
      </c>
      <c r="H19" s="51" t="s">
        <v>228</v>
      </c>
      <c r="I19" s="51"/>
      <c r="J19" s="74">
        <v>215</v>
      </c>
      <c r="K19" s="50" t="str">
        <f ca="1">"192,6836"</f>
        <v>192,6836</v>
      </c>
      <c r="L19" s="50"/>
    </row>
    <row r="21" ht="15.6" spans="1:11">
      <c r="A21" s="47" t="s">
        <v>35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2">
      <c r="A22" s="46" t="s">
        <v>230</v>
      </c>
      <c r="B22" s="46" t="s">
        <v>231</v>
      </c>
      <c r="C22" s="46" t="s">
        <v>232</v>
      </c>
      <c r="D22" s="46" t="str">
        <f ca="1">"0,7502"</f>
        <v>0,7502</v>
      </c>
      <c r="E22" s="46" t="s">
        <v>32</v>
      </c>
      <c r="F22" s="46" t="s">
        <v>207</v>
      </c>
      <c r="G22" s="46" t="s">
        <v>233</v>
      </c>
      <c r="H22" s="52" t="s">
        <v>140</v>
      </c>
      <c r="I22" s="52"/>
      <c r="J22" s="73">
        <v>175</v>
      </c>
      <c r="K22" s="46" t="str">
        <f ca="1">"131,2850"</f>
        <v>131,2850</v>
      </c>
      <c r="L22" s="46"/>
    </row>
    <row r="24" ht="15.6" spans="1:11">
      <c r="A24" s="47" t="s">
        <v>197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2">
      <c r="A25" s="48" t="s">
        <v>234</v>
      </c>
      <c r="B25" s="48" t="s">
        <v>235</v>
      </c>
      <c r="C25" s="48" t="s">
        <v>236</v>
      </c>
      <c r="D25" s="48" t="str">
        <f ca="1">"0,7522"</f>
        <v>0,7522</v>
      </c>
      <c r="E25" s="48" t="s">
        <v>21</v>
      </c>
      <c r="F25" s="48" t="s">
        <v>202</v>
      </c>
      <c r="G25" s="48" t="s">
        <v>213</v>
      </c>
      <c r="H25" s="48" t="s">
        <v>147</v>
      </c>
      <c r="I25" s="49"/>
      <c r="J25" s="69">
        <v>160</v>
      </c>
      <c r="K25" s="48" t="str">
        <f ca="1">"120,3520"</f>
        <v>120,3520</v>
      </c>
      <c r="L25" s="48"/>
    </row>
    <row r="26" spans="1:12">
      <c r="A26" s="50" t="s">
        <v>237</v>
      </c>
      <c r="B26" s="50" t="s">
        <v>238</v>
      </c>
      <c r="C26" s="50" t="s">
        <v>239</v>
      </c>
      <c r="D26" s="50" t="str">
        <f ca="1">"0,7541"</f>
        <v>0,7541</v>
      </c>
      <c r="E26" s="50" t="s">
        <v>240</v>
      </c>
      <c r="F26" s="51" t="s">
        <v>140</v>
      </c>
      <c r="G26" s="50" t="s">
        <v>140</v>
      </c>
      <c r="H26" s="51" t="s">
        <v>141</v>
      </c>
      <c r="I26" s="51"/>
      <c r="J26" s="74">
        <v>180</v>
      </c>
      <c r="K26" s="50" t="str">
        <f ca="1">"135,7470"</f>
        <v>135,7470</v>
      </c>
      <c r="L26" s="50"/>
    </row>
    <row r="28" ht="15.6" spans="1:11">
      <c r="A28" s="47" t="s">
        <v>11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2">
      <c r="A29" s="48" t="s">
        <v>241</v>
      </c>
      <c r="B29" s="48" t="s">
        <v>242</v>
      </c>
      <c r="C29" s="48" t="s">
        <v>243</v>
      </c>
      <c r="D29" s="48" t="str">
        <f ca="1">"0,6969"</f>
        <v>0,6969</v>
      </c>
      <c r="E29" s="48" t="s">
        <v>49</v>
      </c>
      <c r="F29" s="48" t="s">
        <v>244</v>
      </c>
      <c r="G29" s="48" t="s">
        <v>245</v>
      </c>
      <c r="H29" s="48" t="s">
        <v>196</v>
      </c>
      <c r="I29" s="49"/>
      <c r="J29" s="69">
        <v>115</v>
      </c>
      <c r="K29" s="48" t="str">
        <f ca="1">"80,1378"</f>
        <v>80,1378</v>
      </c>
      <c r="L29" s="48"/>
    </row>
    <row r="30" spans="1:12">
      <c r="A30" s="53" t="s">
        <v>246</v>
      </c>
      <c r="B30" s="53" t="s">
        <v>247</v>
      </c>
      <c r="C30" s="53" t="s">
        <v>248</v>
      </c>
      <c r="D30" s="53" t="str">
        <f ca="1">"0,6885"</f>
        <v>0,6885</v>
      </c>
      <c r="E30" s="53" t="s">
        <v>249</v>
      </c>
      <c r="F30" s="53" t="s">
        <v>88</v>
      </c>
      <c r="G30" s="53" t="s">
        <v>89</v>
      </c>
      <c r="H30" s="54"/>
      <c r="I30" s="54"/>
      <c r="J30" s="75">
        <v>255</v>
      </c>
      <c r="K30" s="53" t="str">
        <f ca="1">"175,5802"</f>
        <v>175,5802</v>
      </c>
      <c r="L30" s="53"/>
    </row>
    <row r="31" spans="1:12">
      <c r="A31" s="53" t="s">
        <v>250</v>
      </c>
      <c r="B31" s="53" t="s">
        <v>251</v>
      </c>
      <c r="C31" s="53" t="s">
        <v>243</v>
      </c>
      <c r="D31" s="53" t="str">
        <f ca="1">"0,6969"</f>
        <v>0,6969</v>
      </c>
      <c r="E31" s="53" t="s">
        <v>49</v>
      </c>
      <c r="F31" s="54" t="s">
        <v>252</v>
      </c>
      <c r="G31" s="53" t="s">
        <v>252</v>
      </c>
      <c r="H31" s="53" t="s">
        <v>253</v>
      </c>
      <c r="I31" s="54"/>
      <c r="J31" s="75">
        <v>242.5</v>
      </c>
      <c r="K31" s="53" t="str">
        <f ca="1">"168,9861"</f>
        <v>168,9861</v>
      </c>
      <c r="L31" s="53"/>
    </row>
    <row r="32" spans="1:12">
      <c r="A32" s="53" t="s">
        <v>254</v>
      </c>
      <c r="B32" s="53" t="s">
        <v>255</v>
      </c>
      <c r="C32" s="53" t="s">
        <v>222</v>
      </c>
      <c r="D32" s="53" t="str">
        <f ca="1">"0,7110"</f>
        <v>0,7110</v>
      </c>
      <c r="E32" s="53" t="s">
        <v>256</v>
      </c>
      <c r="F32" s="53" t="s">
        <v>33</v>
      </c>
      <c r="G32" s="54" t="s">
        <v>40</v>
      </c>
      <c r="H32" s="54" t="s">
        <v>40</v>
      </c>
      <c r="I32" s="54"/>
      <c r="J32" s="75">
        <v>240</v>
      </c>
      <c r="K32" s="53" t="str">
        <f ca="1">"170,6280"</f>
        <v>170,6280</v>
      </c>
      <c r="L32" s="53"/>
    </row>
    <row r="33" spans="1:12">
      <c r="A33" s="53" t="s">
        <v>257</v>
      </c>
      <c r="B33" s="53" t="s">
        <v>258</v>
      </c>
      <c r="C33" s="53" t="s">
        <v>259</v>
      </c>
      <c r="D33" s="53" t="str">
        <f ca="1">"0,7283"</f>
        <v>0,7283</v>
      </c>
      <c r="E33" s="53" t="s">
        <v>49</v>
      </c>
      <c r="F33" s="53" t="s">
        <v>206</v>
      </c>
      <c r="G33" s="54" t="s">
        <v>207</v>
      </c>
      <c r="H33" s="53" t="s">
        <v>207</v>
      </c>
      <c r="I33" s="54"/>
      <c r="J33" s="75">
        <v>170</v>
      </c>
      <c r="K33" s="53" t="str">
        <f ca="1">"123,8107"</f>
        <v>123,8107</v>
      </c>
      <c r="L33" s="53"/>
    </row>
    <row r="34" spans="1:12">
      <c r="A34" s="53" t="s">
        <v>260</v>
      </c>
      <c r="B34" s="53" t="s">
        <v>261</v>
      </c>
      <c r="C34" s="53" t="s">
        <v>262</v>
      </c>
      <c r="D34" s="53" t="str">
        <f ca="1">"0,9280"</f>
        <v>0,9280</v>
      </c>
      <c r="E34" s="53" t="s">
        <v>263</v>
      </c>
      <c r="F34" s="53" t="s">
        <v>44</v>
      </c>
      <c r="G34" s="53" t="s">
        <v>264</v>
      </c>
      <c r="H34" s="54" t="s">
        <v>88</v>
      </c>
      <c r="I34" s="54"/>
      <c r="J34" s="75">
        <v>225</v>
      </c>
      <c r="K34" s="53" t="str">
        <f ca="1">"208,8080"</f>
        <v>208,8080</v>
      </c>
      <c r="L34" s="53"/>
    </row>
    <row r="35" spans="1:12">
      <c r="A35" s="53" t="s">
        <v>265</v>
      </c>
      <c r="B35" s="53" t="s">
        <v>266</v>
      </c>
      <c r="C35" s="53" t="s">
        <v>267</v>
      </c>
      <c r="D35" s="53" t="str">
        <f ca="1">"1,1434"</f>
        <v>1,1434</v>
      </c>
      <c r="E35" s="53" t="s">
        <v>15</v>
      </c>
      <c r="F35" s="53" t="s">
        <v>268</v>
      </c>
      <c r="G35" s="53" t="s">
        <v>202</v>
      </c>
      <c r="H35" s="53" t="s">
        <v>269</v>
      </c>
      <c r="I35" s="54"/>
      <c r="J35" s="75">
        <v>145</v>
      </c>
      <c r="K35" s="53" t="str">
        <f ca="1">"165,7988"</f>
        <v>165,7988</v>
      </c>
      <c r="L35" s="53"/>
    </row>
    <row r="36" spans="1:12">
      <c r="A36" s="50" t="s">
        <v>270</v>
      </c>
      <c r="B36" s="50" t="s">
        <v>271</v>
      </c>
      <c r="C36" s="50" t="s">
        <v>272</v>
      </c>
      <c r="D36" s="50" t="str">
        <f ca="1">"1,2639"</f>
        <v>1,2639</v>
      </c>
      <c r="E36" s="50" t="s">
        <v>49</v>
      </c>
      <c r="F36" s="50" t="s">
        <v>213</v>
      </c>
      <c r="G36" s="50" t="s">
        <v>147</v>
      </c>
      <c r="H36" s="50" t="s">
        <v>273</v>
      </c>
      <c r="I36" s="51"/>
      <c r="J36" s="74">
        <v>167.5</v>
      </c>
      <c r="K36" s="50" t="str">
        <f ca="1">"211,7087"</f>
        <v>211,7087</v>
      </c>
      <c r="L36" s="50"/>
    </row>
    <row r="38" ht="15.6" spans="1:11">
      <c r="A38" s="47" t="s">
        <v>17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2">
      <c r="A39" s="48" t="s">
        <v>274</v>
      </c>
      <c r="B39" s="48" t="s">
        <v>275</v>
      </c>
      <c r="C39" s="48" t="s">
        <v>276</v>
      </c>
      <c r="D39" s="48" t="str">
        <f ca="1">"0,6487"</f>
        <v>0,6487</v>
      </c>
      <c r="E39" s="48" t="s">
        <v>39</v>
      </c>
      <c r="F39" s="48" t="s">
        <v>33</v>
      </c>
      <c r="G39" s="48" t="s">
        <v>89</v>
      </c>
      <c r="H39" s="49" t="s">
        <v>23</v>
      </c>
      <c r="I39" s="49"/>
      <c r="J39" s="69">
        <v>255</v>
      </c>
      <c r="K39" s="48" t="str">
        <f ca="1">"165,4185"</f>
        <v>165,4185</v>
      </c>
      <c r="L39" s="48"/>
    </row>
    <row r="40" spans="1:12">
      <c r="A40" s="53" t="s">
        <v>277</v>
      </c>
      <c r="B40" s="53" t="s">
        <v>278</v>
      </c>
      <c r="C40" s="53" t="s">
        <v>279</v>
      </c>
      <c r="D40" s="53" t="str">
        <f ca="1">"0,6446"</f>
        <v>0,6446</v>
      </c>
      <c r="E40" s="53" t="s">
        <v>39</v>
      </c>
      <c r="F40" s="54" t="s">
        <v>44</v>
      </c>
      <c r="G40" s="54" t="s">
        <v>264</v>
      </c>
      <c r="H40" s="53" t="s">
        <v>264</v>
      </c>
      <c r="I40" s="54"/>
      <c r="J40" s="75">
        <v>225</v>
      </c>
      <c r="K40" s="53" t="str">
        <f ca="1">"145,0350"</f>
        <v>145,0350</v>
      </c>
      <c r="L40" s="53"/>
    </row>
    <row r="41" spans="1:12">
      <c r="A41" s="53" t="s">
        <v>280</v>
      </c>
      <c r="B41" s="53" t="s">
        <v>281</v>
      </c>
      <c r="C41" s="53" t="s">
        <v>282</v>
      </c>
      <c r="D41" s="53" t="str">
        <f ca="1">"0,7214"</f>
        <v>0,7214</v>
      </c>
      <c r="E41" s="53" t="s">
        <v>283</v>
      </c>
      <c r="F41" s="53" t="s">
        <v>88</v>
      </c>
      <c r="G41" s="53" t="s">
        <v>80</v>
      </c>
      <c r="H41" s="53" t="s">
        <v>40</v>
      </c>
      <c r="I41" s="54"/>
      <c r="J41" s="75">
        <v>260</v>
      </c>
      <c r="K41" s="53" t="str">
        <f ca="1">"187,5761"</f>
        <v>187,5761</v>
      </c>
      <c r="L41" s="53"/>
    </row>
    <row r="42" spans="1:12">
      <c r="A42" s="50" t="s">
        <v>284</v>
      </c>
      <c r="B42" s="50" t="s">
        <v>285</v>
      </c>
      <c r="C42" s="50" t="s">
        <v>286</v>
      </c>
      <c r="D42" s="50" t="str">
        <f ca="1">"0,9555"</f>
        <v>0,9555</v>
      </c>
      <c r="E42" s="50" t="s">
        <v>49</v>
      </c>
      <c r="F42" s="50" t="s">
        <v>213</v>
      </c>
      <c r="G42" s="50" t="s">
        <v>147</v>
      </c>
      <c r="H42" s="50" t="s">
        <v>273</v>
      </c>
      <c r="I42" s="51"/>
      <c r="J42" s="74">
        <v>167.5</v>
      </c>
      <c r="K42" s="50" t="str">
        <f ca="1">"160,0425"</f>
        <v>160,0425</v>
      </c>
      <c r="L42" s="50"/>
    </row>
    <row r="44" ht="15.6" spans="1:11">
      <c r="A44" s="47" t="s">
        <v>35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</row>
    <row r="45" spans="1:12">
      <c r="A45" s="48" t="s">
        <v>287</v>
      </c>
      <c r="B45" s="48" t="s">
        <v>288</v>
      </c>
      <c r="C45" s="48" t="s">
        <v>289</v>
      </c>
      <c r="D45" s="48" t="str">
        <f ca="1">"0,6255"</f>
        <v>0,6255</v>
      </c>
      <c r="E45" s="48" t="s">
        <v>49</v>
      </c>
      <c r="F45" s="48" t="s">
        <v>141</v>
      </c>
      <c r="G45" s="49" t="s">
        <v>28</v>
      </c>
      <c r="H45" s="49" t="s">
        <v>28</v>
      </c>
      <c r="I45" s="49"/>
      <c r="J45" s="57" t="s">
        <v>290</v>
      </c>
      <c r="K45" s="48" t="s">
        <v>291</v>
      </c>
      <c r="L45" s="48"/>
    </row>
    <row r="46" spans="1:12">
      <c r="A46" s="53" t="s">
        <v>292</v>
      </c>
      <c r="B46" s="53" t="s">
        <v>293</v>
      </c>
      <c r="C46" s="53" t="s">
        <v>294</v>
      </c>
      <c r="D46" s="53" t="str">
        <f ca="1">"0,6230"</f>
        <v>0,6230</v>
      </c>
      <c r="E46" s="53" t="s">
        <v>256</v>
      </c>
      <c r="F46" s="53" t="s">
        <v>28</v>
      </c>
      <c r="G46" s="53" t="s">
        <v>252</v>
      </c>
      <c r="H46" s="54"/>
      <c r="I46" s="54"/>
      <c r="J46" s="75">
        <v>220</v>
      </c>
      <c r="K46" s="53" t="str">
        <f ca="1">"137,0600"</f>
        <v>137,0600</v>
      </c>
      <c r="L46" s="53"/>
    </row>
    <row r="47" spans="1:12">
      <c r="A47" s="53" t="s">
        <v>295</v>
      </c>
      <c r="B47" s="53" t="s">
        <v>296</v>
      </c>
      <c r="C47" s="53" t="s">
        <v>48</v>
      </c>
      <c r="D47" s="53" t="str">
        <f ca="1">"0,6122"</f>
        <v>0,6122</v>
      </c>
      <c r="E47" s="53" t="s">
        <v>256</v>
      </c>
      <c r="F47" s="53" t="s">
        <v>252</v>
      </c>
      <c r="G47" s="53" t="s">
        <v>80</v>
      </c>
      <c r="H47" s="53" t="s">
        <v>40</v>
      </c>
      <c r="I47" s="54"/>
      <c r="J47" s="75">
        <v>260</v>
      </c>
      <c r="K47" s="53" t="str">
        <f ca="1">"159,1850"</f>
        <v>159,1850</v>
      </c>
      <c r="L47" s="53"/>
    </row>
    <row r="48" spans="1:12">
      <c r="A48" s="53" t="s">
        <v>297</v>
      </c>
      <c r="B48" s="53" t="s">
        <v>298</v>
      </c>
      <c r="C48" s="53" t="s">
        <v>299</v>
      </c>
      <c r="D48" s="53" t="str">
        <f ca="1">"0,6188"</f>
        <v>0,6188</v>
      </c>
      <c r="E48" s="53" t="s">
        <v>49</v>
      </c>
      <c r="F48" s="53" t="s">
        <v>141</v>
      </c>
      <c r="G48" s="53" t="s">
        <v>227</v>
      </c>
      <c r="H48" s="53" t="s">
        <v>124</v>
      </c>
      <c r="I48" s="54"/>
      <c r="J48" s="75">
        <v>227.5</v>
      </c>
      <c r="K48" s="53" t="str">
        <f ca="1">"140,7884"</f>
        <v>140,7884</v>
      </c>
      <c r="L48" s="53"/>
    </row>
    <row r="49" spans="1:12">
      <c r="A49" s="53" t="s">
        <v>300</v>
      </c>
      <c r="B49" s="53" t="s">
        <v>301</v>
      </c>
      <c r="C49" s="53" t="s">
        <v>302</v>
      </c>
      <c r="D49" s="53" t="str">
        <f ca="1">"0,7062"</f>
        <v>0,7062</v>
      </c>
      <c r="E49" s="53" t="s">
        <v>49</v>
      </c>
      <c r="F49" s="53" t="s">
        <v>28</v>
      </c>
      <c r="G49" s="53" t="s">
        <v>264</v>
      </c>
      <c r="H49" s="54"/>
      <c r="I49" s="54"/>
      <c r="J49" s="75">
        <v>225</v>
      </c>
      <c r="K49" s="53" t="str">
        <f ca="1">"158,8968"</f>
        <v>158,8968</v>
      </c>
      <c r="L49" s="53"/>
    </row>
    <row r="50" spans="1:12">
      <c r="A50" s="50" t="s">
        <v>303</v>
      </c>
      <c r="B50" s="50" t="s">
        <v>304</v>
      </c>
      <c r="C50" s="50" t="s">
        <v>305</v>
      </c>
      <c r="D50" s="50" t="str">
        <f ca="1">"1,0658"</f>
        <v>1,0658</v>
      </c>
      <c r="E50" s="50" t="s">
        <v>49</v>
      </c>
      <c r="F50" s="50" t="s">
        <v>207</v>
      </c>
      <c r="G50" s="50" t="s">
        <v>140</v>
      </c>
      <c r="H50" s="51" t="s">
        <v>141</v>
      </c>
      <c r="I50" s="51"/>
      <c r="J50" s="74">
        <v>180</v>
      </c>
      <c r="K50" s="50" t="str">
        <f ca="1">"191,8357"</f>
        <v>191,8357</v>
      </c>
      <c r="L50" s="50"/>
    </row>
    <row r="52" ht="15.6" spans="1:11">
      <c r="A52" s="47" t="s">
        <v>53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</row>
    <row r="53" spans="1:12">
      <c r="A53" s="48" t="s">
        <v>306</v>
      </c>
      <c r="B53" s="48" t="s">
        <v>307</v>
      </c>
      <c r="C53" s="48" t="s">
        <v>308</v>
      </c>
      <c r="D53" s="48" t="str">
        <f ca="1">"0,5818"</f>
        <v>0,5818</v>
      </c>
      <c r="E53" s="48" t="s">
        <v>309</v>
      </c>
      <c r="F53" s="48" t="s">
        <v>141</v>
      </c>
      <c r="G53" s="48" t="s">
        <v>44</v>
      </c>
      <c r="H53" s="48" t="s">
        <v>88</v>
      </c>
      <c r="I53" s="49"/>
      <c r="J53" s="69">
        <v>230</v>
      </c>
      <c r="K53" s="48" t="str">
        <f ca="1">"133,8140"</f>
        <v>133,8140</v>
      </c>
      <c r="L53" s="48"/>
    </row>
    <row r="54" spans="1:12">
      <c r="A54" s="53" t="s">
        <v>310</v>
      </c>
      <c r="B54" s="53" t="s">
        <v>311</v>
      </c>
      <c r="C54" s="53" t="s">
        <v>312</v>
      </c>
      <c r="D54" s="53" t="str">
        <f ca="1">"0,5871"</f>
        <v>0,5871</v>
      </c>
      <c r="E54" s="53" t="s">
        <v>21</v>
      </c>
      <c r="F54" s="54" t="s">
        <v>118</v>
      </c>
      <c r="G54" s="54" t="s">
        <v>313</v>
      </c>
      <c r="H54" s="53" t="s">
        <v>313</v>
      </c>
      <c r="I54" s="54"/>
      <c r="J54" s="75">
        <v>325</v>
      </c>
      <c r="K54" s="53" t="str">
        <f ca="1">"190,8237"</f>
        <v>190,8237</v>
      </c>
      <c r="L54" s="53"/>
    </row>
    <row r="55" spans="1:12">
      <c r="A55" s="53" t="s">
        <v>314</v>
      </c>
      <c r="B55" s="53" t="s">
        <v>315</v>
      </c>
      <c r="C55" s="53" t="s">
        <v>316</v>
      </c>
      <c r="D55" s="53" t="str">
        <f ca="1">"0,5949"</f>
        <v>0,5949</v>
      </c>
      <c r="E55" s="53" t="s">
        <v>21</v>
      </c>
      <c r="F55" s="53" t="s">
        <v>118</v>
      </c>
      <c r="G55" s="54" t="s">
        <v>317</v>
      </c>
      <c r="H55" s="54" t="s">
        <v>317</v>
      </c>
      <c r="I55" s="54"/>
      <c r="J55" s="59" t="s">
        <v>318</v>
      </c>
      <c r="K55" s="53" t="s">
        <v>319</v>
      </c>
      <c r="L55" s="53"/>
    </row>
    <row r="56" spans="1:12">
      <c r="A56" s="53" t="s">
        <v>320</v>
      </c>
      <c r="B56" s="53" t="s">
        <v>321</v>
      </c>
      <c r="C56" s="53" t="s">
        <v>322</v>
      </c>
      <c r="D56" s="53" t="str">
        <f ca="1">"0,5813"</f>
        <v>0,5813</v>
      </c>
      <c r="E56" s="53" t="s">
        <v>256</v>
      </c>
      <c r="F56" s="53" t="s">
        <v>40</v>
      </c>
      <c r="G56" s="53" t="s">
        <v>23</v>
      </c>
      <c r="H56" s="54" t="s">
        <v>323</v>
      </c>
      <c r="I56" s="54"/>
      <c r="J56" s="75">
        <v>270</v>
      </c>
      <c r="K56" s="53" t="str">
        <f ca="1">"156,9510"</f>
        <v>156,9510</v>
      </c>
      <c r="L56" s="53"/>
    </row>
    <row r="57" spans="1:12">
      <c r="A57" s="53" t="s">
        <v>324</v>
      </c>
      <c r="B57" s="53" t="s">
        <v>325</v>
      </c>
      <c r="C57" s="53" t="s">
        <v>326</v>
      </c>
      <c r="D57" s="53" t="str">
        <f ca="1">"0,5958"</f>
        <v>0,5958</v>
      </c>
      <c r="E57" s="53" t="s">
        <v>256</v>
      </c>
      <c r="F57" s="53" t="s">
        <v>88</v>
      </c>
      <c r="G57" s="53" t="s">
        <v>80</v>
      </c>
      <c r="H57" s="54" t="s">
        <v>327</v>
      </c>
      <c r="I57" s="54"/>
      <c r="J57" s="75">
        <v>250</v>
      </c>
      <c r="K57" s="53" t="str">
        <f ca="1">"148,9625"</f>
        <v>148,9625</v>
      </c>
      <c r="L57" s="53"/>
    </row>
    <row r="58" spans="1:12">
      <c r="A58" s="53" t="s">
        <v>328</v>
      </c>
      <c r="B58" s="53" t="s">
        <v>329</v>
      </c>
      <c r="C58" s="53" t="s">
        <v>330</v>
      </c>
      <c r="D58" s="53" t="str">
        <f ca="1">"0,5935"</f>
        <v>0,5935</v>
      </c>
      <c r="E58" s="53" t="s">
        <v>49</v>
      </c>
      <c r="F58" s="54" t="s">
        <v>252</v>
      </c>
      <c r="G58" s="54" t="s">
        <v>33</v>
      </c>
      <c r="H58" s="53" t="s">
        <v>80</v>
      </c>
      <c r="I58" s="54"/>
      <c r="J58" s="75">
        <v>250</v>
      </c>
      <c r="K58" s="53" t="str">
        <f ca="1">"148,3625"</f>
        <v>148,3625</v>
      </c>
      <c r="L58" s="53"/>
    </row>
    <row r="59" spans="1:12">
      <c r="A59" s="53" t="s">
        <v>331</v>
      </c>
      <c r="B59" s="53" t="s">
        <v>332</v>
      </c>
      <c r="C59" s="53" t="s">
        <v>333</v>
      </c>
      <c r="D59" s="53" t="str">
        <f ca="1">"0,5900"</f>
        <v>0,5900</v>
      </c>
      <c r="E59" s="53" t="s">
        <v>240</v>
      </c>
      <c r="F59" s="54" t="s">
        <v>118</v>
      </c>
      <c r="G59" s="54"/>
      <c r="H59" s="54"/>
      <c r="I59" s="54"/>
      <c r="J59" s="75">
        <v>0</v>
      </c>
      <c r="K59" s="53" t="str">
        <f ca="1">"0,0000"</f>
        <v>0,0000</v>
      </c>
      <c r="L59" s="53"/>
    </row>
    <row r="60" spans="1:12">
      <c r="A60" s="53" t="s">
        <v>334</v>
      </c>
      <c r="B60" s="53" t="s">
        <v>335</v>
      </c>
      <c r="C60" s="53" t="s">
        <v>336</v>
      </c>
      <c r="D60" s="53" t="str">
        <f ca="1">"0,7708"</f>
        <v>0,7708</v>
      </c>
      <c r="E60" s="53" t="s">
        <v>49</v>
      </c>
      <c r="F60" s="53" t="s">
        <v>80</v>
      </c>
      <c r="G60" s="54" t="s">
        <v>22</v>
      </c>
      <c r="H60" s="54"/>
      <c r="I60" s="54"/>
      <c r="J60" s="59" t="s">
        <v>337</v>
      </c>
      <c r="K60" s="53" t="s">
        <v>338</v>
      </c>
      <c r="L60" s="53"/>
    </row>
    <row r="61" spans="1:12">
      <c r="A61" s="50" t="s">
        <v>339</v>
      </c>
      <c r="B61" s="50" t="s">
        <v>340</v>
      </c>
      <c r="C61" s="50" t="s">
        <v>341</v>
      </c>
      <c r="D61" s="50" t="str">
        <f ca="1">"0,8756"</f>
        <v>0,8756</v>
      </c>
      <c r="E61" s="50" t="s">
        <v>49</v>
      </c>
      <c r="F61" s="50" t="s">
        <v>213</v>
      </c>
      <c r="G61" s="51" t="s">
        <v>342</v>
      </c>
      <c r="H61" s="51" t="s">
        <v>342</v>
      </c>
      <c r="I61" s="51"/>
      <c r="J61" s="58" t="s">
        <v>343</v>
      </c>
      <c r="K61" s="50" t="s">
        <v>344</v>
      </c>
      <c r="L61" s="50"/>
    </row>
    <row r="63" ht="15.6" spans="1:11">
      <c r="A63" s="47" t="s">
        <v>57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1:12">
      <c r="A64" s="48" t="s">
        <v>345</v>
      </c>
      <c r="B64" s="48" t="s">
        <v>346</v>
      </c>
      <c r="C64" s="48" t="s">
        <v>83</v>
      </c>
      <c r="D64" s="48" t="str">
        <f ca="1">"0,5671"</f>
        <v>0,5671</v>
      </c>
      <c r="E64" s="48" t="s">
        <v>240</v>
      </c>
      <c r="F64" s="48" t="s">
        <v>80</v>
      </c>
      <c r="G64" s="48" t="s">
        <v>40</v>
      </c>
      <c r="H64" s="49" t="s">
        <v>347</v>
      </c>
      <c r="I64" s="49"/>
      <c r="J64" s="69">
        <v>260</v>
      </c>
      <c r="K64" s="48" t="str">
        <f ca="1">"147,4460"</f>
        <v>147,4460</v>
      </c>
      <c r="L64" s="48"/>
    </row>
    <row r="65" spans="1:12">
      <c r="A65" s="53" t="s">
        <v>348</v>
      </c>
      <c r="B65" s="53" t="s">
        <v>349</v>
      </c>
      <c r="C65" s="53" t="s">
        <v>350</v>
      </c>
      <c r="D65" s="53" t="str">
        <f ca="1">"0,5627"</f>
        <v>0,5627</v>
      </c>
      <c r="E65" s="53" t="s">
        <v>49</v>
      </c>
      <c r="F65" s="53" t="s">
        <v>75</v>
      </c>
      <c r="G65" s="53" t="s">
        <v>351</v>
      </c>
      <c r="H65" s="54" t="s">
        <v>84</v>
      </c>
      <c r="I65" s="54"/>
      <c r="J65" s="75">
        <v>297.5</v>
      </c>
      <c r="K65" s="53" t="str">
        <f ca="1">"167,3884"</f>
        <v>167,3884</v>
      </c>
      <c r="L65" s="53"/>
    </row>
    <row r="66" spans="1:12">
      <c r="A66" s="53" t="s">
        <v>352</v>
      </c>
      <c r="B66" s="53" t="s">
        <v>353</v>
      </c>
      <c r="C66" s="53" t="s">
        <v>354</v>
      </c>
      <c r="D66" s="53" t="str">
        <f ca="1">"0,5644"</f>
        <v>0,5644</v>
      </c>
      <c r="E66" s="53" t="s">
        <v>21</v>
      </c>
      <c r="F66" s="54" t="s">
        <v>129</v>
      </c>
      <c r="G66" s="53" t="s">
        <v>129</v>
      </c>
      <c r="H66" s="54"/>
      <c r="I66" s="54"/>
      <c r="J66" s="75">
        <v>340</v>
      </c>
      <c r="K66" s="53" t="str">
        <f ca="1">"191,8960"</f>
        <v>191,8960</v>
      </c>
      <c r="L66" s="53"/>
    </row>
    <row r="67" spans="1:12">
      <c r="A67" s="53" t="s">
        <v>355</v>
      </c>
      <c r="B67" s="53" t="s">
        <v>356</v>
      </c>
      <c r="C67" s="53" t="s">
        <v>357</v>
      </c>
      <c r="D67" s="53" t="str">
        <f ca="1">"0,5677"</f>
        <v>0,5677</v>
      </c>
      <c r="E67" s="53" t="s">
        <v>21</v>
      </c>
      <c r="F67" s="53" t="s">
        <v>75</v>
      </c>
      <c r="G67" s="54" t="s">
        <v>84</v>
      </c>
      <c r="H67" s="54" t="s">
        <v>71</v>
      </c>
      <c r="I67" s="54"/>
      <c r="J67" s="75">
        <v>290</v>
      </c>
      <c r="K67" s="53" t="str">
        <f ca="1">"164,6185"</f>
        <v>164,6185</v>
      </c>
      <c r="L67" s="53"/>
    </row>
    <row r="68" spans="1:12">
      <c r="A68" s="53" t="s">
        <v>358</v>
      </c>
      <c r="B68" s="53" t="s">
        <v>359</v>
      </c>
      <c r="C68" s="53" t="s">
        <v>83</v>
      </c>
      <c r="D68" s="53" t="str">
        <f ca="1">"0,5671"</f>
        <v>0,5671</v>
      </c>
      <c r="E68" s="53" t="s">
        <v>49</v>
      </c>
      <c r="F68" s="53" t="s">
        <v>23</v>
      </c>
      <c r="G68" s="54" t="s">
        <v>84</v>
      </c>
      <c r="H68" s="54" t="s">
        <v>84</v>
      </c>
      <c r="I68" s="54"/>
      <c r="J68" s="59" t="s">
        <v>360</v>
      </c>
      <c r="K68" s="53" t="s">
        <v>361</v>
      </c>
      <c r="L68" s="53"/>
    </row>
    <row r="69" spans="1:12">
      <c r="A69" s="53" t="s">
        <v>362</v>
      </c>
      <c r="B69" s="53" t="s">
        <v>363</v>
      </c>
      <c r="C69" s="53" t="s">
        <v>364</v>
      </c>
      <c r="D69" s="53" t="str">
        <f ca="1">"0,5952"</f>
        <v>0,5952</v>
      </c>
      <c r="E69" s="53" t="s">
        <v>109</v>
      </c>
      <c r="F69" s="53" t="s">
        <v>140</v>
      </c>
      <c r="G69" s="54" t="s">
        <v>28</v>
      </c>
      <c r="H69" s="54" t="s">
        <v>28</v>
      </c>
      <c r="I69" s="54"/>
      <c r="J69" s="59" t="s">
        <v>142</v>
      </c>
      <c r="K69" s="53" t="s">
        <v>365</v>
      </c>
      <c r="L69" s="53"/>
    </row>
    <row r="70" spans="1:12">
      <c r="A70" s="53" t="s">
        <v>366</v>
      </c>
      <c r="B70" s="53" t="s">
        <v>367</v>
      </c>
      <c r="C70" s="53" t="s">
        <v>368</v>
      </c>
      <c r="D70" s="53" t="str">
        <f ca="1">"0,6353"</f>
        <v>0,6353</v>
      </c>
      <c r="E70" s="53" t="s">
        <v>32</v>
      </c>
      <c r="F70" s="53" t="s">
        <v>252</v>
      </c>
      <c r="G70" s="53" t="s">
        <v>50</v>
      </c>
      <c r="H70" s="54"/>
      <c r="I70" s="54"/>
      <c r="J70" s="75">
        <v>235</v>
      </c>
      <c r="K70" s="53" t="str">
        <f ca="1">"149,3020"</f>
        <v>149,3020</v>
      </c>
      <c r="L70" s="53"/>
    </row>
    <row r="71" spans="1:12">
      <c r="A71" s="53" t="s">
        <v>369</v>
      </c>
      <c r="B71" s="53" t="s">
        <v>370</v>
      </c>
      <c r="C71" s="53" t="s">
        <v>371</v>
      </c>
      <c r="D71" s="53" t="str">
        <f ca="1">"0,8183"</f>
        <v>0,8183</v>
      </c>
      <c r="E71" s="53" t="s">
        <v>256</v>
      </c>
      <c r="F71" s="53" t="s">
        <v>147</v>
      </c>
      <c r="G71" s="54" t="s">
        <v>233</v>
      </c>
      <c r="H71" s="54" t="s">
        <v>233</v>
      </c>
      <c r="I71" s="54"/>
      <c r="J71" s="59" t="s">
        <v>372</v>
      </c>
      <c r="K71" s="53" t="s">
        <v>373</v>
      </c>
      <c r="L71" s="53"/>
    </row>
    <row r="72" spans="1:12">
      <c r="A72" s="50" t="s">
        <v>95</v>
      </c>
      <c r="B72" s="50" t="s">
        <v>96</v>
      </c>
      <c r="C72" s="50" t="s">
        <v>97</v>
      </c>
      <c r="D72" s="50" t="str">
        <f ca="1">"1,0579"</f>
        <v>1,0579</v>
      </c>
      <c r="E72" s="50" t="s">
        <v>98</v>
      </c>
      <c r="F72" s="50" t="s">
        <v>268</v>
      </c>
      <c r="G72" s="51"/>
      <c r="H72" s="51"/>
      <c r="I72" s="51"/>
      <c r="J72" s="58" t="s">
        <v>374</v>
      </c>
      <c r="K72" s="50" t="s">
        <v>375</v>
      </c>
      <c r="L72" s="50"/>
    </row>
    <row r="74" ht="15.6" spans="1:11">
      <c r="A74" s="47" t="s">
        <v>102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1:12">
      <c r="A75" s="48" t="s">
        <v>376</v>
      </c>
      <c r="B75" s="48" t="s">
        <v>377</v>
      </c>
      <c r="C75" s="48" t="s">
        <v>378</v>
      </c>
      <c r="D75" s="48" t="str">
        <f ca="1">"0,5477"</f>
        <v>0,5477</v>
      </c>
      <c r="E75" s="48" t="s">
        <v>109</v>
      </c>
      <c r="F75" s="49" t="s">
        <v>40</v>
      </c>
      <c r="G75" s="49" t="s">
        <v>40</v>
      </c>
      <c r="H75" s="48" t="s">
        <v>40</v>
      </c>
      <c r="I75" s="49" t="s">
        <v>379</v>
      </c>
      <c r="J75" s="69">
        <v>260</v>
      </c>
      <c r="K75" s="48" t="str">
        <f ca="1">"142,4150"</f>
        <v>142,4150</v>
      </c>
      <c r="L75" s="48"/>
    </row>
    <row r="76" spans="1:12">
      <c r="A76" s="53" t="s">
        <v>380</v>
      </c>
      <c r="B76" s="53" t="s">
        <v>381</v>
      </c>
      <c r="C76" s="53" t="s">
        <v>382</v>
      </c>
      <c r="D76" s="53" t="str">
        <f ca="1">"0,5524"</f>
        <v>0,5524</v>
      </c>
      <c r="E76" s="53" t="s">
        <v>39</v>
      </c>
      <c r="F76" s="53" t="s">
        <v>347</v>
      </c>
      <c r="G76" s="53" t="s">
        <v>84</v>
      </c>
      <c r="H76" s="54" t="s">
        <v>117</v>
      </c>
      <c r="I76" s="54"/>
      <c r="J76" s="75">
        <v>300</v>
      </c>
      <c r="K76" s="53" t="str">
        <f ca="1">"165,7200"</f>
        <v>165,7200</v>
      </c>
      <c r="L76" s="53"/>
    </row>
    <row r="77" spans="1:12">
      <c r="A77" s="53" t="s">
        <v>383</v>
      </c>
      <c r="B77" s="53" t="s">
        <v>384</v>
      </c>
      <c r="C77" s="53" t="s">
        <v>385</v>
      </c>
      <c r="D77" s="53" t="str">
        <f ca="1">"0,5527"</f>
        <v>0,5527</v>
      </c>
      <c r="E77" s="53" t="s">
        <v>21</v>
      </c>
      <c r="F77" s="53" t="s">
        <v>84</v>
      </c>
      <c r="G77" s="53" t="s">
        <v>386</v>
      </c>
      <c r="H77" s="54" t="s">
        <v>62</v>
      </c>
      <c r="I77" s="54"/>
      <c r="J77" s="75">
        <v>322.5</v>
      </c>
      <c r="K77" s="53" t="str">
        <f ca="1">"178,2457"</f>
        <v>178,2457</v>
      </c>
      <c r="L77" s="53"/>
    </row>
    <row r="78" spans="1:12">
      <c r="A78" s="53" t="s">
        <v>387</v>
      </c>
      <c r="B78" s="53" t="s">
        <v>388</v>
      </c>
      <c r="C78" s="53" t="s">
        <v>389</v>
      </c>
      <c r="D78" s="53" t="str">
        <f ca="1">"0,5534"</f>
        <v>0,5534</v>
      </c>
      <c r="E78" s="53" t="s">
        <v>49</v>
      </c>
      <c r="F78" s="54" t="s">
        <v>84</v>
      </c>
      <c r="G78" s="53" t="s">
        <v>76</v>
      </c>
      <c r="H78" s="54" t="s">
        <v>390</v>
      </c>
      <c r="I78" s="54"/>
      <c r="J78" s="75">
        <v>302.5</v>
      </c>
      <c r="K78" s="53" t="str">
        <f ca="1">"167,4035"</f>
        <v>167,4035</v>
      </c>
      <c r="L78" s="53"/>
    </row>
    <row r="79" spans="1:12">
      <c r="A79" s="53" t="s">
        <v>391</v>
      </c>
      <c r="B79" s="53" t="s">
        <v>392</v>
      </c>
      <c r="C79" s="53" t="s">
        <v>393</v>
      </c>
      <c r="D79" s="53" t="str">
        <f ca="1">"0,5490"</f>
        <v>0,5490</v>
      </c>
      <c r="E79" s="53" t="s">
        <v>21</v>
      </c>
      <c r="F79" s="54" t="s">
        <v>347</v>
      </c>
      <c r="G79" s="53" t="s">
        <v>347</v>
      </c>
      <c r="H79" s="54" t="s">
        <v>394</v>
      </c>
      <c r="I79" s="54"/>
      <c r="J79" s="75">
        <v>280</v>
      </c>
      <c r="K79" s="53" t="str">
        <f ca="1">"153,7340"</f>
        <v>153,7340</v>
      </c>
      <c r="L79" s="53"/>
    </row>
    <row r="80" spans="1:12">
      <c r="A80" s="53" t="s">
        <v>395</v>
      </c>
      <c r="B80" s="53" t="s">
        <v>396</v>
      </c>
      <c r="C80" s="53" t="s">
        <v>397</v>
      </c>
      <c r="D80" s="53" t="str">
        <f ca="1">"0,5588"</f>
        <v>0,5588</v>
      </c>
      <c r="E80" s="53" t="s">
        <v>49</v>
      </c>
      <c r="F80" s="54" t="s">
        <v>398</v>
      </c>
      <c r="G80" s="53" t="s">
        <v>398</v>
      </c>
      <c r="H80" s="54" t="s">
        <v>399</v>
      </c>
      <c r="I80" s="54"/>
      <c r="J80" s="75">
        <v>335</v>
      </c>
      <c r="K80" s="53" t="str">
        <f ca="1">"187,1921"</f>
        <v>187,1921</v>
      </c>
      <c r="L80" s="53"/>
    </row>
    <row r="81" spans="1:12">
      <c r="A81" s="53" t="s">
        <v>387</v>
      </c>
      <c r="B81" s="53" t="s">
        <v>400</v>
      </c>
      <c r="C81" s="53" t="s">
        <v>389</v>
      </c>
      <c r="D81" s="53" t="str">
        <f ca="1">"0,5645"</f>
        <v>0,5645</v>
      </c>
      <c r="E81" s="53" t="s">
        <v>49</v>
      </c>
      <c r="F81" s="54" t="s">
        <v>84</v>
      </c>
      <c r="G81" s="53" t="s">
        <v>76</v>
      </c>
      <c r="H81" s="54" t="s">
        <v>390</v>
      </c>
      <c r="I81" s="54"/>
      <c r="J81" s="75">
        <v>302.5</v>
      </c>
      <c r="K81" s="53" t="str">
        <f ca="1">"170,7516"</f>
        <v>170,7516</v>
      </c>
      <c r="L81" s="53"/>
    </row>
    <row r="82" spans="1:12">
      <c r="A82" s="53" t="s">
        <v>401</v>
      </c>
      <c r="B82" s="53" t="s">
        <v>402</v>
      </c>
      <c r="C82" s="53" t="s">
        <v>403</v>
      </c>
      <c r="D82" s="53" t="str">
        <f ca="1">"0,5653"</f>
        <v>0,5653</v>
      </c>
      <c r="E82" s="53" t="s">
        <v>32</v>
      </c>
      <c r="F82" s="54" t="s">
        <v>347</v>
      </c>
      <c r="G82" s="54" t="s">
        <v>347</v>
      </c>
      <c r="H82" s="53" t="s">
        <v>75</v>
      </c>
      <c r="I82" s="54"/>
      <c r="J82" s="75">
        <v>290</v>
      </c>
      <c r="K82" s="53" t="str">
        <f ca="1">"163,9508"</f>
        <v>163,9508</v>
      </c>
      <c r="L82" s="53"/>
    </row>
    <row r="83" spans="1:12">
      <c r="A83" s="53" t="s">
        <v>404</v>
      </c>
      <c r="B83" s="53" t="s">
        <v>405</v>
      </c>
      <c r="C83" s="53" t="s">
        <v>406</v>
      </c>
      <c r="D83" s="53" t="str">
        <f ca="1">"0,5610"</f>
        <v>0,5610</v>
      </c>
      <c r="E83" s="53" t="s">
        <v>49</v>
      </c>
      <c r="F83" s="53" t="s">
        <v>52</v>
      </c>
      <c r="G83" s="53" t="s">
        <v>23</v>
      </c>
      <c r="H83" s="53" t="s">
        <v>407</v>
      </c>
      <c r="I83" s="54"/>
      <c r="J83" s="75">
        <v>282.5</v>
      </c>
      <c r="K83" s="53" t="str">
        <f ca="1">"158,4838"</f>
        <v>158,4838</v>
      </c>
      <c r="L83" s="53"/>
    </row>
    <row r="84" spans="1:12">
      <c r="A84" s="53" t="s">
        <v>408</v>
      </c>
      <c r="B84" s="53" t="s">
        <v>409</v>
      </c>
      <c r="C84" s="53" t="s">
        <v>410</v>
      </c>
      <c r="D84" s="53" t="str">
        <f ca="1">"0,6103"</f>
        <v>0,6103</v>
      </c>
      <c r="E84" s="53" t="s">
        <v>49</v>
      </c>
      <c r="F84" s="53" t="s">
        <v>44</v>
      </c>
      <c r="G84" s="53" t="s">
        <v>50</v>
      </c>
      <c r="H84" s="53" t="s">
        <v>89</v>
      </c>
      <c r="I84" s="54"/>
      <c r="J84" s="75">
        <v>255</v>
      </c>
      <c r="K84" s="53" t="str">
        <f ca="1">"155,6158"</f>
        <v>155,6158</v>
      </c>
      <c r="L84" s="53"/>
    </row>
    <row r="85" spans="1:12">
      <c r="A85" s="53" t="s">
        <v>411</v>
      </c>
      <c r="B85" s="53" t="s">
        <v>412</v>
      </c>
      <c r="C85" s="53" t="s">
        <v>122</v>
      </c>
      <c r="D85" s="53" t="str">
        <f ca="1">"0,5830"</f>
        <v>0,5830</v>
      </c>
      <c r="E85" s="53" t="s">
        <v>256</v>
      </c>
      <c r="F85" s="54" t="s">
        <v>44</v>
      </c>
      <c r="G85" s="54"/>
      <c r="H85" s="54"/>
      <c r="I85" s="54"/>
      <c r="J85" s="75">
        <v>0</v>
      </c>
      <c r="K85" s="53" t="str">
        <f ca="1" t="shared" ref="K85:K86" si="0">"0,0000"</f>
        <v>0,0000</v>
      </c>
      <c r="L85" s="53"/>
    </row>
    <row r="86" spans="1:12">
      <c r="A86" s="53" t="s">
        <v>413</v>
      </c>
      <c r="B86" s="53" t="s">
        <v>414</v>
      </c>
      <c r="C86" s="53" t="s">
        <v>415</v>
      </c>
      <c r="D86" s="53" t="str">
        <f ca="1">"0,6631"</f>
        <v>0,6631</v>
      </c>
      <c r="E86" s="53" t="s">
        <v>49</v>
      </c>
      <c r="F86" s="54" t="s">
        <v>33</v>
      </c>
      <c r="G86" s="54" t="s">
        <v>33</v>
      </c>
      <c r="H86" s="54" t="s">
        <v>33</v>
      </c>
      <c r="I86" s="54"/>
      <c r="J86" s="75">
        <v>0</v>
      </c>
      <c r="K86" s="53" t="str">
        <f ca="1" t="shared" si="0"/>
        <v>0,0000</v>
      </c>
      <c r="L86" s="53"/>
    </row>
    <row r="87" spans="1:12">
      <c r="A87" s="50" t="s">
        <v>416</v>
      </c>
      <c r="B87" s="50" t="s">
        <v>417</v>
      </c>
      <c r="C87" s="50" t="s">
        <v>418</v>
      </c>
      <c r="D87" s="50" t="str">
        <f ca="1">"0,6839"</f>
        <v>0,6839</v>
      </c>
      <c r="E87" s="50" t="s">
        <v>49</v>
      </c>
      <c r="F87" s="50" t="s">
        <v>233</v>
      </c>
      <c r="G87" s="51" t="s">
        <v>33</v>
      </c>
      <c r="H87" s="50" t="s">
        <v>51</v>
      </c>
      <c r="I87" s="51"/>
      <c r="J87" s="74">
        <v>245</v>
      </c>
      <c r="K87" s="50" t="str">
        <f ca="1">"167,5598"</f>
        <v>167,5598</v>
      </c>
      <c r="L87" s="50"/>
    </row>
    <row r="89" ht="15.6" spans="1:11">
      <c r="A89" s="47" t="s">
        <v>125</v>
      </c>
      <c r="B89" s="47"/>
      <c r="C89" s="47"/>
      <c r="D89" s="47"/>
      <c r="E89" s="47"/>
      <c r="F89" s="47"/>
      <c r="G89" s="47"/>
      <c r="H89" s="47"/>
      <c r="I89" s="47"/>
      <c r="J89" s="47"/>
      <c r="K89" s="47"/>
    </row>
    <row r="90" spans="1:12">
      <c r="A90" s="48" t="s">
        <v>419</v>
      </c>
      <c r="B90" s="48" t="s">
        <v>420</v>
      </c>
      <c r="C90" s="48" t="s">
        <v>421</v>
      </c>
      <c r="D90" s="48" t="str">
        <f ca="1">"0,5380"</f>
        <v>0,5380</v>
      </c>
      <c r="E90" s="48" t="s">
        <v>240</v>
      </c>
      <c r="F90" s="48" t="s">
        <v>40</v>
      </c>
      <c r="G90" s="48" t="s">
        <v>75</v>
      </c>
      <c r="H90" s="49" t="s">
        <v>84</v>
      </c>
      <c r="I90" s="49"/>
      <c r="J90" s="69">
        <v>290</v>
      </c>
      <c r="K90" s="48" t="str">
        <f ca="1">"156,0142"</f>
        <v>156,0142</v>
      </c>
      <c r="L90" s="48"/>
    </row>
    <row r="91" spans="1:12">
      <c r="A91" s="53" t="s">
        <v>422</v>
      </c>
      <c r="B91" s="53" t="s">
        <v>423</v>
      </c>
      <c r="C91" s="53" t="s">
        <v>424</v>
      </c>
      <c r="D91" s="53" t="str">
        <f ca="1">"0,5448"</f>
        <v>0,5448</v>
      </c>
      <c r="E91" s="53" t="s">
        <v>425</v>
      </c>
      <c r="F91" s="54" t="s">
        <v>398</v>
      </c>
      <c r="G91" s="53" t="s">
        <v>398</v>
      </c>
      <c r="H91" s="54" t="s">
        <v>426</v>
      </c>
      <c r="I91" s="54"/>
      <c r="J91" s="75">
        <v>335</v>
      </c>
      <c r="K91" s="53" t="str">
        <f ca="1">"182,5113"</f>
        <v>182,5113</v>
      </c>
      <c r="L91" s="53"/>
    </row>
    <row r="92" spans="1:12">
      <c r="A92" s="53" t="s">
        <v>427</v>
      </c>
      <c r="B92" s="53" t="s">
        <v>428</v>
      </c>
      <c r="C92" s="53" t="s">
        <v>429</v>
      </c>
      <c r="D92" s="53" t="str">
        <f ca="1">"0,5416"</f>
        <v>0,5416</v>
      </c>
      <c r="E92" s="53" t="s">
        <v>430</v>
      </c>
      <c r="F92" s="53" t="s">
        <v>347</v>
      </c>
      <c r="G92" s="53" t="s">
        <v>71</v>
      </c>
      <c r="H92" s="53" t="s">
        <v>394</v>
      </c>
      <c r="I92" s="54"/>
      <c r="J92" s="75">
        <v>315</v>
      </c>
      <c r="K92" s="53" t="str">
        <f ca="1">"170,6040"</f>
        <v>170,6040</v>
      </c>
      <c r="L92" s="53"/>
    </row>
    <row r="93" spans="1:12">
      <c r="A93" s="53" t="s">
        <v>431</v>
      </c>
      <c r="B93" s="53" t="s">
        <v>432</v>
      </c>
      <c r="C93" s="53" t="s">
        <v>433</v>
      </c>
      <c r="D93" s="53" t="str">
        <f ca="1">"0,5406"</f>
        <v>0,5406</v>
      </c>
      <c r="E93" s="53" t="s">
        <v>49</v>
      </c>
      <c r="F93" s="53" t="s">
        <v>80</v>
      </c>
      <c r="G93" s="53" t="s">
        <v>40</v>
      </c>
      <c r="H93" s="54" t="s">
        <v>23</v>
      </c>
      <c r="I93" s="54"/>
      <c r="J93" s="75">
        <v>260</v>
      </c>
      <c r="K93" s="53" t="str">
        <f ca="1">"140,5560"</f>
        <v>140,5560</v>
      </c>
      <c r="L93" s="53"/>
    </row>
    <row r="94" spans="1:12">
      <c r="A94" s="50" t="s">
        <v>434</v>
      </c>
      <c r="B94" s="50" t="s">
        <v>435</v>
      </c>
      <c r="C94" s="50" t="s">
        <v>436</v>
      </c>
      <c r="D94" s="50" t="str">
        <f ca="1">"0,5596"</f>
        <v>0,5596</v>
      </c>
      <c r="E94" s="50" t="s">
        <v>49</v>
      </c>
      <c r="F94" s="50" t="s">
        <v>33</v>
      </c>
      <c r="G94" s="51" t="s">
        <v>40</v>
      </c>
      <c r="H94" s="51"/>
      <c r="I94" s="51"/>
      <c r="J94" s="58" t="s">
        <v>437</v>
      </c>
      <c r="K94" s="50" t="s">
        <v>438</v>
      </c>
      <c r="L94" s="50"/>
    </row>
    <row r="96" ht="15.6" spans="1:11">
      <c r="A96" s="47" t="s">
        <v>136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</row>
    <row r="97" spans="1:12">
      <c r="A97" s="46" t="s">
        <v>439</v>
      </c>
      <c r="B97" s="46" t="s">
        <v>440</v>
      </c>
      <c r="C97" s="46" t="s">
        <v>441</v>
      </c>
      <c r="D97" s="46" t="str">
        <f ca="1">"0,5226"</f>
        <v>0,5226</v>
      </c>
      <c r="E97" s="46" t="s">
        <v>240</v>
      </c>
      <c r="F97" s="46" t="s">
        <v>64</v>
      </c>
      <c r="G97" s="52" t="s">
        <v>442</v>
      </c>
      <c r="H97" s="52" t="s">
        <v>442</v>
      </c>
      <c r="I97" s="52"/>
      <c r="J97" s="73">
        <v>350</v>
      </c>
      <c r="K97" s="46" t="str">
        <f ca="1">"182,9188"</f>
        <v>182,9188</v>
      </c>
      <c r="L97" s="46"/>
    </row>
    <row r="99" ht="15.6" spans="5:5">
      <c r="E99" s="60" t="s">
        <v>148</v>
      </c>
    </row>
    <row r="100" ht="15.6" spans="5:5">
      <c r="E100" s="60" t="s">
        <v>149</v>
      </c>
    </row>
    <row r="101" ht="15.6" spans="5:5">
      <c r="E101" s="60" t="s">
        <v>150</v>
      </c>
    </row>
    <row r="108" ht="18" spans="1:2">
      <c r="A108" s="61" t="s">
        <v>154</v>
      </c>
      <c r="B108" s="61"/>
    </row>
    <row r="109" ht="15.6" spans="1:2">
      <c r="A109" s="62" t="s">
        <v>443</v>
      </c>
      <c r="B109" s="62"/>
    </row>
    <row r="110" ht="13.8" spans="1:2">
      <c r="A110" s="63" t="s">
        <v>444</v>
      </c>
      <c r="B110" s="64"/>
    </row>
    <row r="111" ht="13.8" spans="1:5">
      <c r="A111" s="65" t="s">
        <v>1</v>
      </c>
      <c r="B111" s="65" t="s">
        <v>157</v>
      </c>
      <c r="C111" s="65" t="s">
        <v>158</v>
      </c>
      <c r="D111" s="65" t="s">
        <v>7</v>
      </c>
      <c r="E111" s="65" t="s">
        <v>159</v>
      </c>
    </row>
    <row r="112" spans="1:5">
      <c r="A112" s="66" t="s">
        <v>198</v>
      </c>
      <c r="B112" s="43" t="s">
        <v>445</v>
      </c>
      <c r="C112" s="43" t="s">
        <v>446</v>
      </c>
      <c r="D112" s="43" t="s">
        <v>202</v>
      </c>
      <c r="E112" s="67" t="s">
        <v>447</v>
      </c>
    </row>
    <row r="114" ht="13.8" spans="1:2">
      <c r="A114" s="63" t="s">
        <v>448</v>
      </c>
      <c r="B114" s="64"/>
    </row>
    <row r="115" ht="13.8" spans="1:5">
      <c r="A115" s="65" t="s">
        <v>1</v>
      </c>
      <c r="B115" s="65" t="s">
        <v>157</v>
      </c>
      <c r="C115" s="65" t="s">
        <v>158</v>
      </c>
      <c r="D115" s="65" t="s">
        <v>7</v>
      </c>
      <c r="E115" s="65" t="s">
        <v>159</v>
      </c>
    </row>
    <row r="116" spans="1:5">
      <c r="A116" s="53" t="s">
        <v>449</v>
      </c>
      <c r="B116" s="43" t="s">
        <v>450</v>
      </c>
      <c r="C116" s="43" t="s">
        <v>446</v>
      </c>
      <c r="D116" s="53" t="s">
        <v>208</v>
      </c>
      <c r="E116" s="75" t="s">
        <v>209</v>
      </c>
    </row>
    <row r="117" spans="1:5">
      <c r="A117" s="66" t="s">
        <v>230</v>
      </c>
      <c r="B117" s="43" t="s">
        <v>450</v>
      </c>
      <c r="C117" s="43" t="s">
        <v>170</v>
      </c>
      <c r="D117" s="43" t="s">
        <v>233</v>
      </c>
      <c r="E117" s="67" t="s">
        <v>451</v>
      </c>
    </row>
    <row r="119" ht="13.8" spans="1:2">
      <c r="A119" s="63" t="s">
        <v>156</v>
      </c>
      <c r="B119" s="64"/>
    </row>
    <row r="120" ht="13.8" spans="1:5">
      <c r="A120" s="65" t="s">
        <v>1</v>
      </c>
      <c r="B120" s="65" t="s">
        <v>157</v>
      </c>
      <c r="C120" s="65" t="s">
        <v>158</v>
      </c>
      <c r="D120" s="65" t="s">
        <v>7</v>
      </c>
      <c r="E120" s="65" t="s">
        <v>159</v>
      </c>
    </row>
    <row r="121" spans="1:5">
      <c r="A121" s="66" t="s">
        <v>223</v>
      </c>
      <c r="B121" s="43" t="s">
        <v>156</v>
      </c>
      <c r="C121" s="43" t="s">
        <v>164</v>
      </c>
      <c r="D121" s="43" t="s">
        <v>227</v>
      </c>
      <c r="E121" s="67" t="s">
        <v>452</v>
      </c>
    </row>
    <row r="122" spans="1:5">
      <c r="A122" s="66" t="s">
        <v>210</v>
      </c>
      <c r="B122" s="43" t="s">
        <v>156</v>
      </c>
      <c r="C122" s="43" t="s">
        <v>446</v>
      </c>
      <c r="D122" s="43" t="s">
        <v>213</v>
      </c>
      <c r="E122" s="67" t="s">
        <v>453</v>
      </c>
    </row>
    <row r="124" ht="13.8" spans="1:2">
      <c r="A124" s="63" t="s">
        <v>178</v>
      </c>
      <c r="B124" s="64"/>
    </row>
    <row r="125" ht="13.8" spans="1:5">
      <c r="A125" s="65" t="s">
        <v>1</v>
      </c>
      <c r="B125" s="65" t="s">
        <v>157</v>
      </c>
      <c r="C125" s="65" t="s">
        <v>158</v>
      </c>
      <c r="D125" s="65" t="s">
        <v>7</v>
      </c>
      <c r="E125" s="65" t="s">
        <v>159</v>
      </c>
    </row>
    <row r="126" spans="1:5">
      <c r="A126" s="66" t="s">
        <v>223</v>
      </c>
      <c r="B126" s="43" t="s">
        <v>187</v>
      </c>
      <c r="C126" s="43" t="s">
        <v>164</v>
      </c>
      <c r="D126" s="43" t="s">
        <v>227</v>
      </c>
      <c r="E126" s="67" t="s">
        <v>454</v>
      </c>
    </row>
    <row r="127" spans="1:5">
      <c r="A127" s="66" t="s">
        <v>220</v>
      </c>
      <c r="B127" s="43" t="s">
        <v>455</v>
      </c>
      <c r="C127" s="43" t="s">
        <v>456</v>
      </c>
      <c r="D127" s="43" t="s">
        <v>147</v>
      </c>
      <c r="E127" s="67" t="s">
        <v>457</v>
      </c>
    </row>
    <row r="128" spans="1:5">
      <c r="A128" s="66" t="s">
        <v>192</v>
      </c>
      <c r="B128" s="43" t="s">
        <v>181</v>
      </c>
      <c r="C128" s="43" t="s">
        <v>458</v>
      </c>
      <c r="D128" s="43" t="s">
        <v>195</v>
      </c>
      <c r="E128" s="67" t="s">
        <v>459</v>
      </c>
    </row>
    <row r="129" spans="1:5">
      <c r="A129" s="66" t="s">
        <v>214</v>
      </c>
      <c r="B129" s="43" t="s">
        <v>460</v>
      </c>
      <c r="C129" s="43" t="s">
        <v>456</v>
      </c>
      <c r="D129" s="43" t="s">
        <v>218</v>
      </c>
      <c r="E129" s="67" t="s">
        <v>461</v>
      </c>
    </row>
    <row r="132" ht="15.6" spans="1:2">
      <c r="A132" s="62" t="s">
        <v>155</v>
      </c>
      <c r="B132" s="62"/>
    </row>
    <row r="133" ht="13.8" spans="1:2">
      <c r="A133" s="63" t="s">
        <v>444</v>
      </c>
      <c r="B133" s="64"/>
    </row>
    <row r="134" ht="13.8" spans="1:5">
      <c r="A134" s="65" t="s">
        <v>1</v>
      </c>
      <c r="B134" s="65" t="s">
        <v>157</v>
      </c>
      <c r="C134" s="65" t="s">
        <v>158</v>
      </c>
      <c r="D134" s="65" t="s">
        <v>7</v>
      </c>
      <c r="E134" s="65" t="s">
        <v>159</v>
      </c>
    </row>
    <row r="135" spans="1:5">
      <c r="A135" s="66" t="s">
        <v>348</v>
      </c>
      <c r="B135" s="43" t="s">
        <v>445</v>
      </c>
      <c r="C135" s="43" t="s">
        <v>163</v>
      </c>
      <c r="D135" s="43" t="s">
        <v>351</v>
      </c>
      <c r="E135" s="67" t="s">
        <v>462</v>
      </c>
    </row>
    <row r="136" spans="1:5">
      <c r="A136" s="66" t="s">
        <v>419</v>
      </c>
      <c r="B136" s="43" t="s">
        <v>445</v>
      </c>
      <c r="C136" s="43" t="s">
        <v>160</v>
      </c>
      <c r="D136" s="43" t="s">
        <v>75</v>
      </c>
      <c r="E136" s="67" t="s">
        <v>463</v>
      </c>
    </row>
    <row r="137" spans="1:5">
      <c r="A137" s="66" t="s">
        <v>345</v>
      </c>
      <c r="B137" s="43" t="s">
        <v>464</v>
      </c>
      <c r="C137" s="43" t="s">
        <v>163</v>
      </c>
      <c r="D137" s="43" t="s">
        <v>40</v>
      </c>
      <c r="E137" s="67" t="s">
        <v>465</v>
      </c>
    </row>
    <row r="138" spans="1:5">
      <c r="A138" s="66" t="s">
        <v>376</v>
      </c>
      <c r="B138" s="43" t="s">
        <v>445</v>
      </c>
      <c r="C138" s="43" t="s">
        <v>167</v>
      </c>
      <c r="D138" s="43" t="s">
        <v>40</v>
      </c>
      <c r="E138" s="67" t="s">
        <v>466</v>
      </c>
    </row>
    <row r="139" spans="1:5">
      <c r="A139" s="66" t="s">
        <v>234</v>
      </c>
      <c r="B139" s="43" t="s">
        <v>464</v>
      </c>
      <c r="C139" s="43" t="s">
        <v>446</v>
      </c>
      <c r="D139" s="43" t="s">
        <v>147</v>
      </c>
      <c r="E139" s="67" t="s">
        <v>467</v>
      </c>
    </row>
    <row r="140" spans="1:5">
      <c r="A140" s="66" t="s">
        <v>241</v>
      </c>
      <c r="B140" s="43" t="s">
        <v>468</v>
      </c>
      <c r="C140" s="43" t="s">
        <v>456</v>
      </c>
      <c r="D140" s="43" t="s">
        <v>196</v>
      </c>
      <c r="E140" s="67" t="s">
        <v>469</v>
      </c>
    </row>
    <row r="142" ht="13.8" spans="1:2">
      <c r="A142" s="63" t="s">
        <v>448</v>
      </c>
      <c r="B142" s="64"/>
    </row>
    <row r="143" ht="13.8" spans="1:5">
      <c r="A143" s="65" t="s">
        <v>1</v>
      </c>
      <c r="B143" s="65" t="s">
        <v>157</v>
      </c>
      <c r="C143" s="65" t="s">
        <v>158</v>
      </c>
      <c r="D143" s="65" t="s">
        <v>7</v>
      </c>
      <c r="E143" s="65" t="s">
        <v>159</v>
      </c>
    </row>
    <row r="144" spans="1:5">
      <c r="A144" s="66" t="s">
        <v>380</v>
      </c>
      <c r="B144" s="43" t="s">
        <v>450</v>
      </c>
      <c r="C144" s="43" t="s">
        <v>167</v>
      </c>
      <c r="D144" s="43" t="s">
        <v>84</v>
      </c>
      <c r="E144" s="67" t="s">
        <v>470</v>
      </c>
    </row>
    <row r="145" spans="1:5">
      <c r="A145" s="66" t="s">
        <v>292</v>
      </c>
      <c r="B145" s="43" t="s">
        <v>450</v>
      </c>
      <c r="C145" s="43" t="s">
        <v>170</v>
      </c>
      <c r="D145" s="43" t="s">
        <v>252</v>
      </c>
      <c r="E145" s="67" t="s">
        <v>471</v>
      </c>
    </row>
    <row r="146" spans="1:5">
      <c r="A146" s="66" t="s">
        <v>306</v>
      </c>
      <c r="B146" s="43" t="s">
        <v>450</v>
      </c>
      <c r="C146" s="43" t="s">
        <v>172</v>
      </c>
      <c r="D146" s="43" t="s">
        <v>88</v>
      </c>
      <c r="E146" s="67" t="s">
        <v>472</v>
      </c>
    </row>
    <row r="148" ht="13.8" spans="1:2">
      <c r="A148" s="63" t="s">
        <v>156</v>
      </c>
      <c r="B148" s="64"/>
    </row>
    <row r="149" ht="13.8" spans="1:5">
      <c r="A149" s="65" t="s">
        <v>1</v>
      </c>
      <c r="B149" s="65" t="s">
        <v>157</v>
      </c>
      <c r="C149" s="65" t="s">
        <v>158</v>
      </c>
      <c r="D149" s="65" t="s">
        <v>7</v>
      </c>
      <c r="E149" s="65" t="s">
        <v>159</v>
      </c>
    </row>
    <row r="150" spans="1:5">
      <c r="A150" s="66" t="s">
        <v>352</v>
      </c>
      <c r="B150" s="43" t="s">
        <v>156</v>
      </c>
      <c r="C150" s="43" t="s">
        <v>163</v>
      </c>
      <c r="D150" s="43" t="s">
        <v>129</v>
      </c>
      <c r="E150" s="67" t="s">
        <v>473</v>
      </c>
    </row>
    <row r="151" spans="1:5">
      <c r="A151" s="66" t="s">
        <v>310</v>
      </c>
      <c r="B151" s="43" t="s">
        <v>156</v>
      </c>
      <c r="C151" s="43" t="s">
        <v>172</v>
      </c>
      <c r="D151" s="43" t="s">
        <v>313</v>
      </c>
      <c r="E151" s="67" t="s">
        <v>474</v>
      </c>
    </row>
    <row r="152" spans="1:5">
      <c r="A152" s="66" t="s">
        <v>439</v>
      </c>
      <c r="B152" s="43" t="s">
        <v>156</v>
      </c>
      <c r="C152" s="43" t="s">
        <v>185</v>
      </c>
      <c r="D152" s="43" t="s">
        <v>64</v>
      </c>
      <c r="E152" s="67" t="s">
        <v>475</v>
      </c>
    </row>
    <row r="153" spans="1:5">
      <c r="A153" s="66" t="s">
        <v>422</v>
      </c>
      <c r="B153" s="43" t="s">
        <v>156</v>
      </c>
      <c r="C153" s="43" t="s">
        <v>160</v>
      </c>
      <c r="D153" s="43" t="s">
        <v>398</v>
      </c>
      <c r="E153" s="67" t="s">
        <v>476</v>
      </c>
    </row>
    <row r="154" spans="1:5">
      <c r="A154" s="66" t="s">
        <v>383</v>
      </c>
      <c r="B154" s="43" t="s">
        <v>156</v>
      </c>
      <c r="C154" s="43" t="s">
        <v>167</v>
      </c>
      <c r="D154" s="43" t="s">
        <v>386</v>
      </c>
      <c r="E154" s="67" t="s">
        <v>477</v>
      </c>
    </row>
    <row r="155" spans="1:5">
      <c r="A155" s="66" t="s">
        <v>246</v>
      </c>
      <c r="B155" s="43" t="s">
        <v>156</v>
      </c>
      <c r="C155" s="43" t="s">
        <v>456</v>
      </c>
      <c r="D155" s="43" t="s">
        <v>89</v>
      </c>
      <c r="E155" s="67" t="s">
        <v>478</v>
      </c>
    </row>
    <row r="156" spans="1:5">
      <c r="A156" s="66" t="s">
        <v>254</v>
      </c>
      <c r="B156" s="43" t="s">
        <v>156</v>
      </c>
      <c r="C156" s="43" t="s">
        <v>456</v>
      </c>
      <c r="D156" s="43" t="s">
        <v>33</v>
      </c>
      <c r="E156" s="67" t="s">
        <v>479</v>
      </c>
    </row>
    <row r="157" spans="1:5">
      <c r="A157" s="66" t="s">
        <v>427</v>
      </c>
      <c r="B157" s="43" t="s">
        <v>156</v>
      </c>
      <c r="C157" s="43" t="s">
        <v>160</v>
      </c>
      <c r="D157" s="43" t="s">
        <v>394</v>
      </c>
      <c r="E157" s="67" t="s">
        <v>480</v>
      </c>
    </row>
    <row r="158" spans="1:5">
      <c r="A158" s="66" t="s">
        <v>250</v>
      </c>
      <c r="B158" s="43" t="s">
        <v>156</v>
      </c>
      <c r="C158" s="43" t="s">
        <v>456</v>
      </c>
      <c r="D158" s="43" t="s">
        <v>253</v>
      </c>
      <c r="E158" s="67" t="s">
        <v>481</v>
      </c>
    </row>
    <row r="159" spans="1:5">
      <c r="A159" s="66" t="s">
        <v>387</v>
      </c>
      <c r="B159" s="43" t="s">
        <v>156</v>
      </c>
      <c r="C159" s="43" t="s">
        <v>167</v>
      </c>
      <c r="D159" s="43" t="s">
        <v>76</v>
      </c>
      <c r="E159" s="67" t="s">
        <v>482</v>
      </c>
    </row>
    <row r="160" spans="1:5">
      <c r="A160" s="66" t="s">
        <v>274</v>
      </c>
      <c r="B160" s="43" t="s">
        <v>156</v>
      </c>
      <c r="C160" s="43" t="s">
        <v>164</v>
      </c>
      <c r="D160" s="43" t="s">
        <v>89</v>
      </c>
      <c r="E160" s="67" t="s">
        <v>483</v>
      </c>
    </row>
    <row r="161" spans="1:5">
      <c r="A161" s="66" t="s">
        <v>355</v>
      </c>
      <c r="B161" s="43" t="s">
        <v>156</v>
      </c>
      <c r="C161" s="43" t="s">
        <v>163</v>
      </c>
      <c r="D161" s="43" t="s">
        <v>75</v>
      </c>
      <c r="E161" s="67" t="s">
        <v>484</v>
      </c>
    </row>
    <row r="162" spans="1:5">
      <c r="A162" s="66" t="s">
        <v>295</v>
      </c>
      <c r="B162" s="43" t="s">
        <v>156</v>
      </c>
      <c r="C162" s="43" t="s">
        <v>170</v>
      </c>
      <c r="D162" s="43" t="s">
        <v>40</v>
      </c>
      <c r="E162" s="67" t="s">
        <v>485</v>
      </c>
    </row>
    <row r="163" spans="1:5">
      <c r="A163" s="66" t="s">
        <v>320</v>
      </c>
      <c r="B163" s="43" t="s">
        <v>156</v>
      </c>
      <c r="C163" s="43" t="s">
        <v>172</v>
      </c>
      <c r="D163" s="43" t="s">
        <v>23</v>
      </c>
      <c r="E163" s="67" t="s">
        <v>486</v>
      </c>
    </row>
    <row r="164" spans="1:5">
      <c r="A164" s="66" t="s">
        <v>391</v>
      </c>
      <c r="B164" s="43" t="s">
        <v>156</v>
      </c>
      <c r="C164" s="43" t="s">
        <v>167</v>
      </c>
      <c r="D164" s="43" t="s">
        <v>347</v>
      </c>
      <c r="E164" s="67" t="s">
        <v>487</v>
      </c>
    </row>
    <row r="165" spans="1:5">
      <c r="A165" s="66" t="s">
        <v>324</v>
      </c>
      <c r="B165" s="43" t="s">
        <v>156</v>
      </c>
      <c r="C165" s="43" t="s">
        <v>172</v>
      </c>
      <c r="D165" s="43" t="s">
        <v>80</v>
      </c>
      <c r="E165" s="67" t="s">
        <v>488</v>
      </c>
    </row>
    <row r="166" spans="1:5">
      <c r="A166" s="66" t="s">
        <v>328</v>
      </c>
      <c r="B166" s="43" t="s">
        <v>156</v>
      </c>
      <c r="C166" s="43" t="s">
        <v>172</v>
      </c>
      <c r="D166" s="43" t="s">
        <v>80</v>
      </c>
      <c r="E166" s="67" t="s">
        <v>489</v>
      </c>
    </row>
    <row r="167" spans="1:5">
      <c r="A167" s="66" t="s">
        <v>277</v>
      </c>
      <c r="B167" s="43" t="s">
        <v>156</v>
      </c>
      <c r="C167" s="43" t="s">
        <v>164</v>
      </c>
      <c r="D167" s="43" t="s">
        <v>264</v>
      </c>
      <c r="E167" s="67" t="s">
        <v>490</v>
      </c>
    </row>
    <row r="168" spans="1:5">
      <c r="A168" s="66" t="s">
        <v>297</v>
      </c>
      <c r="B168" s="43" t="s">
        <v>156</v>
      </c>
      <c r="C168" s="43" t="s">
        <v>170</v>
      </c>
      <c r="D168" s="43" t="s">
        <v>124</v>
      </c>
      <c r="E168" s="67" t="s">
        <v>491</v>
      </c>
    </row>
    <row r="169" spans="1:5">
      <c r="A169" s="66" t="s">
        <v>431</v>
      </c>
      <c r="B169" s="43" t="s">
        <v>156</v>
      </c>
      <c r="C169" s="43" t="s">
        <v>160</v>
      </c>
      <c r="D169" s="43" t="s">
        <v>40</v>
      </c>
      <c r="E169" s="67" t="s">
        <v>492</v>
      </c>
    </row>
    <row r="170" spans="1:5">
      <c r="A170" s="66" t="s">
        <v>237</v>
      </c>
      <c r="B170" s="43" t="s">
        <v>156</v>
      </c>
      <c r="C170" s="43" t="s">
        <v>446</v>
      </c>
      <c r="D170" s="43" t="s">
        <v>140</v>
      </c>
      <c r="E170" s="67" t="s">
        <v>493</v>
      </c>
    </row>
    <row r="172" ht="13.8" spans="1:2">
      <c r="A172" s="63" t="s">
        <v>178</v>
      </c>
      <c r="B172" s="64"/>
    </row>
    <row r="173" ht="13.8" spans="1:5">
      <c r="A173" s="65" t="s">
        <v>1</v>
      </c>
      <c r="B173" s="65" t="s">
        <v>157</v>
      </c>
      <c r="C173" s="65" t="s">
        <v>158</v>
      </c>
      <c r="D173" s="65" t="s">
        <v>7</v>
      </c>
      <c r="E173" s="65" t="s">
        <v>159</v>
      </c>
    </row>
    <row r="174" spans="1:5">
      <c r="A174" s="66" t="s">
        <v>270</v>
      </c>
      <c r="B174" s="43" t="s">
        <v>494</v>
      </c>
      <c r="C174" s="43" t="s">
        <v>456</v>
      </c>
      <c r="D174" s="43" t="s">
        <v>273</v>
      </c>
      <c r="E174" s="67" t="s">
        <v>495</v>
      </c>
    </row>
    <row r="175" spans="1:5">
      <c r="A175" s="66" t="s">
        <v>260</v>
      </c>
      <c r="B175" s="43" t="s">
        <v>181</v>
      </c>
      <c r="C175" s="43" t="s">
        <v>456</v>
      </c>
      <c r="D175" s="43" t="s">
        <v>264</v>
      </c>
      <c r="E175" s="67" t="s">
        <v>496</v>
      </c>
    </row>
    <row r="176" spans="1:5">
      <c r="A176" s="66" t="s">
        <v>303</v>
      </c>
      <c r="B176" s="43" t="s">
        <v>494</v>
      </c>
      <c r="C176" s="43" t="s">
        <v>170</v>
      </c>
      <c r="D176" s="43" t="s">
        <v>140</v>
      </c>
      <c r="E176" s="67" t="s">
        <v>497</v>
      </c>
    </row>
    <row r="177" spans="1:5">
      <c r="A177" s="66" t="s">
        <v>280</v>
      </c>
      <c r="B177" s="43" t="s">
        <v>179</v>
      </c>
      <c r="C177" s="43" t="s">
        <v>164</v>
      </c>
      <c r="D177" s="43" t="s">
        <v>40</v>
      </c>
      <c r="E177" s="67" t="s">
        <v>498</v>
      </c>
    </row>
    <row r="178" spans="1:5">
      <c r="A178" s="66" t="s">
        <v>395</v>
      </c>
      <c r="B178" s="43" t="s">
        <v>460</v>
      </c>
      <c r="C178" s="43" t="s">
        <v>167</v>
      </c>
      <c r="D178" s="43" t="s">
        <v>398</v>
      </c>
      <c r="E178" s="67" t="s">
        <v>499</v>
      </c>
    </row>
    <row r="179" spans="1:5">
      <c r="A179" s="66" t="s">
        <v>387</v>
      </c>
      <c r="B179" s="43" t="s">
        <v>460</v>
      </c>
      <c r="C179" s="43" t="s">
        <v>167</v>
      </c>
      <c r="D179" s="43" t="s">
        <v>76</v>
      </c>
      <c r="E179" s="67" t="s">
        <v>500</v>
      </c>
    </row>
    <row r="180" spans="1:5">
      <c r="A180" s="66" t="s">
        <v>416</v>
      </c>
      <c r="B180" s="43" t="s">
        <v>181</v>
      </c>
      <c r="C180" s="43" t="s">
        <v>167</v>
      </c>
      <c r="D180" s="43" t="s">
        <v>51</v>
      </c>
      <c r="E180" s="67" t="s">
        <v>501</v>
      </c>
    </row>
    <row r="181" spans="1:5">
      <c r="A181" s="66" t="s">
        <v>265</v>
      </c>
      <c r="B181" s="43" t="s">
        <v>502</v>
      </c>
      <c r="C181" s="43" t="s">
        <v>456</v>
      </c>
      <c r="D181" s="43" t="s">
        <v>269</v>
      </c>
      <c r="E181" s="67" t="s">
        <v>503</v>
      </c>
    </row>
    <row r="182" spans="1:5">
      <c r="A182" s="66" t="s">
        <v>401</v>
      </c>
      <c r="B182" s="43" t="s">
        <v>460</v>
      </c>
      <c r="C182" s="43" t="s">
        <v>167</v>
      </c>
      <c r="D182" s="43" t="s">
        <v>75</v>
      </c>
      <c r="E182" s="67" t="s">
        <v>504</v>
      </c>
    </row>
    <row r="183" spans="1:5">
      <c r="A183" s="66" t="s">
        <v>284</v>
      </c>
      <c r="B183" s="43" t="s">
        <v>455</v>
      </c>
      <c r="C183" s="43" t="s">
        <v>164</v>
      </c>
      <c r="D183" s="43" t="s">
        <v>273</v>
      </c>
      <c r="E183" s="67" t="s">
        <v>505</v>
      </c>
    </row>
    <row r="184" spans="1:5">
      <c r="A184" s="66" t="s">
        <v>300</v>
      </c>
      <c r="B184" s="43" t="s">
        <v>187</v>
      </c>
      <c r="C184" s="43" t="s">
        <v>170</v>
      </c>
      <c r="D184" s="43" t="s">
        <v>264</v>
      </c>
      <c r="E184" s="67" t="s">
        <v>506</v>
      </c>
    </row>
    <row r="185" spans="1:5">
      <c r="A185" s="66" t="s">
        <v>404</v>
      </c>
      <c r="B185" s="43" t="s">
        <v>460</v>
      </c>
      <c r="C185" s="43" t="s">
        <v>167</v>
      </c>
      <c r="D185" s="43" t="s">
        <v>407</v>
      </c>
      <c r="E185" s="67" t="s">
        <v>507</v>
      </c>
    </row>
    <row r="186" spans="1:5">
      <c r="A186" s="66" t="s">
        <v>408</v>
      </c>
      <c r="B186" s="43" t="s">
        <v>179</v>
      </c>
      <c r="C186" s="43" t="s">
        <v>167</v>
      </c>
      <c r="D186" s="43" t="s">
        <v>89</v>
      </c>
      <c r="E186" s="67" t="s">
        <v>508</v>
      </c>
    </row>
    <row r="187" spans="1:5">
      <c r="A187" s="66" t="s">
        <v>366</v>
      </c>
      <c r="B187" s="43" t="s">
        <v>179</v>
      </c>
      <c r="C187" s="43" t="s">
        <v>163</v>
      </c>
      <c r="D187" s="43" t="s">
        <v>50</v>
      </c>
      <c r="E187" s="67" t="s">
        <v>509</v>
      </c>
    </row>
    <row r="188" spans="1:5">
      <c r="A188" s="66" t="s">
        <v>257</v>
      </c>
      <c r="B188" s="43" t="s">
        <v>460</v>
      </c>
      <c r="C188" s="43" t="s">
        <v>456</v>
      </c>
      <c r="D188" s="43" t="s">
        <v>207</v>
      </c>
      <c r="E188" s="67" t="s">
        <v>510</v>
      </c>
    </row>
  </sheetData>
  <sheetProtection selectLockedCells="1" selectUnlockedCells="1"/>
  <mergeCells count="24">
    <mergeCell ref="F3:I3"/>
    <mergeCell ref="A5:K5"/>
    <mergeCell ref="A8:K8"/>
    <mergeCell ref="A13:K13"/>
    <mergeCell ref="A17:K17"/>
    <mergeCell ref="A21:K21"/>
    <mergeCell ref="A24:K24"/>
    <mergeCell ref="A28:K28"/>
    <mergeCell ref="A38:K38"/>
    <mergeCell ref="A44:K44"/>
    <mergeCell ref="A52:K52"/>
    <mergeCell ref="A63:K63"/>
    <mergeCell ref="A74:K74"/>
    <mergeCell ref="A89:K89"/>
    <mergeCell ref="A96:K96"/>
    <mergeCell ref="A3:A4"/>
    <mergeCell ref="B3:B4"/>
    <mergeCell ref="C3:C4"/>
    <mergeCell ref="D3:D4"/>
    <mergeCell ref="E3:E4"/>
    <mergeCell ref="J3:J4"/>
    <mergeCell ref="K3:K4"/>
    <mergeCell ref="L3:L4"/>
    <mergeCell ref="A1:L2"/>
  </mergeCells>
  <pageMargins left="0.75" right="0.75" top="0.979861111111111" bottom="0.979861111111111" header="0.509722222222222" footer="0.509722222222222"/>
  <pageSetup paperSize="9" fitToWidth="0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tabSelected="1" workbookViewId="0">
      <selection activeCell="O23" sqref="O23"/>
    </sheetView>
  </sheetViews>
  <sheetFormatPr defaultColWidth="8.88888888888889" defaultRowHeight="13.2"/>
  <cols>
    <col min="1" max="1" width="24.8796296296296" style="43"/>
    <col min="2" max="2" width="26.5555555555556" style="43"/>
    <col min="3" max="3" width="7.55555555555556" style="43"/>
    <col min="4" max="4" width="6.55555555555556" style="43"/>
    <col min="5" max="5" width="17" style="43"/>
    <col min="6" max="9" width="5.55555555555556" style="43"/>
    <col min="10" max="10" width="6.33333333333333" style="67"/>
    <col min="11" max="11" width="8.55555555555556" style="43"/>
    <col min="12" max="12" width="7.11111111111111" style="43"/>
  </cols>
  <sheetData>
    <row r="1" s="5" customFormat="1" ht="14.65" customHeight="1" spans="1:12">
      <c r="A1" s="6" t="s">
        <v>511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5" customFormat="1" ht="48.7" customHeigh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12.75" customHeight="1" spans="1:12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0"/>
      <c r="H3" s="10"/>
      <c r="I3" s="10"/>
      <c r="J3" s="32" t="s">
        <v>7</v>
      </c>
      <c r="K3" s="9" t="s">
        <v>8</v>
      </c>
      <c r="L3" s="33" t="s">
        <v>9</v>
      </c>
    </row>
    <row r="4" s="1" customFormat="1" ht="23.25" customHeight="1" spans="1:12">
      <c r="A4" s="7"/>
      <c r="B4" s="8"/>
      <c r="C4" s="8"/>
      <c r="D4" s="8"/>
      <c r="E4" s="8"/>
      <c r="F4" s="11">
        <v>1</v>
      </c>
      <c r="G4" s="12">
        <v>2</v>
      </c>
      <c r="H4" s="12">
        <v>3</v>
      </c>
      <c r="I4" s="31" t="s">
        <v>10</v>
      </c>
      <c r="J4" s="32"/>
      <c r="K4" s="9"/>
      <c r="L4" s="33"/>
    </row>
    <row r="5" ht="15.6" spans="1:11">
      <c r="A5" s="45" t="s">
        <v>512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>
      <c r="A6" s="46" t="s">
        <v>513</v>
      </c>
      <c r="B6" s="46" t="s">
        <v>514</v>
      </c>
      <c r="C6" s="46" t="s">
        <v>515</v>
      </c>
      <c r="D6" s="46" t="str">
        <f ca="1">"1,0930"</f>
        <v>1,0930</v>
      </c>
      <c r="E6" s="46" t="s">
        <v>516</v>
      </c>
      <c r="F6" s="46" t="s">
        <v>244</v>
      </c>
      <c r="G6" s="46" t="s">
        <v>517</v>
      </c>
      <c r="H6" s="46" t="s">
        <v>518</v>
      </c>
      <c r="I6" s="52" t="s">
        <v>519</v>
      </c>
      <c r="J6" s="73">
        <v>97.5</v>
      </c>
      <c r="K6" s="46" t="str">
        <f ca="1">"106,5671"</f>
        <v>106,5671</v>
      </c>
      <c r="L6" s="46"/>
    </row>
    <row r="8" ht="15.6" spans="1:11">
      <c r="A8" s="47" t="s">
        <v>520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2">
      <c r="A9" s="46" t="s">
        <v>521</v>
      </c>
      <c r="B9" s="46" t="s">
        <v>522</v>
      </c>
      <c r="C9" s="46" t="s">
        <v>523</v>
      </c>
      <c r="D9" s="46" t="str">
        <f ca="1">"0,8910"</f>
        <v>0,8910</v>
      </c>
      <c r="E9" s="46" t="s">
        <v>49</v>
      </c>
      <c r="F9" s="46" t="s">
        <v>99</v>
      </c>
      <c r="G9" s="46" t="s">
        <v>244</v>
      </c>
      <c r="H9" s="52" t="s">
        <v>524</v>
      </c>
      <c r="I9" s="52"/>
      <c r="J9" s="73">
        <v>90</v>
      </c>
      <c r="K9" s="46" t="str">
        <f ca="1">"80,1855"</f>
        <v>80,1855</v>
      </c>
      <c r="L9" s="46"/>
    </row>
    <row r="11" ht="15.6" spans="1:11">
      <c r="A11" s="47" t="s">
        <v>35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2">
      <c r="A12" s="48" t="s">
        <v>525</v>
      </c>
      <c r="B12" s="48" t="s">
        <v>526</v>
      </c>
      <c r="C12" s="48" t="s">
        <v>527</v>
      </c>
      <c r="D12" s="48" t="str">
        <f ca="1">"0,6331"</f>
        <v>0,6331</v>
      </c>
      <c r="E12" s="48" t="s">
        <v>516</v>
      </c>
      <c r="F12" s="48" t="s">
        <v>202</v>
      </c>
      <c r="G12" s="48" t="s">
        <v>528</v>
      </c>
      <c r="H12" s="49" t="s">
        <v>529</v>
      </c>
      <c r="I12" s="49"/>
      <c r="J12" s="69">
        <v>147.5</v>
      </c>
      <c r="K12" s="48" t="str">
        <f ca="1">"93,3822"</f>
        <v>93,3822</v>
      </c>
      <c r="L12" s="48"/>
    </row>
    <row r="13" spans="1:12">
      <c r="A13" s="50" t="s">
        <v>530</v>
      </c>
      <c r="B13" s="50" t="s">
        <v>531</v>
      </c>
      <c r="C13" s="50" t="s">
        <v>532</v>
      </c>
      <c r="D13" s="50" t="str">
        <f ca="1">"0,6133"</f>
        <v>0,6133</v>
      </c>
      <c r="E13" s="50" t="s">
        <v>49</v>
      </c>
      <c r="F13" s="50" t="s">
        <v>268</v>
      </c>
      <c r="G13" s="50" t="s">
        <v>201</v>
      </c>
      <c r="H13" s="51" t="s">
        <v>202</v>
      </c>
      <c r="I13" s="51"/>
      <c r="J13" s="74">
        <v>135</v>
      </c>
      <c r="K13" s="50" t="str">
        <f ca="1">"82,8022"</f>
        <v>82,8022</v>
      </c>
      <c r="L13" s="50"/>
    </row>
    <row r="15" ht="15.6" spans="5:5">
      <c r="E15" s="60" t="s">
        <v>148</v>
      </c>
    </row>
    <row r="16" ht="15.6" spans="5:5">
      <c r="E16" s="60" t="s">
        <v>149</v>
      </c>
    </row>
    <row r="17" ht="15.6" spans="5:5">
      <c r="E17" s="60" t="s">
        <v>150</v>
      </c>
    </row>
    <row r="18" spans="5:5">
      <c r="E18" s="43" t="s">
        <v>151</v>
      </c>
    </row>
    <row r="19" spans="5:5">
      <c r="E19" s="43" t="s">
        <v>152</v>
      </c>
    </row>
    <row r="20" spans="5:5">
      <c r="E20" s="43" t="s">
        <v>153</v>
      </c>
    </row>
    <row r="23" ht="18" spans="1:2">
      <c r="A23" s="61" t="s">
        <v>154</v>
      </c>
      <c r="B23" s="61"/>
    </row>
    <row r="24" ht="15.6" spans="1:2">
      <c r="A24" s="62" t="s">
        <v>155</v>
      </c>
      <c r="B24" s="62"/>
    </row>
    <row r="25" ht="13.8" spans="1:2">
      <c r="A25" s="63" t="s">
        <v>156</v>
      </c>
      <c r="B25" s="64"/>
    </row>
    <row r="26" ht="13.8" spans="1:5">
      <c r="A26" s="65" t="s">
        <v>1</v>
      </c>
      <c r="B26" s="65" t="s">
        <v>157</v>
      </c>
      <c r="C26" s="65" t="s">
        <v>158</v>
      </c>
      <c r="D26" s="65" t="s">
        <v>7</v>
      </c>
      <c r="E26" s="65" t="s">
        <v>159</v>
      </c>
    </row>
    <row r="27" spans="1:5">
      <c r="A27" s="66" t="s">
        <v>525</v>
      </c>
      <c r="B27" s="43" t="s">
        <v>156</v>
      </c>
      <c r="C27" s="43" t="s">
        <v>170</v>
      </c>
      <c r="D27" s="43" t="s">
        <v>528</v>
      </c>
      <c r="E27" s="67" t="s">
        <v>533</v>
      </c>
    </row>
    <row r="28" spans="1:5">
      <c r="A28" s="66" t="s">
        <v>530</v>
      </c>
      <c r="B28" s="43" t="s">
        <v>156</v>
      </c>
      <c r="C28" s="43" t="s">
        <v>170</v>
      </c>
      <c r="D28" s="43" t="s">
        <v>201</v>
      </c>
      <c r="E28" s="67" t="s">
        <v>534</v>
      </c>
    </row>
    <row r="29" spans="1:5">
      <c r="A29" s="66" t="s">
        <v>521</v>
      </c>
      <c r="B29" s="43" t="s">
        <v>156</v>
      </c>
      <c r="C29" s="43" t="s">
        <v>535</v>
      </c>
      <c r="D29" s="43" t="s">
        <v>244</v>
      </c>
      <c r="E29" s="67" t="s">
        <v>536</v>
      </c>
    </row>
    <row r="31" ht="13.8" spans="1:2">
      <c r="A31" s="63" t="s">
        <v>178</v>
      </c>
      <c r="B31" s="64"/>
    </row>
    <row r="32" ht="13.8" spans="1:5">
      <c r="A32" s="65" t="s">
        <v>1</v>
      </c>
      <c r="B32" s="65" t="s">
        <v>157</v>
      </c>
      <c r="C32" s="65" t="s">
        <v>158</v>
      </c>
      <c r="D32" s="65" t="s">
        <v>7</v>
      </c>
      <c r="E32" s="65" t="s">
        <v>159</v>
      </c>
    </row>
    <row r="33" spans="1:5">
      <c r="A33" s="66" t="s">
        <v>513</v>
      </c>
      <c r="B33" s="43" t="s">
        <v>179</v>
      </c>
      <c r="C33" s="43" t="s">
        <v>537</v>
      </c>
      <c r="D33" s="43" t="s">
        <v>518</v>
      </c>
      <c r="E33" s="67" t="s">
        <v>538</v>
      </c>
    </row>
  </sheetData>
  <sheetProtection selectLockedCells="1" selectUnlockedCells="1"/>
  <mergeCells count="13">
    <mergeCell ref="F3:I3"/>
    <mergeCell ref="A5:K5"/>
    <mergeCell ref="A8:K8"/>
    <mergeCell ref="A11:K11"/>
    <mergeCell ref="A3:A4"/>
    <mergeCell ref="B3:B4"/>
    <mergeCell ref="C3:C4"/>
    <mergeCell ref="D3:D4"/>
    <mergeCell ref="E3:E4"/>
    <mergeCell ref="J3:J4"/>
    <mergeCell ref="K3:K4"/>
    <mergeCell ref="L3:L4"/>
    <mergeCell ref="A1:L2"/>
  </mergeCells>
  <pageMargins left="0.75" right="0.75" top="0.979861111111111" bottom="0.979861111111111" header="0.509722222222222" footer="0.509722222222222"/>
  <pageSetup paperSize="9" fitToWidth="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7"/>
  <sheetViews>
    <sheetView tabSelected="1" topLeftCell="A165" workbookViewId="0">
      <selection activeCell="O23" sqref="O23"/>
    </sheetView>
  </sheetViews>
  <sheetFormatPr defaultColWidth="8.88888888888889" defaultRowHeight="13.2"/>
  <cols>
    <col min="1" max="1" width="24.8796296296296" style="43"/>
    <col min="2" max="2" width="26.5555555555556" style="43"/>
    <col min="3" max="3" width="7.55555555555556" style="43"/>
    <col min="4" max="4" width="6.55555555555556" style="43"/>
    <col min="5" max="5" width="17" style="43"/>
    <col min="6" max="9" width="5.55555555555556" style="43"/>
    <col min="10" max="10" width="6.33333333333333" style="44"/>
    <col min="11" max="11" width="8.55555555555556" style="43"/>
    <col min="12" max="12" width="15.7777777777778" style="43"/>
  </cols>
  <sheetData>
    <row r="1" s="5" customFormat="1" ht="15" customHeight="1" spans="1:12">
      <c r="A1" s="6" t="s">
        <v>539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5" customFormat="1" ht="48.7" customHeigh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12.75" customHeight="1" spans="1:12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0"/>
      <c r="H3" s="10"/>
      <c r="I3" s="10"/>
      <c r="J3" s="55" t="s">
        <v>7</v>
      </c>
      <c r="K3" s="9" t="s">
        <v>8</v>
      </c>
      <c r="L3" s="33" t="s">
        <v>9</v>
      </c>
    </row>
    <row r="4" s="1" customFormat="1" ht="23.25" customHeight="1" spans="1:12">
      <c r="A4" s="7"/>
      <c r="B4" s="8"/>
      <c r="C4" s="8"/>
      <c r="D4" s="8"/>
      <c r="E4" s="8"/>
      <c r="F4" s="11">
        <v>1</v>
      </c>
      <c r="G4" s="12">
        <v>2</v>
      </c>
      <c r="H4" s="12">
        <v>3</v>
      </c>
      <c r="I4" s="31" t="s">
        <v>10</v>
      </c>
      <c r="J4" s="55"/>
      <c r="K4" s="9"/>
      <c r="L4" s="33"/>
    </row>
    <row r="5" ht="15.6" spans="1:11">
      <c r="A5" s="45" t="s">
        <v>512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>
      <c r="A6" s="46" t="s">
        <v>540</v>
      </c>
      <c r="B6" s="46" t="s">
        <v>541</v>
      </c>
      <c r="C6" s="46" t="s">
        <v>542</v>
      </c>
      <c r="D6" s="46" t="str">
        <f ca="1">"1,1195"</f>
        <v>1,1195</v>
      </c>
      <c r="E6" s="46" t="s">
        <v>543</v>
      </c>
      <c r="F6" s="46" t="s">
        <v>544</v>
      </c>
      <c r="G6" s="46" t="s">
        <v>545</v>
      </c>
      <c r="H6" s="52" t="s">
        <v>546</v>
      </c>
      <c r="I6" s="52"/>
      <c r="J6" s="56">
        <v>77.5</v>
      </c>
      <c r="K6" s="46" t="str">
        <f ca="1">"86,7613"</f>
        <v>86,7613</v>
      </c>
      <c r="L6" s="46"/>
    </row>
    <row r="8" ht="15.6" spans="1:11">
      <c r="A8" s="47" t="s">
        <v>520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2">
      <c r="A9" s="48" t="s">
        <v>547</v>
      </c>
      <c r="B9" s="48" t="s">
        <v>548</v>
      </c>
      <c r="C9" s="48" t="s">
        <v>549</v>
      </c>
      <c r="D9" s="48" t="str">
        <f ca="1">"1,0010"</f>
        <v>1,0010</v>
      </c>
      <c r="E9" s="48" t="s">
        <v>32</v>
      </c>
      <c r="F9" s="48" t="s">
        <v>517</v>
      </c>
      <c r="G9" s="48" t="s">
        <v>245</v>
      </c>
      <c r="H9" s="49" t="s">
        <v>519</v>
      </c>
      <c r="I9" s="49"/>
      <c r="J9" s="57">
        <v>100</v>
      </c>
      <c r="K9" s="48" t="str">
        <f ca="1">"100,1000"</f>
        <v>100,1000</v>
      </c>
      <c r="L9" s="48"/>
    </row>
    <row r="10" spans="1:12">
      <c r="A10" s="53" t="s">
        <v>550</v>
      </c>
      <c r="B10" s="53" t="s">
        <v>551</v>
      </c>
      <c r="C10" s="53" t="s">
        <v>552</v>
      </c>
      <c r="D10" s="53" t="str">
        <f ca="1">"1,0922"</f>
        <v>1,0922</v>
      </c>
      <c r="E10" s="53" t="s">
        <v>49</v>
      </c>
      <c r="F10" s="53" t="s">
        <v>244</v>
      </c>
      <c r="G10" s="53" t="s">
        <v>517</v>
      </c>
      <c r="H10" s="53" t="s">
        <v>518</v>
      </c>
      <c r="I10" s="54"/>
      <c r="J10" s="59">
        <v>97.5</v>
      </c>
      <c r="K10" s="53" t="str">
        <f ca="1">"106,4869"</f>
        <v>106,4869</v>
      </c>
      <c r="L10" s="53"/>
    </row>
    <row r="11" spans="1:12">
      <c r="A11" s="50" t="s">
        <v>553</v>
      </c>
      <c r="B11" s="50" t="s">
        <v>554</v>
      </c>
      <c r="C11" s="50" t="s">
        <v>555</v>
      </c>
      <c r="D11" s="50" t="str">
        <f ca="1">"1,1506"</f>
        <v>1,1506</v>
      </c>
      <c r="E11" s="50" t="s">
        <v>49</v>
      </c>
      <c r="F11" s="50" t="s">
        <v>110</v>
      </c>
      <c r="G11" s="50" t="s">
        <v>556</v>
      </c>
      <c r="H11" s="51" t="s">
        <v>557</v>
      </c>
      <c r="I11" s="51"/>
      <c r="J11" s="58">
        <v>57.5</v>
      </c>
      <c r="K11" s="50" t="str">
        <f ca="1">"66,1569"</f>
        <v>66,1569</v>
      </c>
      <c r="L11" s="50"/>
    </row>
    <row r="13" ht="15.6" spans="1:11">
      <c r="A13" s="47" t="s">
        <v>197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2">
      <c r="A14" s="48" t="s">
        <v>558</v>
      </c>
      <c r="B14" s="48" t="s">
        <v>559</v>
      </c>
      <c r="C14" s="48" t="s">
        <v>560</v>
      </c>
      <c r="D14" s="48" t="str">
        <f ca="1">"0,9233"</f>
        <v>0,9233</v>
      </c>
      <c r="E14" s="48" t="s">
        <v>49</v>
      </c>
      <c r="F14" s="48" t="s">
        <v>561</v>
      </c>
      <c r="G14" s="48" t="s">
        <v>562</v>
      </c>
      <c r="H14" s="49" t="s">
        <v>563</v>
      </c>
      <c r="I14" s="49"/>
      <c r="J14" s="57">
        <v>80</v>
      </c>
      <c r="K14" s="48" t="str">
        <f ca="1">"73,8600"</f>
        <v>73,8600</v>
      </c>
      <c r="L14" s="48"/>
    </row>
    <row r="15" spans="1:12">
      <c r="A15" s="53" t="s">
        <v>564</v>
      </c>
      <c r="B15" s="53" t="s">
        <v>565</v>
      </c>
      <c r="C15" s="53" t="s">
        <v>566</v>
      </c>
      <c r="D15" s="53" t="str">
        <f ca="1">"0,9632"</f>
        <v>0,9632</v>
      </c>
      <c r="E15" s="53" t="s">
        <v>32</v>
      </c>
      <c r="F15" s="53" t="s">
        <v>16</v>
      </c>
      <c r="G15" s="54" t="s">
        <v>195</v>
      </c>
      <c r="H15" s="54" t="s">
        <v>195</v>
      </c>
      <c r="I15" s="54"/>
      <c r="J15" s="59" t="s">
        <v>16</v>
      </c>
      <c r="K15" s="53" t="s">
        <v>567</v>
      </c>
      <c r="L15" s="53"/>
    </row>
    <row r="16" spans="1:12">
      <c r="A16" s="53" t="s">
        <v>568</v>
      </c>
      <c r="B16" s="53" t="s">
        <v>569</v>
      </c>
      <c r="C16" s="53" t="s">
        <v>570</v>
      </c>
      <c r="D16" s="53" t="str">
        <f ca="1">"0,9102"</f>
        <v>0,9102</v>
      </c>
      <c r="E16" s="53" t="s">
        <v>256</v>
      </c>
      <c r="F16" s="53" t="s">
        <v>517</v>
      </c>
      <c r="G16" s="54" t="s">
        <v>245</v>
      </c>
      <c r="H16" s="53" t="s">
        <v>519</v>
      </c>
      <c r="I16" s="54"/>
      <c r="J16" s="59">
        <v>102.5</v>
      </c>
      <c r="K16" s="53" t="str">
        <f ca="1">"93,2955"</f>
        <v>93,2955</v>
      </c>
      <c r="L16" s="53"/>
    </row>
    <row r="17" spans="1:12">
      <c r="A17" s="53" t="s">
        <v>571</v>
      </c>
      <c r="B17" s="53" t="s">
        <v>572</v>
      </c>
      <c r="C17" s="53" t="s">
        <v>573</v>
      </c>
      <c r="D17" s="53" t="str">
        <f ca="1">"0,9018"</f>
        <v>0,9018</v>
      </c>
      <c r="E17" s="53" t="s">
        <v>49</v>
      </c>
      <c r="F17" s="53" t="s">
        <v>562</v>
      </c>
      <c r="G17" s="53" t="s">
        <v>99</v>
      </c>
      <c r="H17" s="53" t="s">
        <v>563</v>
      </c>
      <c r="I17" s="54"/>
      <c r="J17" s="59">
        <v>87.5</v>
      </c>
      <c r="K17" s="53" t="str">
        <f ca="1">"78,9031"</f>
        <v>78,9031</v>
      </c>
      <c r="L17" s="53"/>
    </row>
    <row r="18" spans="1:12">
      <c r="A18" s="53" t="s">
        <v>558</v>
      </c>
      <c r="B18" s="53" t="s">
        <v>574</v>
      </c>
      <c r="C18" s="53" t="s">
        <v>560</v>
      </c>
      <c r="D18" s="53" t="str">
        <f ca="1">"0,9233"</f>
        <v>0,9233</v>
      </c>
      <c r="E18" s="53" t="s">
        <v>49</v>
      </c>
      <c r="F18" s="53" t="s">
        <v>575</v>
      </c>
      <c r="G18" s="53" t="s">
        <v>562</v>
      </c>
      <c r="H18" s="54" t="s">
        <v>563</v>
      </c>
      <c r="I18" s="54"/>
      <c r="J18" s="59">
        <v>80</v>
      </c>
      <c r="K18" s="53" t="str">
        <f ca="1">"73,8600"</f>
        <v>73,8600</v>
      </c>
      <c r="L18" s="53"/>
    </row>
    <row r="19" spans="1:12">
      <c r="A19" s="53" t="s">
        <v>568</v>
      </c>
      <c r="B19" s="53" t="s">
        <v>576</v>
      </c>
      <c r="C19" s="53" t="s">
        <v>570</v>
      </c>
      <c r="D19" s="53" t="str">
        <f ca="1">"0,9102"</f>
        <v>0,9102</v>
      </c>
      <c r="E19" s="53" t="s">
        <v>256</v>
      </c>
      <c r="F19" s="53" t="s">
        <v>517</v>
      </c>
      <c r="G19" s="54" t="s">
        <v>245</v>
      </c>
      <c r="H19" s="53" t="s">
        <v>519</v>
      </c>
      <c r="I19" s="54"/>
      <c r="J19" s="59">
        <v>102.5</v>
      </c>
      <c r="K19" s="53" t="str">
        <f ca="1">"93,2955"</f>
        <v>93,2955</v>
      </c>
      <c r="L19" s="53"/>
    </row>
    <row r="20" spans="1:12">
      <c r="A20" s="53" t="s">
        <v>564</v>
      </c>
      <c r="B20" s="53" t="s">
        <v>577</v>
      </c>
      <c r="C20" s="53" t="s">
        <v>566</v>
      </c>
      <c r="D20" s="53" t="str">
        <f ca="1">"1,0162"</f>
        <v>1,0162</v>
      </c>
      <c r="E20" s="53" t="s">
        <v>32</v>
      </c>
      <c r="F20" s="53" t="s">
        <v>16</v>
      </c>
      <c r="G20" s="54" t="s">
        <v>195</v>
      </c>
      <c r="H20" s="54" t="s">
        <v>195</v>
      </c>
      <c r="I20" s="54"/>
      <c r="J20" s="59" t="s">
        <v>16</v>
      </c>
      <c r="K20" s="53" t="s">
        <v>578</v>
      </c>
      <c r="L20" s="53"/>
    </row>
    <row r="21" spans="1:12">
      <c r="A21" s="50" t="s">
        <v>579</v>
      </c>
      <c r="B21" s="50" t="s">
        <v>580</v>
      </c>
      <c r="C21" s="50" t="s">
        <v>581</v>
      </c>
      <c r="D21" s="50" t="str">
        <f ca="1">"1,5920"</f>
        <v>1,5920</v>
      </c>
      <c r="E21" s="50" t="s">
        <v>582</v>
      </c>
      <c r="F21" s="50" t="s">
        <v>583</v>
      </c>
      <c r="G21" s="50" t="s">
        <v>584</v>
      </c>
      <c r="H21" s="51" t="s">
        <v>557</v>
      </c>
      <c r="I21" s="51"/>
      <c r="J21" s="58">
        <v>55</v>
      </c>
      <c r="K21" s="50" t="str">
        <f ca="1">"87,5592"</f>
        <v>87,5592</v>
      </c>
      <c r="L21" s="50"/>
    </row>
    <row r="23" ht="15.6" spans="1:11">
      <c r="A23" s="47" t="s">
        <v>11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2">
      <c r="A24" s="48" t="s">
        <v>585</v>
      </c>
      <c r="B24" s="48" t="s">
        <v>586</v>
      </c>
      <c r="C24" s="48" t="s">
        <v>587</v>
      </c>
      <c r="D24" s="48" t="str">
        <f ca="1">"0,8483"</f>
        <v>0,8483</v>
      </c>
      <c r="E24" s="48" t="s">
        <v>49</v>
      </c>
      <c r="F24" s="48" t="s">
        <v>123</v>
      </c>
      <c r="G24" s="48" t="s">
        <v>201</v>
      </c>
      <c r="H24" s="49" t="s">
        <v>269</v>
      </c>
      <c r="I24" s="49"/>
      <c r="J24" s="57">
        <v>135</v>
      </c>
      <c r="K24" s="48" t="str">
        <f ca="1">"114,5272"</f>
        <v>114,5272</v>
      </c>
      <c r="L24" s="48"/>
    </row>
    <row r="25" spans="1:12">
      <c r="A25" s="53" t="s">
        <v>588</v>
      </c>
      <c r="B25" s="53" t="s">
        <v>589</v>
      </c>
      <c r="C25" s="53" t="s">
        <v>590</v>
      </c>
      <c r="D25" s="53" t="str">
        <f ca="1">"0,8475"</f>
        <v>0,8475</v>
      </c>
      <c r="E25" s="53" t="s">
        <v>49</v>
      </c>
      <c r="F25" s="53" t="s">
        <v>591</v>
      </c>
      <c r="G25" s="53" t="s">
        <v>592</v>
      </c>
      <c r="H25" s="54" t="s">
        <v>123</v>
      </c>
      <c r="I25" s="54"/>
      <c r="J25" s="59">
        <v>117.5</v>
      </c>
      <c r="K25" s="53" t="str">
        <f ca="1">"99,5871"</f>
        <v>99,5871</v>
      </c>
      <c r="L25" s="53"/>
    </row>
    <row r="26" spans="1:12">
      <c r="A26" s="53" t="s">
        <v>593</v>
      </c>
      <c r="B26" s="53" t="s">
        <v>594</v>
      </c>
      <c r="C26" s="53" t="s">
        <v>595</v>
      </c>
      <c r="D26" s="53" t="str">
        <f ca="1">"0,8399"</f>
        <v>0,8399</v>
      </c>
      <c r="E26" s="53" t="s">
        <v>32</v>
      </c>
      <c r="F26" s="53" t="s">
        <v>245</v>
      </c>
      <c r="G26" s="53" t="s">
        <v>195</v>
      </c>
      <c r="H26" s="54" t="s">
        <v>591</v>
      </c>
      <c r="I26" s="54"/>
      <c r="J26" s="59">
        <v>110</v>
      </c>
      <c r="K26" s="53" t="str">
        <f ca="1">"92,3890"</f>
        <v>92,3890</v>
      </c>
      <c r="L26" s="53"/>
    </row>
    <row r="27" spans="1:12">
      <c r="A27" s="53" t="s">
        <v>596</v>
      </c>
      <c r="B27" s="53" t="s">
        <v>597</v>
      </c>
      <c r="C27" s="53" t="s">
        <v>216</v>
      </c>
      <c r="D27" s="53" t="str">
        <f ca="1">"0,8368"</f>
        <v>0,8368</v>
      </c>
      <c r="E27" s="53" t="s">
        <v>598</v>
      </c>
      <c r="F27" s="53" t="s">
        <v>519</v>
      </c>
      <c r="G27" s="54" t="s">
        <v>195</v>
      </c>
      <c r="H27" s="54" t="s">
        <v>195</v>
      </c>
      <c r="I27" s="54"/>
      <c r="J27" s="59">
        <v>102.5</v>
      </c>
      <c r="K27" s="53" t="str">
        <f ca="1">"85,7771"</f>
        <v>85,7771</v>
      </c>
      <c r="L27" s="53"/>
    </row>
    <row r="28" spans="1:12">
      <c r="A28" s="53" t="s">
        <v>214</v>
      </c>
      <c r="B28" s="53" t="s">
        <v>215</v>
      </c>
      <c r="C28" s="53" t="s">
        <v>216</v>
      </c>
      <c r="D28" s="53" t="str">
        <f ca="1">"0,8628"</f>
        <v>0,8628</v>
      </c>
      <c r="E28" s="53" t="s">
        <v>21</v>
      </c>
      <c r="F28" s="53" t="s">
        <v>562</v>
      </c>
      <c r="G28" s="53" t="s">
        <v>244</v>
      </c>
      <c r="H28" s="54" t="s">
        <v>517</v>
      </c>
      <c r="I28" s="54"/>
      <c r="J28" s="59">
        <v>90</v>
      </c>
      <c r="K28" s="53" t="str">
        <f ca="1">"77,6513"</f>
        <v>77,6513</v>
      </c>
      <c r="L28" s="53"/>
    </row>
    <row r="29" spans="1:12">
      <c r="A29" s="53" t="s">
        <v>599</v>
      </c>
      <c r="B29" s="53" t="s">
        <v>600</v>
      </c>
      <c r="C29" s="53" t="s">
        <v>14</v>
      </c>
      <c r="D29" s="53" t="str">
        <f ca="1">"0,9998"</f>
        <v>0,9998</v>
      </c>
      <c r="E29" s="53" t="s">
        <v>49</v>
      </c>
      <c r="F29" s="53" t="s">
        <v>16</v>
      </c>
      <c r="G29" s="53" t="s">
        <v>195</v>
      </c>
      <c r="H29" s="54" t="s">
        <v>196</v>
      </c>
      <c r="I29" s="54"/>
      <c r="J29" s="59">
        <v>110</v>
      </c>
      <c r="K29" s="53" t="str">
        <f ca="1">"109,9812"</f>
        <v>109,9812</v>
      </c>
      <c r="L29" s="53"/>
    </row>
    <row r="30" spans="1:12">
      <c r="A30" s="50" t="s">
        <v>220</v>
      </c>
      <c r="B30" s="50" t="s">
        <v>221</v>
      </c>
      <c r="C30" s="50" t="s">
        <v>222</v>
      </c>
      <c r="D30" s="50" t="str">
        <f ca="1">"1,1529"</f>
        <v>1,1529</v>
      </c>
      <c r="E30" s="50" t="s">
        <v>32</v>
      </c>
      <c r="F30" s="50" t="s">
        <v>557</v>
      </c>
      <c r="G30" s="50" t="s">
        <v>583</v>
      </c>
      <c r="H30" s="50" t="s">
        <v>601</v>
      </c>
      <c r="I30" s="51" t="s">
        <v>561</v>
      </c>
      <c r="J30" s="58">
        <v>72.5</v>
      </c>
      <c r="K30" s="50" t="str">
        <f ca="1">"83,5830"</f>
        <v>83,5830</v>
      </c>
      <c r="L30" s="50"/>
    </row>
    <row r="32" ht="15.6" spans="1:11">
      <c r="A32" s="47" t="s">
        <v>17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2">
      <c r="A33" s="48" t="s">
        <v>602</v>
      </c>
      <c r="B33" s="48" t="s">
        <v>603</v>
      </c>
      <c r="C33" s="48" t="s">
        <v>604</v>
      </c>
      <c r="D33" s="48" t="str">
        <f ca="1">"0,8062"</f>
        <v>0,8062</v>
      </c>
      <c r="E33" s="48" t="s">
        <v>49</v>
      </c>
      <c r="F33" s="48" t="s">
        <v>245</v>
      </c>
      <c r="G33" s="48" t="s">
        <v>16</v>
      </c>
      <c r="H33" s="49" t="s">
        <v>195</v>
      </c>
      <c r="I33" s="49"/>
      <c r="J33" s="57">
        <v>105</v>
      </c>
      <c r="K33" s="48" t="str">
        <f ca="1">"84,6562"</f>
        <v>84,6562</v>
      </c>
      <c r="L33" s="48"/>
    </row>
    <row r="34" spans="1:12">
      <c r="A34" s="50" t="s">
        <v>223</v>
      </c>
      <c r="B34" s="50" t="s">
        <v>229</v>
      </c>
      <c r="C34" s="50" t="s">
        <v>225</v>
      </c>
      <c r="D34" s="50" t="str">
        <f ca="1">"0,8962"</f>
        <v>0,8962</v>
      </c>
      <c r="E34" s="50" t="s">
        <v>32</v>
      </c>
      <c r="F34" s="50" t="s">
        <v>605</v>
      </c>
      <c r="G34" s="51" t="s">
        <v>268</v>
      </c>
      <c r="H34" s="51" t="s">
        <v>268</v>
      </c>
      <c r="I34" s="51"/>
      <c r="J34" s="58" t="s">
        <v>606</v>
      </c>
      <c r="K34" s="50" t="s">
        <v>607</v>
      </c>
      <c r="L34" s="50"/>
    </row>
    <row r="36" ht="15.6" spans="1:11">
      <c r="A36" s="47" t="s">
        <v>512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2">
      <c r="A37" s="46" t="s">
        <v>608</v>
      </c>
      <c r="B37" s="46" t="s">
        <v>609</v>
      </c>
      <c r="C37" s="46" t="s">
        <v>610</v>
      </c>
      <c r="D37" s="46" t="str">
        <f ca="1">"1,0192"</f>
        <v>1,0192</v>
      </c>
      <c r="E37" s="46" t="s">
        <v>49</v>
      </c>
      <c r="F37" s="46" t="s">
        <v>611</v>
      </c>
      <c r="G37" s="46" t="s">
        <v>612</v>
      </c>
      <c r="H37" s="52" t="s">
        <v>613</v>
      </c>
      <c r="I37" s="52"/>
      <c r="J37" s="56">
        <v>40</v>
      </c>
      <c r="K37" s="46" t="str">
        <f ca="1">"40,7660"</f>
        <v>40,7660</v>
      </c>
      <c r="L37" s="46"/>
    </row>
    <row r="39" ht="15.6" spans="1:11">
      <c r="A39" s="47" t="s">
        <v>191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1:12">
      <c r="A40" s="48" t="s">
        <v>614</v>
      </c>
      <c r="B40" s="48" t="s">
        <v>615</v>
      </c>
      <c r="C40" s="48" t="s">
        <v>616</v>
      </c>
      <c r="D40" s="48" t="str">
        <f ca="1">"0,9061"</f>
        <v>0,9061</v>
      </c>
      <c r="E40" s="48" t="s">
        <v>21</v>
      </c>
      <c r="F40" s="48" t="s">
        <v>605</v>
      </c>
      <c r="G40" s="48" t="s">
        <v>268</v>
      </c>
      <c r="H40" s="49" t="s">
        <v>617</v>
      </c>
      <c r="I40" s="49"/>
      <c r="J40" s="57">
        <v>130</v>
      </c>
      <c r="K40" s="48" t="str">
        <f ca="1">"117,7865"</f>
        <v>117,7865</v>
      </c>
      <c r="L40" s="48"/>
    </row>
    <row r="41" spans="1:12">
      <c r="A41" s="50" t="s">
        <v>618</v>
      </c>
      <c r="B41" s="50" t="s">
        <v>619</v>
      </c>
      <c r="C41" s="50" t="s">
        <v>620</v>
      </c>
      <c r="D41" s="50" t="str">
        <f ca="1">"1,6295"</f>
        <v>1,6295</v>
      </c>
      <c r="E41" s="50" t="s">
        <v>21</v>
      </c>
      <c r="F41" s="50" t="s">
        <v>544</v>
      </c>
      <c r="G41" s="50" t="s">
        <v>561</v>
      </c>
      <c r="H41" s="51" t="s">
        <v>545</v>
      </c>
      <c r="I41" s="51"/>
      <c r="J41" s="58">
        <v>75</v>
      </c>
      <c r="K41" s="50" t="str">
        <f ca="1">"122,2126"</f>
        <v>122,2126</v>
      </c>
      <c r="L41" s="50"/>
    </row>
    <row r="43" ht="15.6" spans="1:11">
      <c r="A43" s="47" t="s">
        <v>197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4" spans="1:12">
      <c r="A44" s="48" t="s">
        <v>621</v>
      </c>
      <c r="B44" s="48" t="s">
        <v>622</v>
      </c>
      <c r="C44" s="48" t="s">
        <v>623</v>
      </c>
      <c r="D44" s="48" t="str">
        <f ca="1">"0,7965"</f>
        <v>0,7965</v>
      </c>
      <c r="E44" s="48" t="s">
        <v>49</v>
      </c>
      <c r="F44" s="48" t="s">
        <v>624</v>
      </c>
      <c r="G44" s="48" t="s">
        <v>110</v>
      </c>
      <c r="H44" s="49" t="s">
        <v>557</v>
      </c>
      <c r="I44" s="49"/>
      <c r="J44" s="57">
        <v>55</v>
      </c>
      <c r="K44" s="48" t="str">
        <f ca="1">"43,8102"</f>
        <v>43,8102</v>
      </c>
      <c r="L44" s="48"/>
    </row>
    <row r="45" spans="1:12">
      <c r="A45" s="53" t="s">
        <v>625</v>
      </c>
      <c r="B45" s="53" t="s">
        <v>626</v>
      </c>
      <c r="C45" s="53" t="s">
        <v>627</v>
      </c>
      <c r="D45" s="53" t="str">
        <f ca="1">"0,8073"</f>
        <v>0,8073</v>
      </c>
      <c r="E45" s="53" t="s">
        <v>49</v>
      </c>
      <c r="F45" s="53" t="s">
        <v>244</v>
      </c>
      <c r="G45" s="53" t="s">
        <v>517</v>
      </c>
      <c r="H45" s="54" t="s">
        <v>518</v>
      </c>
      <c r="I45" s="54"/>
      <c r="J45" s="59">
        <v>95</v>
      </c>
      <c r="K45" s="53" t="str">
        <f ca="1">"76,6888"</f>
        <v>76,6888</v>
      </c>
      <c r="L45" s="53"/>
    </row>
    <row r="46" spans="1:12">
      <c r="A46" s="53" t="s">
        <v>234</v>
      </c>
      <c r="B46" s="53" t="s">
        <v>235</v>
      </c>
      <c r="C46" s="53" t="s">
        <v>236</v>
      </c>
      <c r="D46" s="53" t="str">
        <f ca="1">"0,7522"</f>
        <v>0,7522</v>
      </c>
      <c r="E46" s="53" t="s">
        <v>21</v>
      </c>
      <c r="F46" s="53" t="s">
        <v>562</v>
      </c>
      <c r="G46" s="53" t="s">
        <v>99</v>
      </c>
      <c r="H46" s="54" t="s">
        <v>244</v>
      </c>
      <c r="I46" s="54"/>
      <c r="J46" s="59">
        <v>85</v>
      </c>
      <c r="K46" s="53" t="str">
        <f ca="1">"63,9370"</f>
        <v>63,9370</v>
      </c>
      <c r="L46" s="53"/>
    </row>
    <row r="47" spans="1:12">
      <c r="A47" s="53" t="s">
        <v>628</v>
      </c>
      <c r="B47" s="53" t="s">
        <v>629</v>
      </c>
      <c r="C47" s="53" t="s">
        <v>630</v>
      </c>
      <c r="D47" s="53" t="str">
        <f ca="1">"0,7531"</f>
        <v>0,7531</v>
      </c>
      <c r="E47" s="53" t="s">
        <v>21</v>
      </c>
      <c r="F47" s="54" t="s">
        <v>605</v>
      </c>
      <c r="G47" s="53" t="s">
        <v>605</v>
      </c>
      <c r="H47" s="54" t="s">
        <v>268</v>
      </c>
      <c r="I47" s="54"/>
      <c r="J47" s="59">
        <v>120</v>
      </c>
      <c r="K47" s="53" t="str">
        <f ca="1">"90,3780"</f>
        <v>90,3780</v>
      </c>
      <c r="L47" s="53"/>
    </row>
    <row r="48" spans="1:12">
      <c r="A48" s="53" t="s">
        <v>631</v>
      </c>
      <c r="B48" s="53" t="s">
        <v>632</v>
      </c>
      <c r="C48" s="53" t="s">
        <v>633</v>
      </c>
      <c r="D48" s="53" t="str">
        <f ca="1">"0,7570"</f>
        <v>0,7570</v>
      </c>
      <c r="E48" s="53" t="s">
        <v>543</v>
      </c>
      <c r="F48" s="54" t="s">
        <v>195</v>
      </c>
      <c r="G48" s="54" t="s">
        <v>196</v>
      </c>
      <c r="H48" s="54" t="s">
        <v>196</v>
      </c>
      <c r="I48" s="54"/>
      <c r="J48" s="59">
        <v>0</v>
      </c>
      <c r="K48" s="53" t="str">
        <f ca="1">"0,0000"</f>
        <v>0,0000</v>
      </c>
      <c r="L48" s="53"/>
    </row>
    <row r="49" spans="1:12">
      <c r="A49" s="50" t="s">
        <v>634</v>
      </c>
      <c r="B49" s="50" t="s">
        <v>635</v>
      </c>
      <c r="C49" s="50" t="s">
        <v>636</v>
      </c>
      <c r="D49" s="50" t="str">
        <f ca="1">"0,9470"</f>
        <v>0,9470</v>
      </c>
      <c r="E49" s="50" t="s">
        <v>21</v>
      </c>
      <c r="F49" s="51" t="s">
        <v>245</v>
      </c>
      <c r="G49" s="50" t="s">
        <v>245</v>
      </c>
      <c r="H49" s="50" t="s">
        <v>16</v>
      </c>
      <c r="I49" s="51"/>
      <c r="J49" s="58">
        <v>105</v>
      </c>
      <c r="K49" s="50" t="str">
        <f ca="1">"99,4308"</f>
        <v>99,4308</v>
      </c>
      <c r="L49" s="50"/>
    </row>
    <row r="51" ht="15.6" spans="1:11">
      <c r="A51" s="47" t="s">
        <v>11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</row>
    <row r="52" spans="1:12">
      <c r="A52" s="48" t="s">
        <v>637</v>
      </c>
      <c r="B52" s="48" t="s">
        <v>638</v>
      </c>
      <c r="C52" s="48" t="s">
        <v>639</v>
      </c>
      <c r="D52" s="48" t="str">
        <f ca="1">"0,6899"</f>
        <v>0,6899</v>
      </c>
      <c r="E52" s="48" t="s">
        <v>543</v>
      </c>
      <c r="F52" s="48" t="s">
        <v>201</v>
      </c>
      <c r="G52" s="48" t="s">
        <v>202</v>
      </c>
      <c r="H52" s="49" t="s">
        <v>269</v>
      </c>
      <c r="I52" s="49"/>
      <c r="J52" s="57">
        <v>140</v>
      </c>
      <c r="K52" s="48" t="str">
        <f ca="1">"96,5860"</f>
        <v>96,5860</v>
      </c>
      <c r="L52" s="48"/>
    </row>
    <row r="53" spans="1:12">
      <c r="A53" s="53" t="s">
        <v>640</v>
      </c>
      <c r="B53" s="53" t="s">
        <v>641</v>
      </c>
      <c r="C53" s="53" t="s">
        <v>642</v>
      </c>
      <c r="D53" s="53" t="str">
        <f ca="1">"0,7140"</f>
        <v>0,7140</v>
      </c>
      <c r="E53" s="53" t="s">
        <v>49</v>
      </c>
      <c r="F53" s="53" t="s">
        <v>195</v>
      </c>
      <c r="G53" s="54" t="s">
        <v>592</v>
      </c>
      <c r="H53" s="54" t="s">
        <v>592</v>
      </c>
      <c r="I53" s="54"/>
      <c r="J53" s="59" t="s">
        <v>163</v>
      </c>
      <c r="K53" s="53" t="s">
        <v>643</v>
      </c>
      <c r="L53" s="53"/>
    </row>
    <row r="54" spans="1:12">
      <c r="A54" s="53" t="s">
        <v>644</v>
      </c>
      <c r="B54" s="53" t="s">
        <v>645</v>
      </c>
      <c r="C54" s="53" t="s">
        <v>646</v>
      </c>
      <c r="D54" s="53" t="str">
        <f ca="1">"0,6906"</f>
        <v>0,6906</v>
      </c>
      <c r="E54" s="53" t="s">
        <v>39</v>
      </c>
      <c r="F54" s="54" t="s">
        <v>27</v>
      </c>
      <c r="G54" s="53" t="s">
        <v>27</v>
      </c>
      <c r="H54" s="54" t="s">
        <v>647</v>
      </c>
      <c r="I54" s="54"/>
      <c r="J54" s="59">
        <v>185</v>
      </c>
      <c r="K54" s="53" t="str">
        <f ca="1">"127,7610"</f>
        <v>127,7610</v>
      </c>
      <c r="L54" s="53"/>
    </row>
    <row r="55" spans="1:12">
      <c r="A55" s="53" t="s">
        <v>246</v>
      </c>
      <c r="B55" s="53" t="s">
        <v>247</v>
      </c>
      <c r="C55" s="53" t="s">
        <v>248</v>
      </c>
      <c r="D55" s="53" t="str">
        <f ca="1">"0,6885"</f>
        <v>0,6885</v>
      </c>
      <c r="E55" s="53" t="s">
        <v>249</v>
      </c>
      <c r="F55" s="53" t="s">
        <v>206</v>
      </c>
      <c r="G55" s="53" t="s">
        <v>207</v>
      </c>
      <c r="H55" s="54"/>
      <c r="I55" s="54"/>
      <c r="J55" s="59">
        <v>170</v>
      </c>
      <c r="K55" s="53" t="str">
        <f ca="1">"117,0535"</f>
        <v>117,0535</v>
      </c>
      <c r="L55" s="53"/>
    </row>
    <row r="56" spans="1:12">
      <c r="A56" s="53" t="s">
        <v>648</v>
      </c>
      <c r="B56" s="53" t="s">
        <v>649</v>
      </c>
      <c r="C56" s="53" t="s">
        <v>650</v>
      </c>
      <c r="D56" s="53" t="str">
        <f ca="1">"0,6934"</f>
        <v>0,6934</v>
      </c>
      <c r="E56" s="53" t="s">
        <v>49</v>
      </c>
      <c r="F56" s="53" t="s">
        <v>206</v>
      </c>
      <c r="G56" s="54" t="s">
        <v>218</v>
      </c>
      <c r="H56" s="54" t="s">
        <v>218</v>
      </c>
      <c r="I56" s="54"/>
      <c r="J56" s="59" t="s">
        <v>208</v>
      </c>
      <c r="K56" s="53" t="s">
        <v>651</v>
      </c>
      <c r="L56" s="53"/>
    </row>
    <row r="57" spans="1:12">
      <c r="A57" s="53" t="s">
        <v>652</v>
      </c>
      <c r="B57" s="53" t="s">
        <v>653</v>
      </c>
      <c r="C57" s="53" t="s">
        <v>248</v>
      </c>
      <c r="D57" s="53" t="str">
        <f ca="1">"0,6885"</f>
        <v>0,6885</v>
      </c>
      <c r="E57" s="53" t="s">
        <v>21</v>
      </c>
      <c r="F57" s="53" t="s">
        <v>202</v>
      </c>
      <c r="G57" s="53" t="s">
        <v>147</v>
      </c>
      <c r="H57" s="54"/>
      <c r="I57" s="54"/>
      <c r="J57" s="59">
        <v>160</v>
      </c>
      <c r="K57" s="53" t="str">
        <f ca="1">"110,1680"</f>
        <v>110,1680</v>
      </c>
      <c r="L57" s="53"/>
    </row>
    <row r="58" spans="1:12">
      <c r="A58" s="53" t="s">
        <v>654</v>
      </c>
      <c r="B58" s="53" t="s">
        <v>655</v>
      </c>
      <c r="C58" s="53" t="s">
        <v>248</v>
      </c>
      <c r="D58" s="53" t="str">
        <f ca="1">"0,6954"</f>
        <v>0,6954</v>
      </c>
      <c r="E58" s="53" t="s">
        <v>49</v>
      </c>
      <c r="F58" s="53" t="s">
        <v>202</v>
      </c>
      <c r="G58" s="54" t="s">
        <v>217</v>
      </c>
      <c r="H58" s="54" t="s">
        <v>217</v>
      </c>
      <c r="I58" s="54"/>
      <c r="J58" s="59">
        <v>140</v>
      </c>
      <c r="K58" s="53" t="str">
        <f ca="1">"97,3610"</f>
        <v>97,3610</v>
      </c>
      <c r="L58" s="53"/>
    </row>
    <row r="59" spans="1:12">
      <c r="A59" s="53" t="s">
        <v>656</v>
      </c>
      <c r="B59" s="53" t="s">
        <v>657</v>
      </c>
      <c r="C59" s="53" t="s">
        <v>650</v>
      </c>
      <c r="D59" s="53" t="str">
        <f ca="1">"0,7315"</f>
        <v>0,7315</v>
      </c>
      <c r="E59" s="53" t="s">
        <v>21</v>
      </c>
      <c r="F59" s="53" t="s">
        <v>268</v>
      </c>
      <c r="G59" s="54" t="s">
        <v>658</v>
      </c>
      <c r="H59" s="54" t="s">
        <v>202</v>
      </c>
      <c r="I59" s="54"/>
      <c r="J59" s="59" t="s">
        <v>374</v>
      </c>
      <c r="K59" s="53" t="s">
        <v>659</v>
      </c>
      <c r="L59" s="53"/>
    </row>
    <row r="60" spans="1:12">
      <c r="A60" s="53" t="s">
        <v>660</v>
      </c>
      <c r="B60" s="53" t="s">
        <v>661</v>
      </c>
      <c r="C60" s="53" t="s">
        <v>595</v>
      </c>
      <c r="D60" s="53" t="str">
        <f ca="1">"0,9452"</f>
        <v>0,9452</v>
      </c>
      <c r="E60" s="53" t="s">
        <v>662</v>
      </c>
      <c r="F60" s="53" t="s">
        <v>563</v>
      </c>
      <c r="G60" s="53" t="s">
        <v>244</v>
      </c>
      <c r="H60" s="54" t="s">
        <v>517</v>
      </c>
      <c r="I60" s="54"/>
      <c r="J60" s="59">
        <v>90</v>
      </c>
      <c r="K60" s="53" t="str">
        <f ca="1">"85,0683"</f>
        <v>85,0683</v>
      </c>
      <c r="L60" s="53"/>
    </row>
    <row r="61" spans="1:12">
      <c r="A61" s="53" t="s">
        <v>265</v>
      </c>
      <c r="B61" s="53" t="s">
        <v>266</v>
      </c>
      <c r="C61" s="53" t="s">
        <v>267</v>
      </c>
      <c r="D61" s="53" t="str">
        <f ca="1">"1,1434"</f>
        <v>1,1434</v>
      </c>
      <c r="E61" s="53" t="s">
        <v>15</v>
      </c>
      <c r="F61" s="53" t="s">
        <v>663</v>
      </c>
      <c r="G61" s="54" t="s">
        <v>195</v>
      </c>
      <c r="H61" s="54" t="s">
        <v>195</v>
      </c>
      <c r="I61" s="54"/>
      <c r="J61" s="59" t="s">
        <v>663</v>
      </c>
      <c r="K61" s="53" t="s">
        <v>664</v>
      </c>
      <c r="L61" s="53"/>
    </row>
    <row r="62" spans="1:12">
      <c r="A62" s="50" t="s">
        <v>665</v>
      </c>
      <c r="B62" s="50" t="s">
        <v>666</v>
      </c>
      <c r="C62" s="50" t="s">
        <v>667</v>
      </c>
      <c r="D62" s="50" t="str">
        <f ca="1">"1,2433"</f>
        <v>1,2433</v>
      </c>
      <c r="E62" s="50" t="s">
        <v>543</v>
      </c>
      <c r="F62" s="50" t="s">
        <v>561</v>
      </c>
      <c r="G62" s="50" t="s">
        <v>562</v>
      </c>
      <c r="H62" s="51" t="s">
        <v>244</v>
      </c>
      <c r="I62" s="51"/>
      <c r="J62" s="58">
        <v>80</v>
      </c>
      <c r="K62" s="50" t="str">
        <f ca="1">"99,4653"</f>
        <v>99,4653</v>
      </c>
      <c r="L62" s="50"/>
    </row>
    <row r="64" ht="15.6" spans="1:11">
      <c r="A64" s="47" t="s">
        <v>17</v>
      </c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12">
      <c r="A65" s="48" t="s">
        <v>668</v>
      </c>
      <c r="B65" s="48" t="s">
        <v>669</v>
      </c>
      <c r="C65" s="48" t="s">
        <v>670</v>
      </c>
      <c r="D65" s="48" t="str">
        <f ca="1">"0,6557"</f>
        <v>0,6557</v>
      </c>
      <c r="E65" s="48" t="s">
        <v>49</v>
      </c>
      <c r="F65" s="48" t="s">
        <v>518</v>
      </c>
      <c r="G65" s="48" t="s">
        <v>519</v>
      </c>
      <c r="H65" s="48" t="s">
        <v>663</v>
      </c>
      <c r="I65" s="49"/>
      <c r="J65" s="57">
        <v>107.5</v>
      </c>
      <c r="K65" s="48" t="str">
        <f ca="1">"70,4824"</f>
        <v>70,4824</v>
      </c>
      <c r="L65" s="48"/>
    </row>
    <row r="66" spans="1:12">
      <c r="A66" s="53" t="s">
        <v>671</v>
      </c>
      <c r="B66" s="53" t="s">
        <v>672</v>
      </c>
      <c r="C66" s="53" t="s">
        <v>673</v>
      </c>
      <c r="D66" s="53" t="str">
        <f ca="1">"0,6492"</f>
        <v>0,6492</v>
      </c>
      <c r="E66" s="53" t="s">
        <v>49</v>
      </c>
      <c r="F66" s="53" t="s">
        <v>207</v>
      </c>
      <c r="G66" s="53" t="s">
        <v>140</v>
      </c>
      <c r="H66" s="53" t="s">
        <v>674</v>
      </c>
      <c r="I66" s="54"/>
      <c r="J66" s="59">
        <v>185</v>
      </c>
      <c r="K66" s="53" t="str">
        <f ca="1">"120,1112"</f>
        <v>120,1112</v>
      </c>
      <c r="L66" s="53"/>
    </row>
    <row r="67" spans="1:12">
      <c r="A67" s="53" t="s">
        <v>675</v>
      </c>
      <c r="B67" s="53" t="s">
        <v>676</v>
      </c>
      <c r="C67" s="53" t="s">
        <v>677</v>
      </c>
      <c r="D67" s="53" t="str">
        <f ca="1">"0,6508"</f>
        <v>0,6508</v>
      </c>
      <c r="E67" s="53" t="s">
        <v>240</v>
      </c>
      <c r="F67" s="53" t="s">
        <v>207</v>
      </c>
      <c r="G67" s="53" t="s">
        <v>233</v>
      </c>
      <c r="H67" s="54" t="s">
        <v>678</v>
      </c>
      <c r="I67" s="54"/>
      <c r="J67" s="59">
        <v>175</v>
      </c>
      <c r="K67" s="53" t="str">
        <f ca="1">"113,8900"</f>
        <v>113,8900</v>
      </c>
      <c r="L67" s="53"/>
    </row>
    <row r="68" spans="1:12">
      <c r="A68" s="53" t="s">
        <v>679</v>
      </c>
      <c r="B68" s="53" t="s">
        <v>680</v>
      </c>
      <c r="C68" s="53" t="s">
        <v>681</v>
      </c>
      <c r="D68" s="53" t="str">
        <f ca="1">"0,6561"</f>
        <v>0,6561</v>
      </c>
      <c r="E68" s="53" t="s">
        <v>49</v>
      </c>
      <c r="F68" s="53" t="s">
        <v>206</v>
      </c>
      <c r="G68" s="54" t="s">
        <v>207</v>
      </c>
      <c r="H68" s="54" t="s">
        <v>207</v>
      </c>
      <c r="I68" s="54"/>
      <c r="J68" s="59" t="s">
        <v>208</v>
      </c>
      <c r="K68" s="53" t="s">
        <v>682</v>
      </c>
      <c r="L68" s="53"/>
    </row>
    <row r="69" spans="1:12">
      <c r="A69" s="53" t="s">
        <v>683</v>
      </c>
      <c r="B69" s="53" t="s">
        <v>684</v>
      </c>
      <c r="C69" s="53" t="s">
        <v>685</v>
      </c>
      <c r="D69" s="53" t="str">
        <f ca="1">"0,6600"</f>
        <v>0,6600</v>
      </c>
      <c r="E69" s="53" t="s">
        <v>686</v>
      </c>
      <c r="F69" s="53" t="s">
        <v>202</v>
      </c>
      <c r="G69" s="54" t="s">
        <v>269</v>
      </c>
      <c r="H69" s="54" t="s">
        <v>269</v>
      </c>
      <c r="I69" s="54"/>
      <c r="J69" s="59" t="s">
        <v>160</v>
      </c>
      <c r="K69" s="53" t="s">
        <v>687</v>
      </c>
      <c r="L69" s="53"/>
    </row>
    <row r="70" spans="1:12">
      <c r="A70" s="53" t="s">
        <v>688</v>
      </c>
      <c r="B70" s="53" t="s">
        <v>689</v>
      </c>
      <c r="C70" s="53" t="s">
        <v>690</v>
      </c>
      <c r="D70" s="53" t="str">
        <f ca="1">"0,6755"</f>
        <v>0,6755</v>
      </c>
      <c r="E70" s="53" t="s">
        <v>49</v>
      </c>
      <c r="F70" s="53" t="s">
        <v>196</v>
      </c>
      <c r="G70" s="54" t="s">
        <v>123</v>
      </c>
      <c r="H70" s="54" t="s">
        <v>202</v>
      </c>
      <c r="I70" s="54"/>
      <c r="J70" s="59" t="s">
        <v>691</v>
      </c>
      <c r="K70" s="53" t="s">
        <v>692</v>
      </c>
      <c r="L70" s="53"/>
    </row>
    <row r="71" spans="1:12">
      <c r="A71" s="53" t="s">
        <v>693</v>
      </c>
      <c r="B71" s="53" t="s">
        <v>694</v>
      </c>
      <c r="C71" s="53" t="s">
        <v>673</v>
      </c>
      <c r="D71" s="53" t="str">
        <f ca="1">"0,6492"</f>
        <v>0,6492</v>
      </c>
      <c r="E71" s="53" t="s">
        <v>249</v>
      </c>
      <c r="F71" s="53" t="s">
        <v>28</v>
      </c>
      <c r="G71" s="53" t="s">
        <v>44</v>
      </c>
      <c r="H71" s="54" t="s">
        <v>252</v>
      </c>
      <c r="I71" s="54"/>
      <c r="J71" s="59">
        <v>210</v>
      </c>
      <c r="K71" s="53" t="str">
        <f ca="1">"136,3425"</f>
        <v>136,3425</v>
      </c>
      <c r="L71" s="53"/>
    </row>
    <row r="72" spans="1:12">
      <c r="A72" s="53" t="s">
        <v>695</v>
      </c>
      <c r="B72" s="53" t="s">
        <v>696</v>
      </c>
      <c r="C72" s="53" t="s">
        <v>276</v>
      </c>
      <c r="D72" s="53" t="str">
        <f ca="1">"0,6487"</f>
        <v>0,6487</v>
      </c>
      <c r="E72" s="53" t="s">
        <v>49</v>
      </c>
      <c r="F72" s="53" t="s">
        <v>697</v>
      </c>
      <c r="G72" s="53" t="s">
        <v>202</v>
      </c>
      <c r="H72" s="53" t="s">
        <v>528</v>
      </c>
      <c r="I72" s="54"/>
      <c r="J72" s="59">
        <v>147.5</v>
      </c>
      <c r="K72" s="53" t="str">
        <f ca="1">"95,6832"</f>
        <v>95,6832</v>
      </c>
      <c r="L72" s="53"/>
    </row>
    <row r="73" spans="1:12">
      <c r="A73" s="53" t="s">
        <v>698</v>
      </c>
      <c r="B73" s="53" t="s">
        <v>699</v>
      </c>
      <c r="C73" s="53" t="s">
        <v>681</v>
      </c>
      <c r="D73" s="53" t="str">
        <f ca="1">"0,7198"</f>
        <v>0,7198</v>
      </c>
      <c r="E73" s="53" t="s">
        <v>240</v>
      </c>
      <c r="F73" s="53" t="s">
        <v>624</v>
      </c>
      <c r="G73" s="53" t="s">
        <v>575</v>
      </c>
      <c r="H73" s="54" t="s">
        <v>245</v>
      </c>
      <c r="I73" s="54"/>
      <c r="J73" s="59">
        <v>70</v>
      </c>
      <c r="K73" s="53" t="str">
        <f ca="1">"50,3858"</f>
        <v>50,3858</v>
      </c>
      <c r="L73" s="53"/>
    </row>
    <row r="74" spans="1:12">
      <c r="A74" s="53" t="s">
        <v>700</v>
      </c>
      <c r="B74" s="53" t="s">
        <v>701</v>
      </c>
      <c r="C74" s="53" t="s">
        <v>702</v>
      </c>
      <c r="D74" s="53" t="str">
        <f ca="1">"0,9110"</f>
        <v>0,9110</v>
      </c>
      <c r="E74" s="53" t="s">
        <v>49</v>
      </c>
      <c r="F74" s="53" t="s">
        <v>202</v>
      </c>
      <c r="G74" s="53" t="s">
        <v>528</v>
      </c>
      <c r="H74" s="54" t="s">
        <v>529</v>
      </c>
      <c r="I74" s="54"/>
      <c r="J74" s="59">
        <v>147.5</v>
      </c>
      <c r="K74" s="53" t="str">
        <f ca="1">"134,3757"</f>
        <v>134,3757</v>
      </c>
      <c r="L74" s="53"/>
    </row>
    <row r="75" spans="1:12">
      <c r="A75" s="53" t="s">
        <v>284</v>
      </c>
      <c r="B75" s="53" t="s">
        <v>285</v>
      </c>
      <c r="C75" s="53" t="s">
        <v>286</v>
      </c>
      <c r="D75" s="53" t="str">
        <f ca="1">"0,9555"</f>
        <v>0,9555</v>
      </c>
      <c r="E75" s="53" t="s">
        <v>49</v>
      </c>
      <c r="F75" s="54" t="s">
        <v>196</v>
      </c>
      <c r="G75" s="53" t="s">
        <v>605</v>
      </c>
      <c r="H75" s="54" t="s">
        <v>123</v>
      </c>
      <c r="I75" s="54"/>
      <c r="J75" s="59">
        <v>120</v>
      </c>
      <c r="K75" s="53" t="str">
        <f ca="1">"114,6573"</f>
        <v>114,6573</v>
      </c>
      <c r="L75" s="53"/>
    </row>
    <row r="76" spans="1:12">
      <c r="A76" s="53" t="s">
        <v>703</v>
      </c>
      <c r="B76" s="53" t="s">
        <v>704</v>
      </c>
      <c r="C76" s="53" t="s">
        <v>705</v>
      </c>
      <c r="D76" s="53" t="str">
        <f ca="1">"0,9189"</f>
        <v>0,9189</v>
      </c>
      <c r="E76" s="53" t="s">
        <v>49</v>
      </c>
      <c r="F76" s="54" t="s">
        <v>202</v>
      </c>
      <c r="G76" s="54"/>
      <c r="H76" s="54"/>
      <c r="I76" s="54"/>
      <c r="J76" s="59">
        <v>0</v>
      </c>
      <c r="K76" s="53" t="str">
        <f ca="1">"0,0000"</f>
        <v>0,0000</v>
      </c>
      <c r="L76" s="53"/>
    </row>
    <row r="77" spans="1:12">
      <c r="A77" s="53" t="s">
        <v>706</v>
      </c>
      <c r="B77" s="53" t="s">
        <v>707</v>
      </c>
      <c r="C77" s="53" t="s">
        <v>708</v>
      </c>
      <c r="D77" s="53" t="str">
        <f ca="1">"1,0915"</f>
        <v>1,0915</v>
      </c>
      <c r="E77" s="53" t="s">
        <v>582</v>
      </c>
      <c r="F77" s="53" t="s">
        <v>244</v>
      </c>
      <c r="G77" s="54" t="s">
        <v>517</v>
      </c>
      <c r="H77" s="54" t="s">
        <v>245</v>
      </c>
      <c r="I77" s="54"/>
      <c r="J77" s="59" t="s">
        <v>170</v>
      </c>
      <c r="K77" s="53" t="s">
        <v>709</v>
      </c>
      <c r="L77" s="53"/>
    </row>
    <row r="78" spans="1:12">
      <c r="A78" s="53" t="s">
        <v>710</v>
      </c>
      <c r="B78" s="53" t="s">
        <v>711</v>
      </c>
      <c r="C78" s="53" t="s">
        <v>708</v>
      </c>
      <c r="D78" s="53" t="str">
        <f ca="1">"1,2175"</f>
        <v>1,2175</v>
      </c>
      <c r="E78" s="53" t="s">
        <v>582</v>
      </c>
      <c r="F78" s="53" t="s">
        <v>545</v>
      </c>
      <c r="G78" s="53" t="s">
        <v>519</v>
      </c>
      <c r="H78" s="53" t="s">
        <v>16</v>
      </c>
      <c r="I78" s="54"/>
      <c r="J78" s="59">
        <v>105</v>
      </c>
      <c r="K78" s="53" t="str">
        <f ca="1">"127,8399"</f>
        <v>127,8399</v>
      </c>
      <c r="L78" s="53"/>
    </row>
    <row r="79" spans="1:12">
      <c r="A79" s="53" t="s">
        <v>712</v>
      </c>
      <c r="B79" s="53" t="s">
        <v>713</v>
      </c>
      <c r="C79" s="53" t="s">
        <v>714</v>
      </c>
      <c r="D79" s="53" t="str">
        <f ca="1">"1,3507"</f>
        <v>1,3507</v>
      </c>
      <c r="E79" s="53" t="s">
        <v>49</v>
      </c>
      <c r="F79" s="53" t="s">
        <v>561</v>
      </c>
      <c r="G79" s="53" t="s">
        <v>562</v>
      </c>
      <c r="H79" s="53" t="s">
        <v>546</v>
      </c>
      <c r="I79" s="54"/>
      <c r="J79" s="59">
        <v>82.5</v>
      </c>
      <c r="K79" s="53" t="str">
        <f ca="1">"111,4301"</f>
        <v>111,4301</v>
      </c>
      <c r="L79" s="53"/>
    </row>
    <row r="80" spans="1:12">
      <c r="A80" s="53" t="s">
        <v>715</v>
      </c>
      <c r="B80" s="53" t="s">
        <v>716</v>
      </c>
      <c r="C80" s="53" t="s">
        <v>717</v>
      </c>
      <c r="D80" s="53" t="str">
        <f ca="1">"1,2684"</f>
        <v>1,2684</v>
      </c>
      <c r="E80" s="53" t="s">
        <v>49</v>
      </c>
      <c r="F80" s="53" t="s">
        <v>557</v>
      </c>
      <c r="G80" s="53" t="s">
        <v>718</v>
      </c>
      <c r="H80" s="53" t="s">
        <v>575</v>
      </c>
      <c r="I80" s="54"/>
      <c r="J80" s="59">
        <v>70</v>
      </c>
      <c r="K80" s="53" t="str">
        <f ca="1">"88,7855"</f>
        <v>88,7855</v>
      </c>
      <c r="L80" s="53"/>
    </row>
    <row r="81" spans="1:12">
      <c r="A81" s="50" t="s">
        <v>12</v>
      </c>
      <c r="B81" s="50" t="s">
        <v>13</v>
      </c>
      <c r="C81" s="50" t="s">
        <v>719</v>
      </c>
      <c r="D81" s="50" t="str">
        <f ca="1">"1,4101"</f>
        <v>1,4101</v>
      </c>
      <c r="E81" s="50" t="s">
        <v>15</v>
      </c>
      <c r="F81" s="50" t="s">
        <v>99</v>
      </c>
      <c r="G81" s="50" t="s">
        <v>244</v>
      </c>
      <c r="H81" s="50" t="s">
        <v>524</v>
      </c>
      <c r="I81" s="51"/>
      <c r="J81" s="58">
        <v>92.5</v>
      </c>
      <c r="K81" s="50" t="str">
        <f ca="1">"130,4336"</f>
        <v>130,4336</v>
      </c>
      <c r="L81" s="50"/>
    </row>
    <row r="83" ht="15.6" spans="1:11">
      <c r="A83" s="47" t="s">
        <v>35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1:12">
      <c r="A84" s="48" t="s">
        <v>720</v>
      </c>
      <c r="B84" s="48" t="s">
        <v>721</v>
      </c>
      <c r="C84" s="48" t="s">
        <v>48</v>
      </c>
      <c r="D84" s="48" t="str">
        <f ca="1">"0,6122"</f>
        <v>0,6122</v>
      </c>
      <c r="E84" s="48" t="s">
        <v>49</v>
      </c>
      <c r="F84" s="48" t="s">
        <v>268</v>
      </c>
      <c r="G84" s="49" t="s">
        <v>201</v>
      </c>
      <c r="H84" s="48" t="s">
        <v>201</v>
      </c>
      <c r="I84" s="49"/>
      <c r="J84" s="57">
        <v>135</v>
      </c>
      <c r="K84" s="48" t="str">
        <f ca="1">"82,6537"</f>
        <v>82,6537</v>
      </c>
      <c r="L84" s="48"/>
    </row>
    <row r="85" spans="1:12">
      <c r="A85" s="53" t="s">
        <v>722</v>
      </c>
      <c r="B85" s="53" t="s">
        <v>723</v>
      </c>
      <c r="C85" s="53" t="s">
        <v>294</v>
      </c>
      <c r="D85" s="53" t="str">
        <f ca="1">"0,6230"</f>
        <v>0,6230</v>
      </c>
      <c r="E85" s="53" t="s">
        <v>49</v>
      </c>
      <c r="F85" s="54" t="s">
        <v>44</v>
      </c>
      <c r="G85" s="53" t="s">
        <v>44</v>
      </c>
      <c r="H85" s="54" t="s">
        <v>252</v>
      </c>
      <c r="I85" s="54"/>
      <c r="J85" s="59">
        <v>210</v>
      </c>
      <c r="K85" s="53" t="str">
        <f ca="1">"130,8300"</f>
        <v>130,8300</v>
      </c>
      <c r="L85" s="53"/>
    </row>
    <row r="86" spans="1:12">
      <c r="A86" s="53" t="s">
        <v>724</v>
      </c>
      <c r="B86" s="53" t="s">
        <v>725</v>
      </c>
      <c r="C86" s="53" t="s">
        <v>726</v>
      </c>
      <c r="D86" s="53" t="str">
        <f ca="1">"0,6192"</f>
        <v>0,6192</v>
      </c>
      <c r="E86" s="53" t="s">
        <v>39</v>
      </c>
      <c r="F86" s="53" t="s">
        <v>44</v>
      </c>
      <c r="G86" s="54" t="s">
        <v>252</v>
      </c>
      <c r="H86" s="54" t="s">
        <v>252</v>
      </c>
      <c r="I86" s="54"/>
      <c r="J86" s="59" t="s">
        <v>727</v>
      </c>
      <c r="K86" s="53" t="s">
        <v>728</v>
      </c>
      <c r="L86" s="53"/>
    </row>
    <row r="87" spans="1:12">
      <c r="A87" s="53" t="s">
        <v>729</v>
      </c>
      <c r="B87" s="53" t="s">
        <v>730</v>
      </c>
      <c r="C87" s="53" t="s">
        <v>731</v>
      </c>
      <c r="D87" s="53" t="str">
        <f ca="1">"0,6181"</f>
        <v>0,6181</v>
      </c>
      <c r="E87" s="53" t="s">
        <v>49</v>
      </c>
      <c r="F87" s="53" t="s">
        <v>732</v>
      </c>
      <c r="G87" s="54" t="s">
        <v>733</v>
      </c>
      <c r="H87" s="53" t="s">
        <v>733</v>
      </c>
      <c r="I87" s="54"/>
      <c r="J87" s="59">
        <v>197.5</v>
      </c>
      <c r="K87" s="53" t="str">
        <f ca="1">"122,0747"</f>
        <v>122,0747</v>
      </c>
      <c r="L87" s="53"/>
    </row>
    <row r="88" spans="1:12">
      <c r="A88" s="53" t="s">
        <v>734</v>
      </c>
      <c r="B88" s="53" t="s">
        <v>735</v>
      </c>
      <c r="C88" s="53" t="s">
        <v>527</v>
      </c>
      <c r="D88" s="53" t="str">
        <f ca="1">"0,6331"</f>
        <v>0,6331</v>
      </c>
      <c r="E88" s="53" t="s">
        <v>49</v>
      </c>
      <c r="F88" s="53" t="s">
        <v>140</v>
      </c>
      <c r="G88" s="53" t="s">
        <v>141</v>
      </c>
      <c r="H88" s="54" t="s">
        <v>28</v>
      </c>
      <c r="I88" s="54"/>
      <c r="J88" s="59">
        <v>190</v>
      </c>
      <c r="K88" s="53" t="str">
        <f ca="1">"120,2890"</f>
        <v>120,2890</v>
      </c>
      <c r="L88" s="53"/>
    </row>
    <row r="89" spans="1:12">
      <c r="A89" s="53" t="s">
        <v>736</v>
      </c>
      <c r="B89" s="53" t="s">
        <v>737</v>
      </c>
      <c r="C89" s="53" t="s">
        <v>738</v>
      </c>
      <c r="D89" s="53" t="str">
        <f ca="1">"0,6269"</f>
        <v>0,6269</v>
      </c>
      <c r="E89" s="53" t="s">
        <v>49</v>
      </c>
      <c r="F89" s="53" t="s">
        <v>140</v>
      </c>
      <c r="G89" s="53" t="s">
        <v>141</v>
      </c>
      <c r="H89" s="54" t="s">
        <v>732</v>
      </c>
      <c r="I89" s="54"/>
      <c r="J89" s="59">
        <v>190</v>
      </c>
      <c r="K89" s="53" t="str">
        <f ca="1">"119,1015"</f>
        <v>119,1015</v>
      </c>
      <c r="L89" s="53"/>
    </row>
    <row r="90" spans="1:12">
      <c r="A90" s="53" t="s">
        <v>739</v>
      </c>
      <c r="B90" s="53" t="s">
        <v>740</v>
      </c>
      <c r="C90" s="53" t="s">
        <v>741</v>
      </c>
      <c r="D90" s="53" t="str">
        <f ca="1">"0,6286"</f>
        <v>0,6286</v>
      </c>
      <c r="E90" s="53" t="s">
        <v>49</v>
      </c>
      <c r="F90" s="54" t="s">
        <v>140</v>
      </c>
      <c r="G90" s="53" t="s">
        <v>27</v>
      </c>
      <c r="H90" s="54" t="s">
        <v>141</v>
      </c>
      <c r="I90" s="54"/>
      <c r="J90" s="59">
        <v>185</v>
      </c>
      <c r="K90" s="53" t="str">
        <f ca="1">"116,2910"</f>
        <v>116,2910</v>
      </c>
      <c r="L90" s="53"/>
    </row>
    <row r="91" spans="1:12">
      <c r="A91" s="53" t="s">
        <v>742</v>
      </c>
      <c r="B91" s="53" t="s">
        <v>743</v>
      </c>
      <c r="C91" s="53" t="s">
        <v>744</v>
      </c>
      <c r="D91" s="53" t="str">
        <f ca="1">"0,6177"</f>
        <v>0,6177</v>
      </c>
      <c r="E91" s="53" t="s">
        <v>39</v>
      </c>
      <c r="F91" s="53" t="s">
        <v>27</v>
      </c>
      <c r="G91" s="54" t="s">
        <v>732</v>
      </c>
      <c r="H91" s="54" t="s">
        <v>732</v>
      </c>
      <c r="I91" s="54"/>
      <c r="J91" s="59">
        <v>185</v>
      </c>
      <c r="K91" s="53" t="str">
        <f ca="1">"114,2745"</f>
        <v>114,2745</v>
      </c>
      <c r="L91" s="53"/>
    </row>
    <row r="92" spans="1:12">
      <c r="A92" s="53" t="s">
        <v>745</v>
      </c>
      <c r="B92" s="53" t="s">
        <v>746</v>
      </c>
      <c r="C92" s="53" t="s">
        <v>747</v>
      </c>
      <c r="D92" s="53" t="str">
        <f ca="1">"0,6184"</f>
        <v>0,6184</v>
      </c>
      <c r="E92" s="53" t="s">
        <v>240</v>
      </c>
      <c r="F92" s="53" t="s">
        <v>207</v>
      </c>
      <c r="G92" s="54" t="s">
        <v>140</v>
      </c>
      <c r="H92" s="54" t="s">
        <v>647</v>
      </c>
      <c r="I92" s="54"/>
      <c r="J92" s="59">
        <v>170</v>
      </c>
      <c r="K92" s="53" t="str">
        <f ca="1">"105,1365"</f>
        <v>105,1365</v>
      </c>
      <c r="L92" s="53"/>
    </row>
    <row r="93" spans="1:12">
      <c r="A93" s="53" t="s">
        <v>748</v>
      </c>
      <c r="B93" s="53" t="s">
        <v>749</v>
      </c>
      <c r="C93" s="53" t="s">
        <v>532</v>
      </c>
      <c r="D93" s="53" t="str">
        <f ca="1">"0,6133"</f>
        <v>0,6133</v>
      </c>
      <c r="E93" s="53" t="s">
        <v>98</v>
      </c>
      <c r="F93" s="54"/>
      <c r="G93" s="54"/>
      <c r="H93" s="54"/>
      <c r="I93" s="54"/>
      <c r="J93" s="59">
        <v>0</v>
      </c>
      <c r="K93" s="53" t="str">
        <f ca="1">"0,0000"</f>
        <v>0,0000</v>
      </c>
      <c r="L93" s="53"/>
    </row>
    <row r="94" spans="1:12">
      <c r="A94" s="53" t="s">
        <v>736</v>
      </c>
      <c r="B94" s="53" t="s">
        <v>750</v>
      </c>
      <c r="C94" s="53" t="s">
        <v>738</v>
      </c>
      <c r="D94" s="53" t="str">
        <f ca="1">"0,6463"</f>
        <v>0,6463</v>
      </c>
      <c r="E94" s="53" t="s">
        <v>49</v>
      </c>
      <c r="F94" s="53" t="s">
        <v>140</v>
      </c>
      <c r="G94" s="53" t="s">
        <v>141</v>
      </c>
      <c r="H94" s="54" t="s">
        <v>732</v>
      </c>
      <c r="I94" s="54"/>
      <c r="J94" s="59">
        <v>190</v>
      </c>
      <c r="K94" s="53" t="str">
        <f ca="1">"122,7937"</f>
        <v>122,7937</v>
      </c>
      <c r="L94" s="53"/>
    </row>
    <row r="95" spans="1:12">
      <c r="A95" s="53" t="s">
        <v>751</v>
      </c>
      <c r="B95" s="53" t="s">
        <v>752</v>
      </c>
      <c r="C95" s="53" t="s">
        <v>753</v>
      </c>
      <c r="D95" s="53" t="str">
        <f ca="1">"0,6420"</f>
        <v>0,6420</v>
      </c>
      <c r="E95" s="53" t="s">
        <v>49</v>
      </c>
      <c r="F95" s="53" t="s">
        <v>28</v>
      </c>
      <c r="G95" s="54" t="s">
        <v>44</v>
      </c>
      <c r="H95" s="54" t="s">
        <v>44</v>
      </c>
      <c r="I95" s="54"/>
      <c r="J95" s="59" t="s">
        <v>754</v>
      </c>
      <c r="K95" s="53" t="s">
        <v>755</v>
      </c>
      <c r="L95" s="53"/>
    </row>
    <row r="96" spans="1:12">
      <c r="A96" s="53" t="s">
        <v>748</v>
      </c>
      <c r="B96" s="53" t="s">
        <v>756</v>
      </c>
      <c r="C96" s="53" t="s">
        <v>532</v>
      </c>
      <c r="D96" s="53" t="str">
        <f ca="1">"0,6636"</f>
        <v>0,6636</v>
      </c>
      <c r="E96" s="53" t="s">
        <v>98</v>
      </c>
      <c r="F96" s="53" t="s">
        <v>252</v>
      </c>
      <c r="G96" s="53" t="s">
        <v>124</v>
      </c>
      <c r="H96" s="53" t="s">
        <v>757</v>
      </c>
      <c r="I96" s="53" t="s">
        <v>758</v>
      </c>
      <c r="J96" s="59">
        <v>232.5</v>
      </c>
      <c r="K96" s="53" t="str">
        <f ca="1">"154,2974"</f>
        <v>154,2974</v>
      </c>
      <c r="L96" s="53"/>
    </row>
    <row r="97" spans="1:12">
      <c r="A97" s="53" t="s">
        <v>759</v>
      </c>
      <c r="B97" s="53" t="s">
        <v>760</v>
      </c>
      <c r="C97" s="53" t="s">
        <v>761</v>
      </c>
      <c r="D97" s="53" t="str">
        <f ca="1">"0,6649"</f>
        <v>0,6649</v>
      </c>
      <c r="E97" s="53" t="s">
        <v>49</v>
      </c>
      <c r="F97" s="53" t="s">
        <v>140</v>
      </c>
      <c r="G97" s="53" t="s">
        <v>141</v>
      </c>
      <c r="H97" s="53" t="s">
        <v>647</v>
      </c>
      <c r="I97" s="54"/>
      <c r="J97" s="59">
        <v>192.5</v>
      </c>
      <c r="K97" s="53" t="str">
        <f ca="1">"128,0003"</f>
        <v>128,0003</v>
      </c>
      <c r="L97" s="53"/>
    </row>
    <row r="98" spans="1:12">
      <c r="A98" s="53" t="s">
        <v>525</v>
      </c>
      <c r="B98" s="53" t="s">
        <v>762</v>
      </c>
      <c r="C98" s="53" t="s">
        <v>527</v>
      </c>
      <c r="D98" s="53" t="str">
        <f ca="1">"0,7262"</f>
        <v>0,7262</v>
      </c>
      <c r="E98" s="53" t="s">
        <v>516</v>
      </c>
      <c r="F98" s="53" t="s">
        <v>202</v>
      </c>
      <c r="G98" s="53" t="s">
        <v>528</v>
      </c>
      <c r="H98" s="54" t="s">
        <v>529</v>
      </c>
      <c r="I98" s="54"/>
      <c r="J98" s="59">
        <v>147.5</v>
      </c>
      <c r="K98" s="53" t="str">
        <f ca="1">"107,1094"</f>
        <v>107,1094</v>
      </c>
      <c r="L98" s="53"/>
    </row>
    <row r="99" spans="1:12">
      <c r="A99" s="53" t="s">
        <v>763</v>
      </c>
      <c r="B99" s="53" t="s">
        <v>764</v>
      </c>
      <c r="C99" s="53" t="s">
        <v>765</v>
      </c>
      <c r="D99" s="53" t="str">
        <f ca="1">"0,7447"</f>
        <v>0,7447</v>
      </c>
      <c r="E99" s="53" t="s">
        <v>49</v>
      </c>
      <c r="F99" s="53" t="s">
        <v>268</v>
      </c>
      <c r="G99" s="54" t="s">
        <v>201</v>
      </c>
      <c r="H99" s="54" t="s">
        <v>201</v>
      </c>
      <c r="I99" s="54"/>
      <c r="J99" s="59" t="s">
        <v>374</v>
      </c>
      <c r="K99" s="53" t="s">
        <v>766</v>
      </c>
      <c r="L99" s="53"/>
    </row>
    <row r="100" spans="1:12">
      <c r="A100" s="53" t="s">
        <v>46</v>
      </c>
      <c r="B100" s="53" t="s">
        <v>47</v>
      </c>
      <c r="C100" s="53" t="s">
        <v>48</v>
      </c>
      <c r="D100" s="53" t="str">
        <f ca="1">"0,7763"</f>
        <v>0,7763</v>
      </c>
      <c r="E100" s="53" t="s">
        <v>49</v>
      </c>
      <c r="F100" s="53" t="s">
        <v>207</v>
      </c>
      <c r="G100" s="53" t="s">
        <v>233</v>
      </c>
      <c r="H100" s="53" t="s">
        <v>140</v>
      </c>
      <c r="I100" s="54"/>
      <c r="J100" s="59">
        <v>180</v>
      </c>
      <c r="K100" s="53" t="str">
        <f ca="1">"139,7399"</f>
        <v>139,7399</v>
      </c>
      <c r="L100" s="53"/>
    </row>
    <row r="101" spans="1:12">
      <c r="A101" s="53" t="s">
        <v>767</v>
      </c>
      <c r="B101" s="53" t="s">
        <v>768</v>
      </c>
      <c r="C101" s="53" t="s">
        <v>769</v>
      </c>
      <c r="D101" s="53" t="str">
        <f ca="1">"0,7652"</f>
        <v>0,7652</v>
      </c>
      <c r="E101" s="53" t="s">
        <v>49</v>
      </c>
      <c r="F101" s="53" t="s">
        <v>770</v>
      </c>
      <c r="G101" s="53" t="s">
        <v>207</v>
      </c>
      <c r="H101" s="53" t="s">
        <v>233</v>
      </c>
      <c r="I101" s="54"/>
      <c r="J101" s="59">
        <v>175</v>
      </c>
      <c r="K101" s="53" t="str">
        <f ca="1">"133,9093"</f>
        <v>133,9093</v>
      </c>
      <c r="L101" s="53"/>
    </row>
    <row r="102" spans="1:12">
      <c r="A102" s="50" t="s">
        <v>303</v>
      </c>
      <c r="B102" s="50" t="s">
        <v>304</v>
      </c>
      <c r="C102" s="50" t="s">
        <v>305</v>
      </c>
      <c r="D102" s="50" t="str">
        <f ca="1">"1,0658"</f>
        <v>1,0658</v>
      </c>
      <c r="E102" s="50" t="s">
        <v>49</v>
      </c>
      <c r="F102" s="50" t="s">
        <v>245</v>
      </c>
      <c r="G102" s="50" t="s">
        <v>663</v>
      </c>
      <c r="H102" s="51" t="s">
        <v>591</v>
      </c>
      <c r="I102" s="51"/>
      <c r="J102" s="58">
        <v>107.5</v>
      </c>
      <c r="K102" s="50" t="str">
        <f ca="1">"114,5686"</f>
        <v>114,5686</v>
      </c>
      <c r="L102" s="50"/>
    </row>
    <row r="104" ht="15.6" spans="1:11">
      <c r="A104" s="47" t="s">
        <v>53</v>
      </c>
      <c r="B104" s="47"/>
      <c r="C104" s="47"/>
      <c r="D104" s="47"/>
      <c r="E104" s="47"/>
      <c r="F104" s="47"/>
      <c r="G104" s="47"/>
      <c r="H104" s="47"/>
      <c r="I104" s="47"/>
      <c r="J104" s="47"/>
      <c r="K104" s="47"/>
    </row>
    <row r="105" spans="1:12">
      <c r="A105" s="48" t="s">
        <v>771</v>
      </c>
      <c r="B105" s="48" t="s">
        <v>772</v>
      </c>
      <c r="C105" s="48" t="s">
        <v>773</v>
      </c>
      <c r="D105" s="48" t="str">
        <f ca="1">"0,6071"</f>
        <v>0,6071</v>
      </c>
      <c r="E105" s="48" t="s">
        <v>256</v>
      </c>
      <c r="F105" s="49" t="s">
        <v>147</v>
      </c>
      <c r="G105" s="49" t="s">
        <v>147</v>
      </c>
      <c r="H105" s="49" t="s">
        <v>207</v>
      </c>
      <c r="I105" s="49"/>
      <c r="J105" s="57">
        <v>0</v>
      </c>
      <c r="K105" s="48" t="str">
        <f ca="1">"0,0000"</f>
        <v>0,0000</v>
      </c>
      <c r="L105" s="48"/>
    </row>
    <row r="106" spans="1:12">
      <c r="A106" s="53" t="s">
        <v>774</v>
      </c>
      <c r="B106" s="53" t="s">
        <v>775</v>
      </c>
      <c r="C106" s="53" t="s">
        <v>776</v>
      </c>
      <c r="D106" s="53" t="str">
        <f ca="1">"0,5894"</f>
        <v>0,5894</v>
      </c>
      <c r="E106" s="53" t="s">
        <v>32</v>
      </c>
      <c r="F106" s="53" t="s">
        <v>27</v>
      </c>
      <c r="G106" s="53" t="s">
        <v>141</v>
      </c>
      <c r="H106" s="54" t="s">
        <v>732</v>
      </c>
      <c r="I106" s="54"/>
      <c r="J106" s="59">
        <v>190</v>
      </c>
      <c r="K106" s="53" t="str">
        <f ca="1">"111,9860"</f>
        <v>111,9860</v>
      </c>
      <c r="L106" s="53"/>
    </row>
    <row r="107" spans="1:12">
      <c r="A107" s="53" t="s">
        <v>777</v>
      </c>
      <c r="B107" s="53" t="s">
        <v>778</v>
      </c>
      <c r="C107" s="53" t="s">
        <v>779</v>
      </c>
      <c r="D107" s="53" t="str">
        <f ca="1">"0,5823"</f>
        <v>0,5823</v>
      </c>
      <c r="E107" s="53" t="s">
        <v>49</v>
      </c>
      <c r="F107" s="53" t="s">
        <v>44</v>
      </c>
      <c r="G107" s="54" t="s">
        <v>780</v>
      </c>
      <c r="H107" s="53" t="s">
        <v>780</v>
      </c>
      <c r="I107" s="54"/>
      <c r="J107" s="59">
        <v>222.5</v>
      </c>
      <c r="K107" s="53" t="str">
        <f ca="1">"129,5618"</f>
        <v>129,5618</v>
      </c>
      <c r="L107" s="53"/>
    </row>
    <row r="108" spans="1:12">
      <c r="A108" s="53" t="s">
        <v>781</v>
      </c>
      <c r="B108" s="53" t="s">
        <v>782</v>
      </c>
      <c r="C108" s="53" t="s">
        <v>56</v>
      </c>
      <c r="D108" s="53" t="str">
        <f ca="1">"0,5828"</f>
        <v>0,5828</v>
      </c>
      <c r="E108" s="53" t="s">
        <v>49</v>
      </c>
      <c r="F108" s="53" t="s">
        <v>647</v>
      </c>
      <c r="G108" s="54" t="s">
        <v>28</v>
      </c>
      <c r="H108" s="53" t="s">
        <v>28</v>
      </c>
      <c r="I108" s="54"/>
      <c r="J108" s="59">
        <v>200</v>
      </c>
      <c r="K108" s="53" t="str">
        <f ca="1">"116,5600"</f>
        <v>116,5600</v>
      </c>
      <c r="L108" s="53"/>
    </row>
    <row r="109" spans="1:12">
      <c r="A109" s="53" t="s">
        <v>783</v>
      </c>
      <c r="B109" s="53" t="s">
        <v>784</v>
      </c>
      <c r="C109" s="53" t="s">
        <v>785</v>
      </c>
      <c r="D109" s="53" t="str">
        <f ca="1">"0,5870"</f>
        <v>0,5870</v>
      </c>
      <c r="E109" s="53" t="s">
        <v>39</v>
      </c>
      <c r="F109" s="53" t="s">
        <v>647</v>
      </c>
      <c r="G109" s="54" t="s">
        <v>28</v>
      </c>
      <c r="H109" s="54" t="s">
        <v>28</v>
      </c>
      <c r="I109" s="54"/>
      <c r="J109" s="59">
        <v>192.5</v>
      </c>
      <c r="K109" s="53" t="str">
        <f ca="1">"112,9879"</f>
        <v>112,9879</v>
      </c>
      <c r="L109" s="53"/>
    </row>
    <row r="110" spans="1:12">
      <c r="A110" s="53" t="s">
        <v>781</v>
      </c>
      <c r="B110" s="53" t="s">
        <v>786</v>
      </c>
      <c r="C110" s="53" t="s">
        <v>56</v>
      </c>
      <c r="D110" s="53" t="str">
        <f ca="1">"0,6009"</f>
        <v>0,6009</v>
      </c>
      <c r="E110" s="53" t="s">
        <v>49</v>
      </c>
      <c r="F110" s="53" t="s">
        <v>647</v>
      </c>
      <c r="G110" s="54" t="s">
        <v>28</v>
      </c>
      <c r="H110" s="53" t="s">
        <v>28</v>
      </c>
      <c r="I110" s="54"/>
      <c r="J110" s="59">
        <v>200</v>
      </c>
      <c r="K110" s="53" t="str">
        <f ca="1">"120,1734"</f>
        <v>120,1734</v>
      </c>
      <c r="L110" s="53"/>
    </row>
    <row r="111" spans="1:12">
      <c r="A111" s="53" t="s">
        <v>787</v>
      </c>
      <c r="B111" s="53" t="s">
        <v>788</v>
      </c>
      <c r="C111" s="53" t="s">
        <v>789</v>
      </c>
      <c r="D111" s="53" t="str">
        <f ca="1">"0,5936"</f>
        <v>0,5936</v>
      </c>
      <c r="E111" s="53" t="s">
        <v>49</v>
      </c>
      <c r="F111" s="53" t="s">
        <v>147</v>
      </c>
      <c r="G111" s="53" t="s">
        <v>206</v>
      </c>
      <c r="H111" s="53" t="s">
        <v>207</v>
      </c>
      <c r="I111" s="54"/>
      <c r="J111" s="59">
        <v>170</v>
      </c>
      <c r="K111" s="53" t="str">
        <f ca="1">"100,9167"</f>
        <v>100,9167</v>
      </c>
      <c r="L111" s="53"/>
    </row>
    <row r="112" spans="1:12">
      <c r="A112" s="53" t="s">
        <v>790</v>
      </c>
      <c r="B112" s="53" t="s">
        <v>791</v>
      </c>
      <c r="C112" s="53" t="s">
        <v>792</v>
      </c>
      <c r="D112" s="53" t="str">
        <f ca="1">"0,6670"</f>
        <v>0,6670</v>
      </c>
      <c r="E112" s="53" t="s">
        <v>516</v>
      </c>
      <c r="F112" s="53" t="s">
        <v>207</v>
      </c>
      <c r="G112" s="53" t="s">
        <v>140</v>
      </c>
      <c r="H112" s="54" t="s">
        <v>793</v>
      </c>
      <c r="I112" s="54"/>
      <c r="J112" s="59">
        <v>180</v>
      </c>
      <c r="K112" s="53" t="str">
        <f ca="1">"120,0668"</f>
        <v>120,0668</v>
      </c>
      <c r="L112" s="53"/>
    </row>
    <row r="113" spans="1:12">
      <c r="A113" s="53" t="s">
        <v>794</v>
      </c>
      <c r="B113" s="53" t="s">
        <v>795</v>
      </c>
      <c r="C113" s="53" t="s">
        <v>796</v>
      </c>
      <c r="D113" s="53" t="str">
        <f ca="1">"0,6975"</f>
        <v>0,6975</v>
      </c>
      <c r="E113" s="53" t="s">
        <v>256</v>
      </c>
      <c r="F113" s="54" t="s">
        <v>147</v>
      </c>
      <c r="G113" s="53" t="s">
        <v>147</v>
      </c>
      <c r="H113" s="54" t="s">
        <v>206</v>
      </c>
      <c r="I113" s="54"/>
      <c r="J113" s="59">
        <v>160</v>
      </c>
      <c r="K113" s="53" t="str">
        <f ca="1">"111,5991"</f>
        <v>111,5991</v>
      </c>
      <c r="L113" s="53"/>
    </row>
    <row r="114" spans="1:12">
      <c r="A114" s="53" t="s">
        <v>797</v>
      </c>
      <c r="B114" s="53" t="s">
        <v>798</v>
      </c>
      <c r="C114" s="53" t="s">
        <v>799</v>
      </c>
      <c r="D114" s="53" t="str">
        <f ca="1">"0,6837"</f>
        <v>0,6837</v>
      </c>
      <c r="E114" s="53" t="s">
        <v>49</v>
      </c>
      <c r="F114" s="54" t="s">
        <v>123</v>
      </c>
      <c r="G114" s="54" t="s">
        <v>201</v>
      </c>
      <c r="H114" s="53" t="s">
        <v>269</v>
      </c>
      <c r="I114" s="54"/>
      <c r="J114" s="59">
        <v>145</v>
      </c>
      <c r="K114" s="53" t="str">
        <f ca="1">"99,1293"</f>
        <v>99,1293</v>
      </c>
      <c r="L114" s="53"/>
    </row>
    <row r="115" spans="1:12">
      <c r="A115" s="53" t="s">
        <v>800</v>
      </c>
      <c r="B115" s="53" t="s">
        <v>801</v>
      </c>
      <c r="C115" s="53" t="s">
        <v>341</v>
      </c>
      <c r="D115" s="53" t="str">
        <f ca="1">"0,7638"</f>
        <v>0,7638</v>
      </c>
      <c r="E115" s="53" t="s">
        <v>49</v>
      </c>
      <c r="F115" s="53" t="s">
        <v>28</v>
      </c>
      <c r="G115" s="53" t="s">
        <v>44</v>
      </c>
      <c r="H115" s="54" t="s">
        <v>342</v>
      </c>
      <c r="I115" s="54"/>
      <c r="J115" s="59">
        <v>210</v>
      </c>
      <c r="K115" s="53" t="str">
        <f ca="1">"160,4022"</f>
        <v>160,4022</v>
      </c>
      <c r="L115" s="53"/>
    </row>
    <row r="116" spans="1:12">
      <c r="A116" s="53" t="s">
        <v>802</v>
      </c>
      <c r="B116" s="53" t="s">
        <v>803</v>
      </c>
      <c r="C116" s="53" t="s">
        <v>804</v>
      </c>
      <c r="D116" s="53" t="str">
        <f ca="1">"0,7620"</f>
        <v>0,7620</v>
      </c>
      <c r="E116" s="53" t="s">
        <v>662</v>
      </c>
      <c r="F116" s="53" t="s">
        <v>201</v>
      </c>
      <c r="G116" s="53" t="s">
        <v>805</v>
      </c>
      <c r="H116" s="54" t="s">
        <v>269</v>
      </c>
      <c r="I116" s="54"/>
      <c r="J116" s="59">
        <v>142.5</v>
      </c>
      <c r="K116" s="53" t="str">
        <f ca="1">"108,5857"</f>
        <v>108,5857</v>
      </c>
      <c r="L116" s="53"/>
    </row>
    <row r="117" spans="1:12">
      <c r="A117" s="50" t="s">
        <v>806</v>
      </c>
      <c r="B117" s="50" t="s">
        <v>807</v>
      </c>
      <c r="C117" s="50" t="s">
        <v>808</v>
      </c>
      <c r="D117" s="50" t="str">
        <f ca="1">"0,7509"</f>
        <v>0,7509</v>
      </c>
      <c r="E117" s="50" t="s">
        <v>49</v>
      </c>
      <c r="F117" s="50" t="s">
        <v>245</v>
      </c>
      <c r="G117" s="50" t="s">
        <v>591</v>
      </c>
      <c r="H117" s="51"/>
      <c r="I117" s="51"/>
      <c r="J117" s="58">
        <v>112.5</v>
      </c>
      <c r="K117" s="50" t="str">
        <f ca="1">"84,4765"</f>
        <v>84,4765</v>
      </c>
      <c r="L117" s="50"/>
    </row>
    <row r="119" ht="15.6" spans="1:11">
      <c r="A119" s="47" t="s">
        <v>57</v>
      </c>
      <c r="B119" s="47"/>
      <c r="C119" s="47"/>
      <c r="D119" s="47"/>
      <c r="E119" s="47"/>
      <c r="F119" s="47"/>
      <c r="G119" s="47"/>
      <c r="H119" s="47"/>
      <c r="I119" s="47"/>
      <c r="J119" s="47"/>
      <c r="K119" s="47"/>
    </row>
    <row r="120" spans="1:12">
      <c r="A120" s="53" t="s">
        <v>809</v>
      </c>
      <c r="B120" s="53" t="s">
        <v>810</v>
      </c>
      <c r="C120" s="53" t="s">
        <v>811</v>
      </c>
      <c r="D120" s="53" t="str">
        <f ca="1">"0,5799"</f>
        <v>0,5799</v>
      </c>
      <c r="E120" s="53" t="s">
        <v>240</v>
      </c>
      <c r="F120" s="53" t="s">
        <v>233</v>
      </c>
      <c r="G120" s="54" t="s">
        <v>140</v>
      </c>
      <c r="H120" s="54"/>
      <c r="I120" s="54"/>
      <c r="J120" s="59" t="s">
        <v>812</v>
      </c>
      <c r="K120" s="53" t="s">
        <v>813</v>
      </c>
      <c r="L120" s="53"/>
    </row>
    <row r="121" spans="1:12">
      <c r="A121" s="48" t="s">
        <v>814</v>
      </c>
      <c r="B121" s="48" t="s">
        <v>815</v>
      </c>
      <c r="C121" s="48" t="s">
        <v>816</v>
      </c>
      <c r="D121" s="48" t="str">
        <f ca="1">"0,5767"</f>
        <v>0,5767</v>
      </c>
      <c r="E121" s="48" t="s">
        <v>817</v>
      </c>
      <c r="F121" s="48" t="s">
        <v>147</v>
      </c>
      <c r="G121" s="48" t="s">
        <v>233</v>
      </c>
      <c r="H121" s="49" t="s">
        <v>140</v>
      </c>
      <c r="I121" s="49"/>
      <c r="J121" s="57">
        <v>175</v>
      </c>
      <c r="K121" s="48" t="str">
        <f ca="1">"100,9225"</f>
        <v>100,9225</v>
      </c>
      <c r="L121" s="48"/>
    </row>
    <row r="122" spans="1:12">
      <c r="A122" s="53" t="s">
        <v>818</v>
      </c>
      <c r="B122" s="53" t="s">
        <v>819</v>
      </c>
      <c r="C122" s="53" t="s">
        <v>820</v>
      </c>
      <c r="D122" s="53" t="str">
        <f ca="1">"0,5701"</f>
        <v>0,5701</v>
      </c>
      <c r="E122" s="53" t="s">
        <v>49</v>
      </c>
      <c r="F122" s="53" t="s">
        <v>44</v>
      </c>
      <c r="G122" s="53" t="s">
        <v>264</v>
      </c>
      <c r="H122" s="53" t="s">
        <v>135</v>
      </c>
      <c r="I122" s="54"/>
      <c r="J122" s="59">
        <v>232.5</v>
      </c>
      <c r="K122" s="53" t="str">
        <f ca="1">"132,5483"</f>
        <v>132,5483</v>
      </c>
      <c r="L122" s="53"/>
    </row>
    <row r="123" spans="1:12">
      <c r="A123" s="53" t="s">
        <v>821</v>
      </c>
      <c r="B123" s="53" t="s">
        <v>822</v>
      </c>
      <c r="C123" s="53" t="s">
        <v>823</v>
      </c>
      <c r="D123" s="53" t="str">
        <f ca="1">"0,5645"</f>
        <v>0,5645</v>
      </c>
      <c r="E123" s="53" t="s">
        <v>582</v>
      </c>
      <c r="F123" s="53" t="s">
        <v>44</v>
      </c>
      <c r="G123" s="53" t="s">
        <v>252</v>
      </c>
      <c r="H123" s="53" t="s">
        <v>264</v>
      </c>
      <c r="I123" s="54"/>
      <c r="J123" s="59">
        <v>225</v>
      </c>
      <c r="K123" s="53" t="str">
        <f ca="1">"127,0237"</f>
        <v>127,0237</v>
      </c>
      <c r="L123" s="53"/>
    </row>
    <row r="124" spans="1:12">
      <c r="A124" s="53" t="s">
        <v>824</v>
      </c>
      <c r="B124" s="53" t="s">
        <v>825</v>
      </c>
      <c r="C124" s="53" t="s">
        <v>826</v>
      </c>
      <c r="D124" s="53" t="str">
        <f ca="1">"0,5734"</f>
        <v>0,5734</v>
      </c>
      <c r="E124" s="53" t="s">
        <v>49</v>
      </c>
      <c r="F124" s="53" t="s">
        <v>28</v>
      </c>
      <c r="G124" s="53" t="s">
        <v>827</v>
      </c>
      <c r="H124" s="53" t="s">
        <v>342</v>
      </c>
      <c r="I124" s="54"/>
      <c r="J124" s="59">
        <v>212.5</v>
      </c>
      <c r="K124" s="53" t="str">
        <f ca="1">"121,8369"</f>
        <v>121,8369</v>
      </c>
      <c r="L124" s="53"/>
    </row>
    <row r="125" spans="1:12">
      <c r="A125" s="53" t="s">
        <v>828</v>
      </c>
      <c r="B125" s="53" t="s">
        <v>829</v>
      </c>
      <c r="C125" s="53" t="s">
        <v>830</v>
      </c>
      <c r="D125" s="53" t="str">
        <f ca="1">"0,5678"</f>
        <v>0,5678</v>
      </c>
      <c r="E125" s="53" t="s">
        <v>49</v>
      </c>
      <c r="F125" s="53" t="s">
        <v>226</v>
      </c>
      <c r="G125" s="53" t="s">
        <v>342</v>
      </c>
      <c r="H125" s="54" t="s">
        <v>780</v>
      </c>
      <c r="I125" s="54"/>
      <c r="J125" s="59">
        <v>212.5</v>
      </c>
      <c r="K125" s="53" t="str">
        <f ca="1">"120,6575"</f>
        <v>120,6575</v>
      </c>
      <c r="L125" s="53"/>
    </row>
    <row r="126" spans="1:12">
      <c r="A126" s="53" t="s">
        <v>831</v>
      </c>
      <c r="B126" s="53" t="s">
        <v>832</v>
      </c>
      <c r="C126" s="53" t="s">
        <v>833</v>
      </c>
      <c r="D126" s="53" t="str">
        <f ca="1">"0,5655"</f>
        <v>0,5655</v>
      </c>
      <c r="E126" s="53" t="s">
        <v>39</v>
      </c>
      <c r="F126" s="53" t="s">
        <v>834</v>
      </c>
      <c r="G126" s="54" t="s">
        <v>44</v>
      </c>
      <c r="H126" s="53" t="s">
        <v>44</v>
      </c>
      <c r="I126" s="54"/>
      <c r="J126" s="59">
        <v>210</v>
      </c>
      <c r="K126" s="53" t="str">
        <f ca="1">"118,7550"</f>
        <v>118,7550</v>
      </c>
      <c r="L126" s="53"/>
    </row>
    <row r="127" spans="1:12">
      <c r="A127" s="53" t="s">
        <v>835</v>
      </c>
      <c r="B127" s="53" t="s">
        <v>836</v>
      </c>
      <c r="C127" s="53" t="s">
        <v>837</v>
      </c>
      <c r="D127" s="53" t="str">
        <f ca="1">"0,5681"</f>
        <v>0,5681</v>
      </c>
      <c r="E127" s="53" t="s">
        <v>49</v>
      </c>
      <c r="F127" s="54" t="s">
        <v>141</v>
      </c>
      <c r="G127" s="53" t="s">
        <v>141</v>
      </c>
      <c r="H127" s="53" t="s">
        <v>28</v>
      </c>
      <c r="I127" s="54"/>
      <c r="J127" s="59">
        <v>200</v>
      </c>
      <c r="K127" s="53" t="str">
        <f ca="1">"113,6200"</f>
        <v>113,6200</v>
      </c>
      <c r="L127" s="53"/>
    </row>
    <row r="128" spans="1:12">
      <c r="A128" s="53" t="s">
        <v>838</v>
      </c>
      <c r="B128" s="53" t="s">
        <v>839</v>
      </c>
      <c r="C128" s="53" t="s">
        <v>840</v>
      </c>
      <c r="D128" s="53" t="str">
        <f ca="1">"0,5788"</f>
        <v>0,5788</v>
      </c>
      <c r="E128" s="53" t="s">
        <v>49</v>
      </c>
      <c r="F128" s="53" t="s">
        <v>88</v>
      </c>
      <c r="G128" s="53" t="s">
        <v>50</v>
      </c>
      <c r="H128" s="53" t="s">
        <v>33</v>
      </c>
      <c r="I128" s="54"/>
      <c r="J128" s="59">
        <v>240</v>
      </c>
      <c r="K128" s="53" t="str">
        <f ca="1">"138,9118"</f>
        <v>138,9118</v>
      </c>
      <c r="L128" s="53"/>
    </row>
    <row r="129" spans="1:12">
      <c r="A129" s="53" t="s">
        <v>841</v>
      </c>
      <c r="B129" s="53" t="s">
        <v>842</v>
      </c>
      <c r="C129" s="53" t="s">
        <v>843</v>
      </c>
      <c r="D129" s="53" t="str">
        <f ca="1">"0,5868"</f>
        <v>0,5868</v>
      </c>
      <c r="E129" s="53" t="s">
        <v>49</v>
      </c>
      <c r="F129" s="53" t="s">
        <v>28</v>
      </c>
      <c r="G129" s="53" t="s">
        <v>44</v>
      </c>
      <c r="H129" s="53" t="s">
        <v>227</v>
      </c>
      <c r="I129" s="54"/>
      <c r="J129" s="59">
        <v>215</v>
      </c>
      <c r="K129" s="53" t="str">
        <f ca="1">"126,1717"</f>
        <v>126,1717</v>
      </c>
      <c r="L129" s="53"/>
    </row>
    <row r="130" spans="1:12">
      <c r="A130" s="53" t="s">
        <v>844</v>
      </c>
      <c r="B130" s="53" t="s">
        <v>845</v>
      </c>
      <c r="C130" s="53" t="s">
        <v>846</v>
      </c>
      <c r="D130" s="53" t="str">
        <f ca="1">"0,5780"</f>
        <v>0,5780</v>
      </c>
      <c r="E130" s="53" t="s">
        <v>49</v>
      </c>
      <c r="F130" s="53" t="s">
        <v>141</v>
      </c>
      <c r="G130" s="54" t="s">
        <v>28</v>
      </c>
      <c r="H130" s="53" t="s">
        <v>834</v>
      </c>
      <c r="I130" s="54"/>
      <c r="J130" s="59">
        <v>202.5</v>
      </c>
      <c r="K130" s="53" t="str">
        <f ca="1">"117,0415"</f>
        <v>117,0415</v>
      </c>
      <c r="L130" s="53"/>
    </row>
    <row r="131" spans="1:12">
      <c r="A131" s="53" t="s">
        <v>835</v>
      </c>
      <c r="B131" s="53" t="s">
        <v>847</v>
      </c>
      <c r="C131" s="53" t="s">
        <v>837</v>
      </c>
      <c r="D131" s="53" t="str">
        <f ca="1">"0,5795"</f>
        <v>0,5795</v>
      </c>
      <c r="E131" s="53" t="s">
        <v>49</v>
      </c>
      <c r="F131" s="54" t="s">
        <v>141</v>
      </c>
      <c r="G131" s="53" t="s">
        <v>141</v>
      </c>
      <c r="H131" s="53" t="s">
        <v>28</v>
      </c>
      <c r="I131" s="54"/>
      <c r="J131" s="59">
        <v>200</v>
      </c>
      <c r="K131" s="53" t="str">
        <f ca="1">"115,8924"</f>
        <v>115,8924</v>
      </c>
      <c r="L131" s="53"/>
    </row>
    <row r="132" spans="1:12">
      <c r="A132" s="53" t="s">
        <v>848</v>
      </c>
      <c r="B132" s="53" t="s">
        <v>849</v>
      </c>
      <c r="C132" s="53" t="s">
        <v>850</v>
      </c>
      <c r="D132" s="53" t="str">
        <f ca="1">"0,5877"</f>
        <v>0,5877</v>
      </c>
      <c r="E132" s="53" t="s">
        <v>240</v>
      </c>
      <c r="F132" s="53" t="s">
        <v>233</v>
      </c>
      <c r="G132" s="54" t="s">
        <v>219</v>
      </c>
      <c r="H132" s="53" t="s">
        <v>732</v>
      </c>
      <c r="I132" s="54"/>
      <c r="J132" s="59">
        <v>195</v>
      </c>
      <c r="K132" s="53" t="str">
        <f ca="1">"114,6074"</f>
        <v>114,6074</v>
      </c>
      <c r="L132" s="53"/>
    </row>
    <row r="133" spans="1:12">
      <c r="A133" s="53" t="s">
        <v>818</v>
      </c>
      <c r="B133" s="53" t="s">
        <v>851</v>
      </c>
      <c r="C133" s="53" t="s">
        <v>820</v>
      </c>
      <c r="D133" s="53" t="str">
        <f ca="1">"0,6015"</f>
        <v>0,6015</v>
      </c>
      <c r="E133" s="53" t="s">
        <v>49</v>
      </c>
      <c r="F133" s="53" t="s">
        <v>44</v>
      </c>
      <c r="G133" s="53" t="s">
        <v>264</v>
      </c>
      <c r="H133" s="53" t="s">
        <v>135</v>
      </c>
      <c r="I133" s="54"/>
      <c r="J133" s="59">
        <v>232.5</v>
      </c>
      <c r="K133" s="53" t="str">
        <f ca="1">"139,8384"</f>
        <v>139,8384</v>
      </c>
      <c r="L133" s="53"/>
    </row>
    <row r="134" spans="1:12">
      <c r="A134" s="53" t="s">
        <v>852</v>
      </c>
      <c r="B134" s="53" t="s">
        <v>853</v>
      </c>
      <c r="C134" s="53" t="s">
        <v>854</v>
      </c>
      <c r="D134" s="53" t="str">
        <f ca="1">"0,6223"</f>
        <v>0,6223</v>
      </c>
      <c r="E134" s="53" t="s">
        <v>98</v>
      </c>
      <c r="F134" s="53" t="s">
        <v>227</v>
      </c>
      <c r="G134" s="53" t="s">
        <v>780</v>
      </c>
      <c r="H134" s="53" t="s">
        <v>124</v>
      </c>
      <c r="I134" s="54"/>
      <c r="J134" s="59">
        <v>227.5</v>
      </c>
      <c r="K134" s="53" t="str">
        <f ca="1">"141,5796"</f>
        <v>141,5796</v>
      </c>
      <c r="L134" s="53"/>
    </row>
    <row r="135" spans="1:12">
      <c r="A135" s="53" t="s">
        <v>91</v>
      </c>
      <c r="B135" s="53" t="s">
        <v>92</v>
      </c>
      <c r="C135" s="53" t="s">
        <v>69</v>
      </c>
      <c r="D135" s="53" t="str">
        <f ca="1">"0,6008"</f>
        <v>0,6008</v>
      </c>
      <c r="E135" s="53" t="s">
        <v>21</v>
      </c>
      <c r="F135" s="53" t="s">
        <v>207</v>
      </c>
      <c r="G135" s="53" t="s">
        <v>27</v>
      </c>
      <c r="H135" s="54" t="s">
        <v>28</v>
      </c>
      <c r="I135" s="54"/>
      <c r="J135" s="59">
        <v>185</v>
      </c>
      <c r="K135" s="53" t="str">
        <f ca="1">"111,1388"</f>
        <v>111,1388</v>
      </c>
      <c r="L135" s="53"/>
    </row>
    <row r="136" spans="1:12">
      <c r="A136" s="53" t="s">
        <v>855</v>
      </c>
      <c r="B136" s="53" t="s">
        <v>856</v>
      </c>
      <c r="C136" s="53" t="s">
        <v>857</v>
      </c>
      <c r="D136" s="53" t="str">
        <f ca="1">"0,5951"</f>
        <v>0,5951</v>
      </c>
      <c r="E136" s="53" t="s">
        <v>49</v>
      </c>
      <c r="F136" s="53" t="s">
        <v>217</v>
      </c>
      <c r="G136" s="53" t="s">
        <v>206</v>
      </c>
      <c r="H136" s="54" t="s">
        <v>207</v>
      </c>
      <c r="I136" s="54"/>
      <c r="J136" s="59">
        <v>165</v>
      </c>
      <c r="K136" s="53" t="str">
        <f ca="1">"98,1870"</f>
        <v>98,1870</v>
      </c>
      <c r="L136" s="53"/>
    </row>
    <row r="137" spans="1:12">
      <c r="A137" s="53" t="s">
        <v>858</v>
      </c>
      <c r="B137" s="53" t="s">
        <v>859</v>
      </c>
      <c r="C137" s="53" t="s">
        <v>860</v>
      </c>
      <c r="D137" s="53" t="str">
        <f ca="1">"0,6121"</f>
        <v>0,6121</v>
      </c>
      <c r="E137" s="53" t="s">
        <v>49</v>
      </c>
      <c r="F137" s="54" t="s">
        <v>28</v>
      </c>
      <c r="G137" s="54" t="s">
        <v>28</v>
      </c>
      <c r="H137" s="54"/>
      <c r="I137" s="54"/>
      <c r="J137" s="59">
        <v>0</v>
      </c>
      <c r="K137" s="53" t="str">
        <f ca="1">"0,0000"</f>
        <v>0,0000</v>
      </c>
      <c r="L137" s="53"/>
    </row>
    <row r="138" spans="1:12">
      <c r="A138" s="53" t="s">
        <v>861</v>
      </c>
      <c r="B138" s="53" t="s">
        <v>862</v>
      </c>
      <c r="C138" s="53" t="s">
        <v>863</v>
      </c>
      <c r="D138" s="53" t="str">
        <f ca="1">"0,6791"</f>
        <v>0,6791</v>
      </c>
      <c r="E138" s="53" t="s">
        <v>49</v>
      </c>
      <c r="F138" s="53" t="s">
        <v>864</v>
      </c>
      <c r="G138" s="53" t="s">
        <v>780</v>
      </c>
      <c r="H138" s="53" t="s">
        <v>124</v>
      </c>
      <c r="I138" s="54"/>
      <c r="J138" s="59">
        <v>227.5</v>
      </c>
      <c r="K138" s="53" t="str">
        <f ca="1">"154,4914"</f>
        <v>154,4914</v>
      </c>
      <c r="L138" s="53"/>
    </row>
    <row r="139" spans="1:12">
      <c r="A139" s="53" t="s">
        <v>865</v>
      </c>
      <c r="B139" s="53" t="s">
        <v>866</v>
      </c>
      <c r="C139" s="53" t="s">
        <v>823</v>
      </c>
      <c r="D139" s="53" t="str">
        <f ca="1">"0,6916"</f>
        <v>0,6916</v>
      </c>
      <c r="E139" s="53" t="s">
        <v>49</v>
      </c>
      <c r="F139" s="53" t="s">
        <v>269</v>
      </c>
      <c r="G139" s="53" t="s">
        <v>217</v>
      </c>
      <c r="H139" s="54" t="s">
        <v>770</v>
      </c>
      <c r="I139" s="54"/>
      <c r="J139" s="59">
        <v>155</v>
      </c>
      <c r="K139" s="53" t="str">
        <f ca="1">"107,1939"</f>
        <v>107,1939</v>
      </c>
      <c r="L139" s="53"/>
    </row>
    <row r="140" spans="1:12">
      <c r="A140" s="53" t="s">
        <v>867</v>
      </c>
      <c r="B140" s="53" t="s">
        <v>868</v>
      </c>
      <c r="C140" s="53" t="s">
        <v>97</v>
      </c>
      <c r="D140" s="53" t="str">
        <f ca="1">"0,7725"</f>
        <v>0,7725</v>
      </c>
      <c r="E140" s="53" t="s">
        <v>49</v>
      </c>
      <c r="F140" s="53" t="s">
        <v>217</v>
      </c>
      <c r="G140" s="53" t="s">
        <v>147</v>
      </c>
      <c r="H140" s="54" t="s">
        <v>206</v>
      </c>
      <c r="I140" s="54"/>
      <c r="J140" s="59">
        <v>160</v>
      </c>
      <c r="K140" s="53" t="str">
        <f ca="1">"123,6016"</f>
        <v>123,6016</v>
      </c>
      <c r="L140" s="53"/>
    </row>
    <row r="141" spans="1:12">
      <c r="A141" s="53" t="s">
        <v>869</v>
      </c>
      <c r="B141" s="53" t="s">
        <v>870</v>
      </c>
      <c r="C141" s="53" t="s">
        <v>871</v>
      </c>
      <c r="D141" s="53" t="str">
        <f ca="1">"0,7702"</f>
        <v>0,7702</v>
      </c>
      <c r="E141" s="53" t="s">
        <v>49</v>
      </c>
      <c r="F141" s="53" t="s">
        <v>28</v>
      </c>
      <c r="G141" s="54" t="s">
        <v>827</v>
      </c>
      <c r="H141" s="54" t="s">
        <v>827</v>
      </c>
      <c r="I141" s="54"/>
      <c r="J141" s="59" t="s">
        <v>754</v>
      </c>
      <c r="K141" s="53" t="s">
        <v>872</v>
      </c>
      <c r="L141" s="53"/>
    </row>
    <row r="142" spans="1:12">
      <c r="A142" s="53" t="s">
        <v>873</v>
      </c>
      <c r="B142" s="53" t="s">
        <v>874</v>
      </c>
      <c r="C142" s="53" t="s">
        <v>837</v>
      </c>
      <c r="D142" s="53" t="str">
        <f ca="1">"0,8408"</f>
        <v>0,8408</v>
      </c>
      <c r="E142" s="53" t="s">
        <v>49</v>
      </c>
      <c r="F142" s="53" t="s">
        <v>147</v>
      </c>
      <c r="G142" s="53" t="s">
        <v>207</v>
      </c>
      <c r="H142" s="54" t="s">
        <v>233</v>
      </c>
      <c r="I142" s="54"/>
      <c r="J142" s="59">
        <v>170</v>
      </c>
      <c r="K142" s="53" t="str">
        <f ca="1">"142,9340"</f>
        <v>142,9340</v>
      </c>
      <c r="L142" s="53"/>
    </row>
    <row r="143" spans="1:12">
      <c r="A143" s="50" t="s">
        <v>95</v>
      </c>
      <c r="B143" s="50" t="s">
        <v>96</v>
      </c>
      <c r="C143" s="50" t="s">
        <v>97</v>
      </c>
      <c r="D143" s="50" t="str">
        <f ca="1">"1,0579"</f>
        <v>1,0579</v>
      </c>
      <c r="E143" s="50" t="s">
        <v>98</v>
      </c>
      <c r="F143" s="50" t="s">
        <v>99</v>
      </c>
      <c r="G143" s="51"/>
      <c r="H143" s="51"/>
      <c r="I143" s="51"/>
      <c r="J143" s="58" t="s">
        <v>100</v>
      </c>
      <c r="K143" s="50" t="s">
        <v>101</v>
      </c>
      <c r="L143" s="50"/>
    </row>
    <row r="145" ht="15.6" spans="1:11">
      <c r="A145" s="47" t="s">
        <v>102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</row>
    <row r="146" spans="1:12">
      <c r="A146" s="48" t="s">
        <v>875</v>
      </c>
      <c r="B146" s="48" t="s">
        <v>876</v>
      </c>
      <c r="C146" s="48" t="s">
        <v>877</v>
      </c>
      <c r="D146" s="48" t="str">
        <f ca="1">"0,5566"</f>
        <v>0,5566</v>
      </c>
      <c r="E146" s="48" t="s">
        <v>49</v>
      </c>
      <c r="F146" s="48" t="s">
        <v>213</v>
      </c>
      <c r="G146" s="49"/>
      <c r="H146" s="49"/>
      <c r="I146" s="49"/>
      <c r="J146" s="57">
        <v>150</v>
      </c>
      <c r="K146" s="48" t="str">
        <f ca="1">"83,4975"</f>
        <v>83,4975</v>
      </c>
      <c r="L146" s="48"/>
    </row>
    <row r="147" spans="1:12">
      <c r="A147" s="53" t="s">
        <v>878</v>
      </c>
      <c r="B147" s="53" t="s">
        <v>879</v>
      </c>
      <c r="C147" s="53" t="s">
        <v>880</v>
      </c>
      <c r="D147" s="53" t="str">
        <f ca="1">"0,5508"</f>
        <v>0,5508</v>
      </c>
      <c r="E147" s="53" t="s">
        <v>49</v>
      </c>
      <c r="F147" s="53" t="s">
        <v>44</v>
      </c>
      <c r="G147" s="53" t="s">
        <v>227</v>
      </c>
      <c r="H147" s="53" t="s">
        <v>780</v>
      </c>
      <c r="I147" s="54"/>
      <c r="J147" s="59">
        <v>222.5</v>
      </c>
      <c r="K147" s="53" t="str">
        <f ca="1">"122,5641"</f>
        <v>122,5641</v>
      </c>
      <c r="L147" s="53"/>
    </row>
    <row r="148" spans="1:12">
      <c r="A148" s="53" t="s">
        <v>881</v>
      </c>
      <c r="B148" s="53" t="s">
        <v>882</v>
      </c>
      <c r="C148" s="53" t="s">
        <v>105</v>
      </c>
      <c r="D148" s="53" t="str">
        <f ca="1">"0,5566"</f>
        <v>0,5566</v>
      </c>
      <c r="E148" s="53" t="s">
        <v>49</v>
      </c>
      <c r="F148" s="53" t="s">
        <v>44</v>
      </c>
      <c r="G148" s="53" t="s">
        <v>228</v>
      </c>
      <c r="H148" s="54" t="s">
        <v>780</v>
      </c>
      <c r="I148" s="54"/>
      <c r="J148" s="59">
        <v>217.5</v>
      </c>
      <c r="K148" s="53" t="str">
        <f ca="1">"121,0496"</f>
        <v>121,0496</v>
      </c>
      <c r="L148" s="53"/>
    </row>
    <row r="149" spans="1:12">
      <c r="A149" s="53" t="s">
        <v>387</v>
      </c>
      <c r="B149" s="53" t="s">
        <v>400</v>
      </c>
      <c r="C149" s="53" t="s">
        <v>389</v>
      </c>
      <c r="D149" s="53" t="str">
        <f ca="1">"0,5645"</f>
        <v>0,5645</v>
      </c>
      <c r="E149" s="53" t="s">
        <v>49</v>
      </c>
      <c r="F149" s="53" t="s">
        <v>834</v>
      </c>
      <c r="G149" s="53" t="s">
        <v>827</v>
      </c>
      <c r="H149" s="54"/>
      <c r="I149" s="54"/>
      <c r="J149" s="59">
        <v>207.5</v>
      </c>
      <c r="K149" s="53" t="str">
        <f ca="1">"117,1271"</f>
        <v>117,1271</v>
      </c>
      <c r="L149" s="53"/>
    </row>
    <row r="150" spans="1:12">
      <c r="A150" s="53" t="s">
        <v>883</v>
      </c>
      <c r="B150" s="53" t="s">
        <v>884</v>
      </c>
      <c r="C150" s="53" t="s">
        <v>885</v>
      </c>
      <c r="D150" s="53" t="str">
        <f ca="1">"0,5617"</f>
        <v>0,5617</v>
      </c>
      <c r="E150" s="53" t="s">
        <v>49</v>
      </c>
      <c r="F150" s="53" t="s">
        <v>141</v>
      </c>
      <c r="G150" s="53" t="s">
        <v>28</v>
      </c>
      <c r="H150" s="53" t="s">
        <v>834</v>
      </c>
      <c r="I150" s="54"/>
      <c r="J150" s="59">
        <v>202.5</v>
      </c>
      <c r="K150" s="53" t="str">
        <f ca="1">"113,7368"</f>
        <v>113,7368</v>
      </c>
      <c r="L150" s="53"/>
    </row>
    <row r="151" spans="1:12">
      <c r="A151" s="53" t="s">
        <v>401</v>
      </c>
      <c r="B151" s="53" t="s">
        <v>402</v>
      </c>
      <c r="C151" s="53" t="s">
        <v>403</v>
      </c>
      <c r="D151" s="53" t="str">
        <f ca="1">"0,5653"</f>
        <v>0,5653</v>
      </c>
      <c r="E151" s="53" t="s">
        <v>32</v>
      </c>
      <c r="F151" s="53" t="s">
        <v>140</v>
      </c>
      <c r="G151" s="53" t="s">
        <v>28</v>
      </c>
      <c r="H151" s="54" t="s">
        <v>827</v>
      </c>
      <c r="I151" s="54"/>
      <c r="J151" s="59">
        <v>200</v>
      </c>
      <c r="K151" s="53" t="str">
        <f ca="1">"113,0695"</f>
        <v>113,0695</v>
      </c>
      <c r="L151" s="53"/>
    </row>
    <row r="152" spans="1:12">
      <c r="A152" s="53" t="s">
        <v>886</v>
      </c>
      <c r="B152" s="53" t="s">
        <v>887</v>
      </c>
      <c r="C152" s="53" t="s">
        <v>888</v>
      </c>
      <c r="D152" s="53" t="str">
        <f ca="1">"0,5529"</f>
        <v>0,5529</v>
      </c>
      <c r="E152" s="53" t="s">
        <v>49</v>
      </c>
      <c r="F152" s="53" t="s">
        <v>732</v>
      </c>
      <c r="G152" s="54" t="s">
        <v>834</v>
      </c>
      <c r="H152" s="54" t="s">
        <v>834</v>
      </c>
      <c r="I152" s="54"/>
      <c r="J152" s="59" t="s">
        <v>889</v>
      </c>
      <c r="K152" s="53" t="s">
        <v>890</v>
      </c>
      <c r="L152" s="53"/>
    </row>
    <row r="153" spans="1:12">
      <c r="A153" s="53" t="s">
        <v>891</v>
      </c>
      <c r="B153" s="53" t="s">
        <v>892</v>
      </c>
      <c r="C153" s="53" t="s">
        <v>415</v>
      </c>
      <c r="D153" s="53" t="str">
        <f ca="1">"0,6042"</f>
        <v>0,6042</v>
      </c>
      <c r="E153" s="53" t="s">
        <v>49</v>
      </c>
      <c r="F153" s="53" t="s">
        <v>141</v>
      </c>
      <c r="G153" s="53" t="s">
        <v>28</v>
      </c>
      <c r="H153" s="53" t="s">
        <v>44</v>
      </c>
      <c r="I153" s="54"/>
      <c r="J153" s="59">
        <v>210</v>
      </c>
      <c r="K153" s="53" t="str">
        <f ca="1">"126,8763"</f>
        <v>126,8763</v>
      </c>
      <c r="L153" s="53"/>
    </row>
    <row r="154" spans="1:12">
      <c r="A154" s="53" t="s">
        <v>893</v>
      </c>
      <c r="B154" s="53" t="s">
        <v>894</v>
      </c>
      <c r="C154" s="53" t="s">
        <v>895</v>
      </c>
      <c r="D154" s="53" t="str">
        <f ca="1">"0,5827"</f>
        <v>0,5827</v>
      </c>
      <c r="E154" s="53" t="s">
        <v>49</v>
      </c>
      <c r="F154" s="53" t="s">
        <v>141</v>
      </c>
      <c r="G154" s="53" t="s">
        <v>28</v>
      </c>
      <c r="H154" s="53" t="s">
        <v>827</v>
      </c>
      <c r="I154" s="54"/>
      <c r="J154" s="59">
        <v>207.5</v>
      </c>
      <c r="K154" s="53" t="str">
        <f ca="1">"120,9054"</f>
        <v>120,9054</v>
      </c>
      <c r="L154" s="53"/>
    </row>
    <row r="155" spans="1:12">
      <c r="A155" s="53" t="s">
        <v>103</v>
      </c>
      <c r="B155" s="53" t="s">
        <v>116</v>
      </c>
      <c r="C155" s="53" t="s">
        <v>105</v>
      </c>
      <c r="D155" s="53" t="str">
        <f ca="1">"0,6022"</f>
        <v>0,6022</v>
      </c>
      <c r="E155" s="53" t="s">
        <v>49</v>
      </c>
      <c r="F155" s="53" t="s">
        <v>141</v>
      </c>
      <c r="G155" s="53" t="s">
        <v>834</v>
      </c>
      <c r="H155" s="54" t="s">
        <v>44</v>
      </c>
      <c r="I155" s="54"/>
      <c r="J155" s="59">
        <v>202.5</v>
      </c>
      <c r="K155" s="53" t="str">
        <f ca="1">"121,9429"</f>
        <v>121,9429</v>
      </c>
      <c r="L155" s="53"/>
    </row>
    <row r="156" spans="1:12">
      <c r="A156" s="53" t="s">
        <v>896</v>
      </c>
      <c r="B156" s="53" t="s">
        <v>897</v>
      </c>
      <c r="C156" s="53" t="s">
        <v>898</v>
      </c>
      <c r="D156" s="53" t="str">
        <f ca="1">"0,5826"</f>
        <v>0,5826</v>
      </c>
      <c r="E156" s="53" t="s">
        <v>49</v>
      </c>
      <c r="F156" s="53" t="s">
        <v>147</v>
      </c>
      <c r="G156" s="53" t="s">
        <v>207</v>
      </c>
      <c r="H156" s="53" t="s">
        <v>678</v>
      </c>
      <c r="I156" s="54"/>
      <c r="J156" s="59">
        <v>177.5</v>
      </c>
      <c r="K156" s="53" t="str">
        <f ca="1">"103,4104"</f>
        <v>103,4104</v>
      </c>
      <c r="L156" s="53"/>
    </row>
    <row r="157" spans="1:12">
      <c r="A157" s="53" t="s">
        <v>899</v>
      </c>
      <c r="B157" s="53" t="s">
        <v>900</v>
      </c>
      <c r="C157" s="53" t="s">
        <v>901</v>
      </c>
      <c r="D157" s="53" t="str">
        <f ca="1">"0,5930"</f>
        <v>0,5930</v>
      </c>
      <c r="E157" s="53" t="s">
        <v>256</v>
      </c>
      <c r="F157" s="53" t="s">
        <v>147</v>
      </c>
      <c r="G157" s="53" t="s">
        <v>207</v>
      </c>
      <c r="H157" s="54" t="s">
        <v>140</v>
      </c>
      <c r="I157" s="54"/>
      <c r="J157" s="59">
        <v>170</v>
      </c>
      <c r="K157" s="53" t="str">
        <f ca="1">"100,8037"</f>
        <v>100,8037</v>
      </c>
      <c r="L157" s="53"/>
    </row>
    <row r="158" spans="1:12">
      <c r="A158" s="53" t="s">
        <v>902</v>
      </c>
      <c r="B158" s="53" t="s">
        <v>903</v>
      </c>
      <c r="C158" s="53" t="s">
        <v>904</v>
      </c>
      <c r="D158" s="53" t="str">
        <f ca="1">"0,6139"</f>
        <v>0,6139</v>
      </c>
      <c r="E158" s="53" t="s">
        <v>49</v>
      </c>
      <c r="F158" s="53" t="s">
        <v>147</v>
      </c>
      <c r="G158" s="53" t="s">
        <v>207</v>
      </c>
      <c r="H158" s="54" t="s">
        <v>233</v>
      </c>
      <c r="I158" s="54"/>
      <c r="J158" s="59">
        <v>170</v>
      </c>
      <c r="K158" s="53" t="str">
        <f ca="1">"104,3691"</f>
        <v>104,3691</v>
      </c>
      <c r="L158" s="53"/>
    </row>
    <row r="159" spans="1:12">
      <c r="A159" s="53" t="s">
        <v>905</v>
      </c>
      <c r="B159" s="53" t="s">
        <v>906</v>
      </c>
      <c r="C159" s="53" t="s">
        <v>907</v>
      </c>
      <c r="D159" s="53" t="str">
        <f ca="1">"0,6672"</f>
        <v>0,6672</v>
      </c>
      <c r="E159" s="53" t="s">
        <v>49</v>
      </c>
      <c r="F159" s="53" t="s">
        <v>201</v>
      </c>
      <c r="G159" s="53" t="s">
        <v>202</v>
      </c>
      <c r="H159" s="53" t="s">
        <v>805</v>
      </c>
      <c r="I159" s="54"/>
      <c r="J159" s="59">
        <v>142.5</v>
      </c>
      <c r="K159" s="53" t="str">
        <f ca="1">"95,0755"</f>
        <v>95,0755</v>
      </c>
      <c r="L159" s="53"/>
    </row>
    <row r="160" spans="1:12">
      <c r="A160" s="50" t="s">
        <v>908</v>
      </c>
      <c r="B160" s="50" t="s">
        <v>909</v>
      </c>
      <c r="C160" s="50" t="s">
        <v>910</v>
      </c>
      <c r="D160" s="50" t="str">
        <f ca="1">"0,6796"</f>
        <v>0,6796</v>
      </c>
      <c r="E160" s="50" t="s">
        <v>49</v>
      </c>
      <c r="F160" s="50" t="s">
        <v>28</v>
      </c>
      <c r="G160" s="51" t="s">
        <v>44</v>
      </c>
      <c r="H160" s="51" t="s">
        <v>44</v>
      </c>
      <c r="I160" s="51"/>
      <c r="J160" s="58" t="s">
        <v>754</v>
      </c>
      <c r="K160" s="50" t="s">
        <v>911</v>
      </c>
      <c r="L160" s="50"/>
    </row>
    <row r="162" ht="15.6" spans="1:11">
      <c r="A162" s="47" t="s">
        <v>125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</row>
    <row r="163" spans="1:12">
      <c r="A163" s="48" t="s">
        <v>912</v>
      </c>
      <c r="B163" s="48" t="s">
        <v>913</v>
      </c>
      <c r="C163" s="48" t="s">
        <v>914</v>
      </c>
      <c r="D163" s="48" t="str">
        <f ca="1">"0,5378"</f>
        <v>0,5378</v>
      </c>
      <c r="E163" s="48" t="s">
        <v>109</v>
      </c>
      <c r="F163" s="48" t="s">
        <v>227</v>
      </c>
      <c r="G163" s="48" t="s">
        <v>264</v>
      </c>
      <c r="H163" s="49" t="s">
        <v>88</v>
      </c>
      <c r="I163" s="49"/>
      <c r="J163" s="57">
        <v>225</v>
      </c>
      <c r="K163" s="48" t="str">
        <f ca="1">"120,9960"</f>
        <v>120,9960</v>
      </c>
      <c r="L163" s="48"/>
    </row>
    <row r="164" spans="1:12">
      <c r="A164" s="53" t="s">
        <v>915</v>
      </c>
      <c r="B164" s="53" t="s">
        <v>916</v>
      </c>
      <c r="C164" s="53" t="s">
        <v>917</v>
      </c>
      <c r="D164" s="53" t="str">
        <f ca="1">"0,5331"</f>
        <v>0,5331</v>
      </c>
      <c r="E164" s="53" t="s">
        <v>32</v>
      </c>
      <c r="F164" s="53" t="s">
        <v>140</v>
      </c>
      <c r="G164" s="53" t="s">
        <v>141</v>
      </c>
      <c r="H164" s="53" t="s">
        <v>834</v>
      </c>
      <c r="I164" s="54"/>
      <c r="J164" s="59">
        <v>202.5</v>
      </c>
      <c r="K164" s="53" t="str">
        <f ca="1">"107,9487"</f>
        <v>107,9487</v>
      </c>
      <c r="L164" s="53"/>
    </row>
    <row r="165" spans="1:12">
      <c r="A165" s="53" t="s">
        <v>431</v>
      </c>
      <c r="B165" s="53" t="s">
        <v>432</v>
      </c>
      <c r="C165" s="53" t="s">
        <v>433</v>
      </c>
      <c r="D165" s="53" t="str">
        <f ca="1">"0,5406"</f>
        <v>0,5406</v>
      </c>
      <c r="E165" s="53" t="s">
        <v>49</v>
      </c>
      <c r="F165" s="53" t="s">
        <v>207</v>
      </c>
      <c r="G165" s="53" t="s">
        <v>233</v>
      </c>
      <c r="H165" s="54" t="s">
        <v>219</v>
      </c>
      <c r="I165" s="54"/>
      <c r="J165" s="59">
        <v>175</v>
      </c>
      <c r="K165" s="53" t="str">
        <f ca="1">"94,6050"</f>
        <v>94,6050</v>
      </c>
      <c r="L165" s="53"/>
    </row>
    <row r="166" spans="1:12">
      <c r="A166" s="53" t="s">
        <v>918</v>
      </c>
      <c r="B166" s="53" t="s">
        <v>919</v>
      </c>
      <c r="C166" s="53" t="s">
        <v>920</v>
      </c>
      <c r="D166" s="53" t="str">
        <f ca="1">"0,5373"</f>
        <v>0,5373</v>
      </c>
      <c r="E166" s="53" t="s">
        <v>49</v>
      </c>
      <c r="F166" s="53" t="s">
        <v>252</v>
      </c>
      <c r="G166" s="54" t="s">
        <v>124</v>
      </c>
      <c r="H166" s="54" t="s">
        <v>124</v>
      </c>
      <c r="I166" s="54"/>
      <c r="J166" s="59" t="s">
        <v>921</v>
      </c>
      <c r="K166" s="53" t="s">
        <v>922</v>
      </c>
      <c r="L166" s="53" t="s">
        <v>923</v>
      </c>
    </row>
    <row r="167" spans="1:12">
      <c r="A167" s="53" t="s">
        <v>434</v>
      </c>
      <c r="B167" s="53" t="s">
        <v>435</v>
      </c>
      <c r="C167" s="53" t="s">
        <v>436</v>
      </c>
      <c r="D167" s="53" t="str">
        <f ca="1">"0,5596"</f>
        <v>0,5596</v>
      </c>
      <c r="E167" s="53" t="s">
        <v>49</v>
      </c>
      <c r="F167" s="53" t="s">
        <v>219</v>
      </c>
      <c r="G167" s="53" t="s">
        <v>141</v>
      </c>
      <c r="H167" s="53" t="s">
        <v>732</v>
      </c>
      <c r="I167" s="54"/>
      <c r="J167" s="59">
        <v>195</v>
      </c>
      <c r="K167" s="53" t="str">
        <f ca="1">"109,1312"</f>
        <v>109,1312</v>
      </c>
      <c r="L167" s="53"/>
    </row>
    <row r="168" spans="1:12">
      <c r="A168" s="53" t="s">
        <v>912</v>
      </c>
      <c r="B168" s="53" t="s">
        <v>924</v>
      </c>
      <c r="C168" s="53" t="s">
        <v>914</v>
      </c>
      <c r="D168" s="53" t="str">
        <f ca="1">"0,5673"</f>
        <v>0,5673</v>
      </c>
      <c r="E168" s="53" t="s">
        <v>109</v>
      </c>
      <c r="F168" s="53" t="s">
        <v>227</v>
      </c>
      <c r="G168" s="53" t="s">
        <v>264</v>
      </c>
      <c r="H168" s="54" t="s">
        <v>88</v>
      </c>
      <c r="I168" s="54"/>
      <c r="J168" s="59">
        <v>225</v>
      </c>
      <c r="K168" s="53" t="str">
        <f ca="1">"127,6508"</f>
        <v>127,6508</v>
      </c>
      <c r="L168" s="53"/>
    </row>
    <row r="169" spans="1:12">
      <c r="A169" s="50" t="s">
        <v>915</v>
      </c>
      <c r="B169" s="50" t="s">
        <v>925</v>
      </c>
      <c r="C169" s="50" t="s">
        <v>917</v>
      </c>
      <c r="D169" s="50" t="str">
        <f ca="1">"0,5848"</f>
        <v>0,5848</v>
      </c>
      <c r="E169" s="50" t="s">
        <v>32</v>
      </c>
      <c r="F169" s="50" t="s">
        <v>140</v>
      </c>
      <c r="G169" s="50" t="s">
        <v>141</v>
      </c>
      <c r="H169" s="50" t="s">
        <v>834</v>
      </c>
      <c r="I169" s="51"/>
      <c r="J169" s="58">
        <v>202.5</v>
      </c>
      <c r="K169" s="50" t="str">
        <f ca="1">"118,4197"</f>
        <v>118,4197</v>
      </c>
      <c r="L169" s="50"/>
    </row>
    <row r="171" ht="15.6" spans="1:11">
      <c r="A171" s="47" t="s">
        <v>136</v>
      </c>
      <c r="B171" s="47"/>
      <c r="C171" s="47"/>
      <c r="D171" s="47"/>
      <c r="E171" s="47"/>
      <c r="F171" s="47"/>
      <c r="G171" s="47"/>
      <c r="H171" s="47"/>
      <c r="I171" s="47"/>
      <c r="J171" s="47"/>
      <c r="K171" s="47"/>
    </row>
    <row r="172" spans="1:12">
      <c r="A172" s="48" t="s">
        <v>926</v>
      </c>
      <c r="B172" s="48" t="s">
        <v>927</v>
      </c>
      <c r="C172" s="48" t="s">
        <v>928</v>
      </c>
      <c r="D172" s="48" t="str">
        <f ca="1">"0,5217"</f>
        <v>0,5217</v>
      </c>
      <c r="E172" s="48" t="s">
        <v>929</v>
      </c>
      <c r="F172" s="49" t="s">
        <v>33</v>
      </c>
      <c r="G172" s="49" t="s">
        <v>33</v>
      </c>
      <c r="H172" s="49" t="s">
        <v>33</v>
      </c>
      <c r="I172" s="49"/>
      <c r="J172" s="57">
        <v>0</v>
      </c>
      <c r="K172" s="48" t="str">
        <f ca="1">"0,0000"</f>
        <v>0,0000</v>
      </c>
      <c r="L172" s="48"/>
    </row>
    <row r="173" spans="1:12">
      <c r="A173" s="53" t="s">
        <v>930</v>
      </c>
      <c r="B173" s="53" t="s">
        <v>931</v>
      </c>
      <c r="C173" s="53" t="s">
        <v>932</v>
      </c>
      <c r="D173" s="53" t="str">
        <f ca="1">"0,5387"</f>
        <v>0,5387</v>
      </c>
      <c r="E173" s="53" t="s">
        <v>49</v>
      </c>
      <c r="F173" s="53" t="s">
        <v>141</v>
      </c>
      <c r="G173" s="53" t="s">
        <v>647</v>
      </c>
      <c r="H173" s="53" t="s">
        <v>733</v>
      </c>
      <c r="I173" s="54"/>
      <c r="J173" s="59">
        <v>197.5</v>
      </c>
      <c r="K173" s="53" t="str">
        <f ca="1">"106,3938"</f>
        <v>106,3938</v>
      </c>
      <c r="L173" s="53"/>
    </row>
    <row r="174" spans="1:12">
      <c r="A174" s="50" t="s">
        <v>933</v>
      </c>
      <c r="B174" s="50" t="s">
        <v>934</v>
      </c>
      <c r="C174" s="50" t="s">
        <v>935</v>
      </c>
      <c r="D174" s="50" t="str">
        <f ca="1">"0,6621"</f>
        <v>0,6621</v>
      </c>
      <c r="E174" s="50" t="s">
        <v>49</v>
      </c>
      <c r="F174" s="50" t="s">
        <v>213</v>
      </c>
      <c r="G174" s="51" t="s">
        <v>147</v>
      </c>
      <c r="H174" s="51" t="s">
        <v>147</v>
      </c>
      <c r="I174" s="51"/>
      <c r="J174" s="58" t="s">
        <v>343</v>
      </c>
      <c r="K174" s="50" t="s">
        <v>936</v>
      </c>
      <c r="L174" s="50"/>
    </row>
    <row r="176" ht="15.6" spans="5:5">
      <c r="E176" s="60" t="s">
        <v>148</v>
      </c>
    </row>
    <row r="177" ht="15.6" spans="5:5">
      <c r="E177" s="60" t="s">
        <v>149</v>
      </c>
    </row>
    <row r="178" ht="15.6" spans="5:5">
      <c r="E178" s="60" t="s">
        <v>150</v>
      </c>
    </row>
    <row r="179" spans="5:5">
      <c r="E179" s="43" t="s">
        <v>151</v>
      </c>
    </row>
    <row r="180" spans="5:5">
      <c r="E180" s="43" t="s">
        <v>152</v>
      </c>
    </row>
    <row r="181" spans="5:5">
      <c r="E181" s="43" t="s">
        <v>153</v>
      </c>
    </row>
    <row r="184" ht="18" spans="1:2">
      <c r="A184" s="61" t="s">
        <v>154</v>
      </c>
      <c r="B184" s="61"/>
    </row>
    <row r="185" ht="15.6" spans="1:2">
      <c r="A185" s="62" t="s">
        <v>443</v>
      </c>
      <c r="B185" s="62"/>
    </row>
    <row r="186" ht="13.8" spans="1:2">
      <c r="A186" s="63" t="s">
        <v>444</v>
      </c>
      <c r="B186" s="64"/>
    </row>
    <row r="187" ht="13.8" spans="1:5">
      <c r="A187" s="65" t="s">
        <v>1</v>
      </c>
      <c r="B187" s="65" t="s">
        <v>157</v>
      </c>
      <c r="C187" s="65" t="s">
        <v>158</v>
      </c>
      <c r="D187" s="65" t="s">
        <v>7</v>
      </c>
      <c r="E187" s="65" t="s">
        <v>159</v>
      </c>
    </row>
    <row r="188" spans="1:5">
      <c r="A188" s="66" t="s">
        <v>558</v>
      </c>
      <c r="B188" s="43" t="s">
        <v>445</v>
      </c>
      <c r="C188" s="43" t="s">
        <v>446</v>
      </c>
      <c r="D188" s="43" t="s">
        <v>562</v>
      </c>
      <c r="E188" s="67" t="s">
        <v>937</v>
      </c>
    </row>
    <row r="190" ht="13.8" spans="1:2">
      <c r="A190" s="63" t="s">
        <v>156</v>
      </c>
      <c r="B190" s="64"/>
    </row>
    <row r="191" ht="13.8" spans="1:5">
      <c r="A191" s="65" t="s">
        <v>1</v>
      </c>
      <c r="B191" s="65" t="s">
        <v>157</v>
      </c>
      <c r="C191" s="65" t="s">
        <v>158</v>
      </c>
      <c r="D191" s="65" t="s">
        <v>7</v>
      </c>
      <c r="E191" s="65" t="s">
        <v>159</v>
      </c>
    </row>
    <row r="192" spans="1:5">
      <c r="A192" s="66" t="s">
        <v>585</v>
      </c>
      <c r="B192" s="43" t="s">
        <v>156</v>
      </c>
      <c r="C192" s="43" t="s">
        <v>456</v>
      </c>
      <c r="D192" s="43" t="s">
        <v>201</v>
      </c>
      <c r="E192" s="67" t="s">
        <v>938</v>
      </c>
    </row>
    <row r="193" spans="1:5">
      <c r="A193" s="66" t="s">
        <v>547</v>
      </c>
      <c r="B193" s="43" t="s">
        <v>156</v>
      </c>
      <c r="C193" s="43" t="s">
        <v>535</v>
      </c>
      <c r="D193" s="43" t="s">
        <v>245</v>
      </c>
      <c r="E193" s="67" t="s">
        <v>939</v>
      </c>
    </row>
    <row r="194" spans="1:5">
      <c r="A194" s="66" t="s">
        <v>588</v>
      </c>
      <c r="B194" s="43" t="s">
        <v>156</v>
      </c>
      <c r="C194" s="43" t="s">
        <v>456</v>
      </c>
      <c r="D194" s="43" t="s">
        <v>592</v>
      </c>
      <c r="E194" s="67" t="s">
        <v>940</v>
      </c>
    </row>
    <row r="195" spans="1:5">
      <c r="A195" s="66" t="s">
        <v>568</v>
      </c>
      <c r="B195" s="43" t="s">
        <v>156</v>
      </c>
      <c r="C195" s="43" t="s">
        <v>446</v>
      </c>
      <c r="D195" s="43" t="s">
        <v>519</v>
      </c>
      <c r="E195" s="67" t="s">
        <v>941</v>
      </c>
    </row>
    <row r="196" spans="1:5">
      <c r="A196" s="66" t="s">
        <v>593</v>
      </c>
      <c r="B196" s="43" t="s">
        <v>156</v>
      </c>
      <c r="C196" s="43" t="s">
        <v>456</v>
      </c>
      <c r="D196" s="43" t="s">
        <v>195</v>
      </c>
      <c r="E196" s="67" t="s">
        <v>942</v>
      </c>
    </row>
    <row r="197" spans="1:5">
      <c r="A197" s="66" t="s">
        <v>540</v>
      </c>
      <c r="B197" s="43" t="s">
        <v>156</v>
      </c>
      <c r="C197" s="43" t="s">
        <v>537</v>
      </c>
      <c r="D197" s="43" t="s">
        <v>545</v>
      </c>
      <c r="E197" s="67" t="s">
        <v>943</v>
      </c>
    </row>
    <row r="198" spans="1:5">
      <c r="A198" s="66" t="s">
        <v>596</v>
      </c>
      <c r="B198" s="43" t="s">
        <v>156</v>
      </c>
      <c r="C198" s="43" t="s">
        <v>456</v>
      </c>
      <c r="D198" s="43" t="s">
        <v>519</v>
      </c>
      <c r="E198" s="67" t="s">
        <v>944</v>
      </c>
    </row>
    <row r="199" spans="1:5">
      <c r="A199" s="66" t="s">
        <v>602</v>
      </c>
      <c r="B199" s="43" t="s">
        <v>156</v>
      </c>
      <c r="C199" s="43" t="s">
        <v>164</v>
      </c>
      <c r="D199" s="43" t="s">
        <v>16</v>
      </c>
      <c r="E199" s="67" t="s">
        <v>945</v>
      </c>
    </row>
    <row r="200" spans="1:5">
      <c r="A200" s="66" t="s">
        <v>571</v>
      </c>
      <c r="B200" s="43" t="s">
        <v>156</v>
      </c>
      <c r="C200" s="43" t="s">
        <v>446</v>
      </c>
      <c r="D200" s="43" t="s">
        <v>563</v>
      </c>
      <c r="E200" s="67" t="s">
        <v>946</v>
      </c>
    </row>
    <row r="201" spans="1:5">
      <c r="A201" s="66" t="s">
        <v>558</v>
      </c>
      <c r="B201" s="43" t="s">
        <v>156</v>
      </c>
      <c r="C201" s="43" t="s">
        <v>446</v>
      </c>
      <c r="D201" s="43" t="s">
        <v>562</v>
      </c>
      <c r="E201" s="67" t="s">
        <v>937</v>
      </c>
    </row>
    <row r="203" ht="13.8" spans="1:2">
      <c r="A203" s="63" t="s">
        <v>178</v>
      </c>
      <c r="B203" s="64"/>
    </row>
    <row r="204" ht="13.8" spans="1:5">
      <c r="A204" s="65" t="s">
        <v>1</v>
      </c>
      <c r="B204" s="65" t="s">
        <v>157</v>
      </c>
      <c r="C204" s="65" t="s">
        <v>158</v>
      </c>
      <c r="D204" s="65" t="s">
        <v>7</v>
      </c>
      <c r="E204" s="65" t="s">
        <v>159</v>
      </c>
    </row>
    <row r="205" spans="1:5">
      <c r="A205" s="66" t="s">
        <v>599</v>
      </c>
      <c r="B205" s="43" t="s">
        <v>187</v>
      </c>
      <c r="C205" s="43" t="s">
        <v>456</v>
      </c>
      <c r="D205" s="43" t="s">
        <v>195</v>
      </c>
      <c r="E205" s="67" t="s">
        <v>947</v>
      </c>
    </row>
    <row r="206" spans="1:5">
      <c r="A206" s="66" t="s">
        <v>550</v>
      </c>
      <c r="B206" s="43" t="s">
        <v>179</v>
      </c>
      <c r="C206" s="43" t="s">
        <v>535</v>
      </c>
      <c r="D206" s="43" t="s">
        <v>518</v>
      </c>
      <c r="E206" s="67" t="s">
        <v>948</v>
      </c>
    </row>
    <row r="207" spans="1:5">
      <c r="A207" s="66" t="s">
        <v>568</v>
      </c>
      <c r="B207" s="43" t="s">
        <v>460</v>
      </c>
      <c r="C207" s="43" t="s">
        <v>446</v>
      </c>
      <c r="D207" s="43" t="s">
        <v>519</v>
      </c>
      <c r="E207" s="67" t="s">
        <v>941</v>
      </c>
    </row>
    <row r="208" spans="1:5">
      <c r="A208" s="66" t="s">
        <v>579</v>
      </c>
      <c r="B208" s="43" t="s">
        <v>494</v>
      </c>
      <c r="C208" s="43" t="s">
        <v>446</v>
      </c>
      <c r="D208" s="43" t="s">
        <v>110</v>
      </c>
      <c r="E208" s="67" t="s">
        <v>949</v>
      </c>
    </row>
    <row r="209" spans="1:5">
      <c r="A209" s="66" t="s">
        <v>220</v>
      </c>
      <c r="B209" s="43" t="s">
        <v>455</v>
      </c>
      <c r="C209" s="43" t="s">
        <v>456</v>
      </c>
      <c r="D209" s="43" t="s">
        <v>544</v>
      </c>
      <c r="E209" s="67" t="s">
        <v>950</v>
      </c>
    </row>
    <row r="210" spans="1:5">
      <c r="A210" s="66" t="s">
        <v>214</v>
      </c>
      <c r="B210" s="43" t="s">
        <v>460</v>
      </c>
      <c r="C210" s="43" t="s">
        <v>456</v>
      </c>
      <c r="D210" s="43" t="s">
        <v>244</v>
      </c>
      <c r="E210" s="67" t="s">
        <v>951</v>
      </c>
    </row>
    <row r="211" spans="1:5">
      <c r="A211" s="66" t="s">
        <v>553</v>
      </c>
      <c r="B211" s="43" t="s">
        <v>187</v>
      </c>
      <c r="C211" s="43" t="s">
        <v>535</v>
      </c>
      <c r="D211" s="43" t="s">
        <v>556</v>
      </c>
      <c r="E211" s="67" t="s">
        <v>952</v>
      </c>
    </row>
    <row r="214" ht="15.6" spans="1:2">
      <c r="A214" s="62" t="s">
        <v>155</v>
      </c>
      <c r="B214" s="62"/>
    </row>
    <row r="215" ht="13.8" spans="1:2">
      <c r="A215" s="63" t="s">
        <v>444</v>
      </c>
      <c r="B215" s="64"/>
    </row>
    <row r="216" ht="13.8" spans="1:5">
      <c r="A216" s="65" t="s">
        <v>1</v>
      </c>
      <c r="B216" s="65" t="s">
        <v>157</v>
      </c>
      <c r="C216" s="65" t="s">
        <v>158</v>
      </c>
      <c r="D216" s="65" t="s">
        <v>7</v>
      </c>
      <c r="E216" s="65" t="s">
        <v>159</v>
      </c>
    </row>
    <row r="217" spans="1:5">
      <c r="A217" s="66" t="s">
        <v>671</v>
      </c>
      <c r="B217" s="43" t="s">
        <v>445</v>
      </c>
      <c r="C217" s="43" t="s">
        <v>164</v>
      </c>
      <c r="D217" s="43" t="s">
        <v>27</v>
      </c>
      <c r="E217" s="67" t="s">
        <v>953</v>
      </c>
    </row>
    <row r="218" spans="1:5">
      <c r="A218" s="66" t="s">
        <v>637</v>
      </c>
      <c r="B218" s="43" t="s">
        <v>445</v>
      </c>
      <c r="C218" s="43" t="s">
        <v>456</v>
      </c>
      <c r="D218" s="43" t="s">
        <v>202</v>
      </c>
      <c r="E218" s="67" t="s">
        <v>954</v>
      </c>
    </row>
    <row r="219" spans="1:5">
      <c r="A219" s="66" t="s">
        <v>720</v>
      </c>
      <c r="B219" s="43" t="s">
        <v>445</v>
      </c>
      <c r="C219" s="43" t="s">
        <v>170</v>
      </c>
      <c r="D219" s="43" t="s">
        <v>201</v>
      </c>
      <c r="E219" s="67" t="s">
        <v>955</v>
      </c>
    </row>
    <row r="220" spans="1:5">
      <c r="A220" s="66" t="s">
        <v>625</v>
      </c>
      <c r="B220" s="43" t="s">
        <v>464</v>
      </c>
      <c r="C220" s="43" t="s">
        <v>446</v>
      </c>
      <c r="D220" s="43" t="s">
        <v>517</v>
      </c>
      <c r="E220" s="67" t="s">
        <v>956</v>
      </c>
    </row>
    <row r="221" spans="1:5">
      <c r="A221" s="66" t="s">
        <v>668</v>
      </c>
      <c r="B221" s="43" t="s">
        <v>464</v>
      </c>
      <c r="C221" s="43" t="s">
        <v>164</v>
      </c>
      <c r="D221" s="43" t="s">
        <v>663</v>
      </c>
      <c r="E221" s="67" t="s">
        <v>957</v>
      </c>
    </row>
    <row r="222" spans="1:5">
      <c r="A222" s="66" t="s">
        <v>234</v>
      </c>
      <c r="B222" s="43" t="s">
        <v>464</v>
      </c>
      <c r="C222" s="43" t="s">
        <v>446</v>
      </c>
      <c r="D222" s="43" t="s">
        <v>99</v>
      </c>
      <c r="E222" s="67" t="s">
        <v>958</v>
      </c>
    </row>
    <row r="223" spans="1:5">
      <c r="A223" s="66" t="s">
        <v>621</v>
      </c>
      <c r="B223" s="43" t="s">
        <v>468</v>
      </c>
      <c r="C223" s="43" t="s">
        <v>446</v>
      </c>
      <c r="D223" s="43" t="s">
        <v>110</v>
      </c>
      <c r="E223" s="67" t="s">
        <v>959</v>
      </c>
    </row>
    <row r="224" spans="1:5">
      <c r="A224" s="66" t="s">
        <v>608</v>
      </c>
      <c r="B224" s="43" t="s">
        <v>468</v>
      </c>
      <c r="C224" s="43" t="s">
        <v>537</v>
      </c>
      <c r="D224" s="43" t="s">
        <v>612</v>
      </c>
      <c r="E224" s="67" t="s">
        <v>960</v>
      </c>
    </row>
    <row r="226" ht="13.8" spans="1:2">
      <c r="A226" s="63" t="s">
        <v>448</v>
      </c>
      <c r="B226" s="64"/>
    </row>
    <row r="227" ht="13.8" spans="1:5">
      <c r="A227" s="65" t="s">
        <v>1</v>
      </c>
      <c r="B227" s="65" t="s">
        <v>157</v>
      </c>
      <c r="C227" s="65" t="s">
        <v>158</v>
      </c>
      <c r="D227" s="65" t="s">
        <v>7</v>
      </c>
      <c r="E227" s="65" t="s">
        <v>159</v>
      </c>
    </row>
    <row r="228" spans="1:5">
      <c r="A228" s="66" t="s">
        <v>675</v>
      </c>
      <c r="B228" s="43" t="s">
        <v>450</v>
      </c>
      <c r="C228" s="43" t="s">
        <v>164</v>
      </c>
      <c r="D228" s="43" t="s">
        <v>233</v>
      </c>
      <c r="E228" s="67" t="s">
        <v>961</v>
      </c>
    </row>
    <row r="229" spans="1:5">
      <c r="A229" s="66" t="s">
        <v>774</v>
      </c>
      <c r="B229" s="43" t="s">
        <v>450</v>
      </c>
      <c r="C229" s="43" t="s">
        <v>172</v>
      </c>
      <c r="D229" s="43" t="s">
        <v>141</v>
      </c>
      <c r="E229" s="67" t="s">
        <v>962</v>
      </c>
    </row>
    <row r="230" spans="1:5">
      <c r="A230" s="66" t="s">
        <v>809</v>
      </c>
      <c r="B230" s="43" t="s">
        <v>450</v>
      </c>
      <c r="C230" s="43" t="s">
        <v>163</v>
      </c>
      <c r="D230" s="76" t="s">
        <v>812</v>
      </c>
      <c r="E230" s="75" t="s">
        <v>813</v>
      </c>
    </row>
    <row r="231" spans="1:5">
      <c r="A231" s="66" t="s">
        <v>814</v>
      </c>
      <c r="B231" s="43" t="s">
        <v>450</v>
      </c>
      <c r="C231" s="43" t="s">
        <v>163</v>
      </c>
      <c r="D231" s="43" t="s">
        <v>233</v>
      </c>
      <c r="E231" s="67" t="s">
        <v>963</v>
      </c>
    </row>
    <row r="232" spans="1:5">
      <c r="A232" s="66" t="s">
        <v>628</v>
      </c>
      <c r="B232" s="43" t="s">
        <v>450</v>
      </c>
      <c r="C232" s="43" t="s">
        <v>446</v>
      </c>
      <c r="D232" s="43" t="s">
        <v>605</v>
      </c>
      <c r="E232" s="67" t="s">
        <v>964</v>
      </c>
    </row>
    <row r="233" spans="1:5">
      <c r="A233" s="66" t="s">
        <v>875</v>
      </c>
      <c r="B233" s="43" t="s">
        <v>450</v>
      </c>
      <c r="C233" s="43" t="s">
        <v>167</v>
      </c>
      <c r="D233" s="43" t="s">
        <v>213</v>
      </c>
      <c r="E233" s="67" t="s">
        <v>965</v>
      </c>
    </row>
    <row r="235" ht="13.8" spans="1:2">
      <c r="A235" s="63" t="s">
        <v>156</v>
      </c>
      <c r="B235" s="64"/>
    </row>
    <row r="236" ht="13.8" spans="1:5">
      <c r="A236" s="65" t="s">
        <v>1</v>
      </c>
      <c r="B236" s="65" t="s">
        <v>157</v>
      </c>
      <c r="C236" s="65" t="s">
        <v>158</v>
      </c>
      <c r="D236" s="65" t="s">
        <v>7</v>
      </c>
      <c r="E236" s="65" t="s">
        <v>159</v>
      </c>
    </row>
    <row r="237" spans="1:5">
      <c r="A237" s="66" t="s">
        <v>693</v>
      </c>
      <c r="B237" s="43" t="s">
        <v>156</v>
      </c>
      <c r="C237" s="43" t="s">
        <v>164</v>
      </c>
      <c r="D237" s="43" t="s">
        <v>44</v>
      </c>
      <c r="E237" s="67" t="s">
        <v>966</v>
      </c>
    </row>
    <row r="238" spans="1:5">
      <c r="A238" s="66" t="s">
        <v>818</v>
      </c>
      <c r="B238" s="43" t="s">
        <v>156</v>
      </c>
      <c r="C238" s="43" t="s">
        <v>163</v>
      </c>
      <c r="D238" s="43" t="s">
        <v>135</v>
      </c>
      <c r="E238" s="67" t="s">
        <v>967</v>
      </c>
    </row>
    <row r="239" spans="1:5">
      <c r="A239" s="66" t="s">
        <v>722</v>
      </c>
      <c r="B239" s="43" t="s">
        <v>156</v>
      </c>
      <c r="C239" s="43" t="s">
        <v>170</v>
      </c>
      <c r="D239" s="43" t="s">
        <v>44</v>
      </c>
      <c r="E239" s="67" t="s">
        <v>968</v>
      </c>
    </row>
    <row r="240" spans="1:5">
      <c r="A240" s="66" t="s">
        <v>777</v>
      </c>
      <c r="B240" s="43" t="s">
        <v>156</v>
      </c>
      <c r="C240" s="43" t="s">
        <v>172</v>
      </c>
      <c r="D240" s="43" t="s">
        <v>780</v>
      </c>
      <c r="E240" s="67" t="s">
        <v>969</v>
      </c>
    </row>
    <row r="241" spans="1:5">
      <c r="A241" s="66" t="s">
        <v>644</v>
      </c>
      <c r="B241" s="43" t="s">
        <v>156</v>
      </c>
      <c r="C241" s="43" t="s">
        <v>456</v>
      </c>
      <c r="D241" s="43" t="s">
        <v>27</v>
      </c>
      <c r="E241" s="67" t="s">
        <v>970</v>
      </c>
    </row>
    <row r="242" spans="1:5">
      <c r="A242" s="66" t="s">
        <v>821</v>
      </c>
      <c r="B242" s="43" t="s">
        <v>156</v>
      </c>
      <c r="C242" s="43" t="s">
        <v>163</v>
      </c>
      <c r="D242" s="43" t="s">
        <v>264</v>
      </c>
      <c r="E242" s="67" t="s">
        <v>971</v>
      </c>
    </row>
    <row r="243" spans="1:5">
      <c r="A243" s="66" t="s">
        <v>878</v>
      </c>
      <c r="B243" s="43" t="s">
        <v>156</v>
      </c>
      <c r="C243" s="43" t="s">
        <v>167</v>
      </c>
      <c r="D243" s="43" t="s">
        <v>780</v>
      </c>
      <c r="E243" s="67" t="s">
        <v>972</v>
      </c>
    </row>
    <row r="244" spans="1:5">
      <c r="A244" s="66" t="s">
        <v>729</v>
      </c>
      <c r="B244" s="43" t="s">
        <v>156</v>
      </c>
      <c r="C244" s="43" t="s">
        <v>170</v>
      </c>
      <c r="D244" s="43" t="s">
        <v>733</v>
      </c>
      <c r="E244" s="67" t="s">
        <v>973</v>
      </c>
    </row>
    <row r="245" spans="1:5">
      <c r="A245" s="66" t="s">
        <v>824</v>
      </c>
      <c r="B245" s="43" t="s">
        <v>156</v>
      </c>
      <c r="C245" s="43" t="s">
        <v>163</v>
      </c>
      <c r="D245" s="43" t="s">
        <v>342</v>
      </c>
      <c r="E245" s="67" t="s">
        <v>974</v>
      </c>
    </row>
    <row r="246" spans="1:5">
      <c r="A246" s="66" t="s">
        <v>881</v>
      </c>
      <c r="B246" s="43" t="s">
        <v>156</v>
      </c>
      <c r="C246" s="43" t="s">
        <v>167</v>
      </c>
      <c r="D246" s="43" t="s">
        <v>228</v>
      </c>
      <c r="E246" s="67" t="s">
        <v>975</v>
      </c>
    </row>
    <row r="247" spans="1:5">
      <c r="A247" s="66" t="s">
        <v>912</v>
      </c>
      <c r="B247" s="43" t="s">
        <v>156</v>
      </c>
      <c r="C247" s="43" t="s">
        <v>160</v>
      </c>
      <c r="D247" s="43" t="s">
        <v>264</v>
      </c>
      <c r="E247" s="67" t="s">
        <v>976</v>
      </c>
    </row>
    <row r="248" spans="1:5">
      <c r="A248" s="66" t="s">
        <v>828</v>
      </c>
      <c r="B248" s="43" t="s">
        <v>156</v>
      </c>
      <c r="C248" s="43" t="s">
        <v>163</v>
      </c>
      <c r="D248" s="43" t="s">
        <v>342</v>
      </c>
      <c r="E248" s="67" t="s">
        <v>977</v>
      </c>
    </row>
    <row r="249" spans="1:5">
      <c r="A249" s="66" t="s">
        <v>734</v>
      </c>
      <c r="B249" s="43" t="s">
        <v>156</v>
      </c>
      <c r="C249" s="43" t="s">
        <v>170</v>
      </c>
      <c r="D249" s="43" t="s">
        <v>141</v>
      </c>
      <c r="E249" s="67" t="s">
        <v>978</v>
      </c>
    </row>
    <row r="250" spans="1:5">
      <c r="A250" s="66" t="s">
        <v>736</v>
      </c>
      <c r="B250" s="43" t="s">
        <v>156</v>
      </c>
      <c r="C250" s="43" t="s">
        <v>170</v>
      </c>
      <c r="D250" s="43" t="s">
        <v>141</v>
      </c>
      <c r="E250" s="67" t="s">
        <v>979</v>
      </c>
    </row>
    <row r="251" spans="1:5">
      <c r="A251" s="66" t="s">
        <v>831</v>
      </c>
      <c r="B251" s="43" t="s">
        <v>156</v>
      </c>
      <c r="C251" s="43" t="s">
        <v>163</v>
      </c>
      <c r="D251" s="43" t="s">
        <v>44</v>
      </c>
      <c r="E251" s="67" t="s">
        <v>980</v>
      </c>
    </row>
    <row r="252" spans="1:5">
      <c r="A252" s="66" t="s">
        <v>614</v>
      </c>
      <c r="B252" s="43" t="s">
        <v>156</v>
      </c>
      <c r="C252" s="43" t="s">
        <v>458</v>
      </c>
      <c r="D252" s="43" t="s">
        <v>268</v>
      </c>
      <c r="E252" s="67" t="s">
        <v>981</v>
      </c>
    </row>
    <row r="253" spans="1:5">
      <c r="A253" s="66" t="s">
        <v>246</v>
      </c>
      <c r="B253" s="43" t="s">
        <v>156</v>
      </c>
      <c r="C253" s="43" t="s">
        <v>456</v>
      </c>
      <c r="D253" s="43" t="s">
        <v>207</v>
      </c>
      <c r="E253" s="67" t="s">
        <v>982</v>
      </c>
    </row>
    <row r="254" spans="1:5">
      <c r="A254" s="66" t="s">
        <v>781</v>
      </c>
      <c r="B254" s="43" t="s">
        <v>156</v>
      </c>
      <c r="C254" s="43" t="s">
        <v>172</v>
      </c>
      <c r="D254" s="43" t="s">
        <v>28</v>
      </c>
      <c r="E254" s="67" t="s">
        <v>983</v>
      </c>
    </row>
    <row r="255" spans="1:5">
      <c r="A255" s="66" t="s">
        <v>739</v>
      </c>
      <c r="B255" s="43" t="s">
        <v>156</v>
      </c>
      <c r="C255" s="43" t="s">
        <v>170</v>
      </c>
      <c r="D255" s="43" t="s">
        <v>27</v>
      </c>
      <c r="E255" s="67" t="s">
        <v>984</v>
      </c>
    </row>
    <row r="256" spans="1:5">
      <c r="A256" s="66" t="s">
        <v>742</v>
      </c>
      <c r="B256" s="43" t="s">
        <v>156</v>
      </c>
      <c r="C256" s="43" t="s">
        <v>170</v>
      </c>
      <c r="D256" s="43" t="s">
        <v>27</v>
      </c>
      <c r="E256" s="67" t="s">
        <v>985</v>
      </c>
    </row>
    <row r="257" spans="1:5">
      <c r="A257" s="66" t="s">
        <v>835</v>
      </c>
      <c r="B257" s="43" t="s">
        <v>156</v>
      </c>
      <c r="C257" s="43" t="s">
        <v>163</v>
      </c>
      <c r="D257" s="43" t="s">
        <v>28</v>
      </c>
      <c r="E257" s="67" t="s">
        <v>986</v>
      </c>
    </row>
    <row r="258" spans="1:5">
      <c r="A258" s="66" t="s">
        <v>783</v>
      </c>
      <c r="B258" s="43" t="s">
        <v>156</v>
      </c>
      <c r="C258" s="43" t="s">
        <v>172</v>
      </c>
      <c r="D258" s="43" t="s">
        <v>647</v>
      </c>
      <c r="E258" s="67" t="s">
        <v>987</v>
      </c>
    </row>
    <row r="259" spans="1:5">
      <c r="A259" s="66" t="s">
        <v>652</v>
      </c>
      <c r="B259" s="43" t="s">
        <v>156</v>
      </c>
      <c r="C259" s="43" t="s">
        <v>456</v>
      </c>
      <c r="D259" s="43" t="s">
        <v>147</v>
      </c>
      <c r="E259" s="67" t="s">
        <v>988</v>
      </c>
    </row>
    <row r="260" spans="1:5">
      <c r="A260" s="66" t="s">
        <v>915</v>
      </c>
      <c r="B260" s="43" t="s">
        <v>156</v>
      </c>
      <c r="C260" s="43" t="s">
        <v>160</v>
      </c>
      <c r="D260" s="43" t="s">
        <v>834</v>
      </c>
      <c r="E260" s="67" t="s">
        <v>989</v>
      </c>
    </row>
    <row r="262" ht="13.8" spans="1:2">
      <c r="A262" s="63" t="s">
        <v>178</v>
      </c>
      <c r="B262" s="64"/>
    </row>
    <row r="263" ht="13.8" spans="1:5">
      <c r="A263" s="65" t="s">
        <v>1</v>
      </c>
      <c r="B263" s="65" t="s">
        <v>157</v>
      </c>
      <c r="C263" s="65" t="s">
        <v>158</v>
      </c>
      <c r="D263" s="65" t="s">
        <v>7</v>
      </c>
      <c r="E263" s="65" t="s">
        <v>159</v>
      </c>
    </row>
    <row r="264" spans="1:5">
      <c r="A264" s="66" t="s">
        <v>800</v>
      </c>
      <c r="B264" s="43" t="s">
        <v>181</v>
      </c>
      <c r="C264" s="43" t="s">
        <v>172</v>
      </c>
      <c r="D264" s="43" t="s">
        <v>44</v>
      </c>
      <c r="E264" s="67" t="s">
        <v>990</v>
      </c>
    </row>
    <row r="265" spans="1:5">
      <c r="A265" s="66" t="s">
        <v>861</v>
      </c>
      <c r="B265" s="43" t="s">
        <v>187</v>
      </c>
      <c r="C265" s="43" t="s">
        <v>163</v>
      </c>
      <c r="D265" s="43" t="s">
        <v>124</v>
      </c>
      <c r="E265" s="67" t="s">
        <v>991</v>
      </c>
    </row>
    <row r="266" spans="1:5">
      <c r="A266" s="66" t="s">
        <v>748</v>
      </c>
      <c r="B266" s="43" t="s">
        <v>179</v>
      </c>
      <c r="C266" s="43" t="s">
        <v>170</v>
      </c>
      <c r="D266" s="43" t="s">
        <v>135</v>
      </c>
      <c r="E266" s="67" t="s">
        <v>992</v>
      </c>
    </row>
    <row r="267" spans="1:5">
      <c r="A267" s="66" t="s">
        <v>873</v>
      </c>
      <c r="B267" s="43" t="s">
        <v>502</v>
      </c>
      <c r="C267" s="43" t="s">
        <v>163</v>
      </c>
      <c r="D267" s="43" t="s">
        <v>207</v>
      </c>
      <c r="E267" s="67" t="s">
        <v>993</v>
      </c>
    </row>
    <row r="268" spans="1:5">
      <c r="A268" s="66" t="s">
        <v>852</v>
      </c>
      <c r="B268" s="43" t="s">
        <v>179</v>
      </c>
      <c r="C268" s="43" t="s">
        <v>163</v>
      </c>
      <c r="D268" s="43" t="s">
        <v>124</v>
      </c>
      <c r="E268" s="67" t="s">
        <v>994</v>
      </c>
    </row>
    <row r="269" spans="1:5">
      <c r="A269" s="66" t="s">
        <v>818</v>
      </c>
      <c r="B269" s="43" t="s">
        <v>179</v>
      </c>
      <c r="C269" s="43" t="s">
        <v>163</v>
      </c>
      <c r="D269" s="43" t="s">
        <v>135</v>
      </c>
      <c r="E269" s="67" t="s">
        <v>995</v>
      </c>
    </row>
    <row r="270" spans="1:5">
      <c r="A270" s="66" t="s">
        <v>46</v>
      </c>
      <c r="B270" s="43" t="s">
        <v>181</v>
      </c>
      <c r="C270" s="43" t="s">
        <v>170</v>
      </c>
      <c r="D270" s="43" t="s">
        <v>140</v>
      </c>
      <c r="E270" s="67" t="s">
        <v>996</v>
      </c>
    </row>
    <row r="271" spans="1:5">
      <c r="A271" s="66" t="s">
        <v>838</v>
      </c>
      <c r="B271" s="43" t="s">
        <v>460</v>
      </c>
      <c r="C271" s="43" t="s">
        <v>163</v>
      </c>
      <c r="D271" s="43" t="s">
        <v>33</v>
      </c>
      <c r="E271" s="67" t="s">
        <v>997</v>
      </c>
    </row>
    <row r="272" spans="1:5">
      <c r="A272" s="66" t="s">
        <v>700</v>
      </c>
      <c r="B272" s="43" t="s">
        <v>455</v>
      </c>
      <c r="C272" s="43" t="s">
        <v>164</v>
      </c>
      <c r="D272" s="43" t="s">
        <v>528</v>
      </c>
      <c r="E272" s="67" t="s">
        <v>998</v>
      </c>
    </row>
    <row r="273" spans="1:5">
      <c r="A273" s="66" t="s">
        <v>767</v>
      </c>
      <c r="B273" s="43" t="s">
        <v>181</v>
      </c>
      <c r="C273" s="43" t="s">
        <v>170</v>
      </c>
      <c r="D273" s="43" t="s">
        <v>233</v>
      </c>
      <c r="E273" s="67" t="s">
        <v>999</v>
      </c>
    </row>
    <row r="274" spans="1:5">
      <c r="A274" s="66" t="s">
        <v>12</v>
      </c>
      <c r="B274" s="43" t="s">
        <v>1000</v>
      </c>
      <c r="C274" s="43" t="s">
        <v>164</v>
      </c>
      <c r="D274" s="43" t="s">
        <v>524</v>
      </c>
      <c r="E274" s="67" t="s">
        <v>1001</v>
      </c>
    </row>
    <row r="275" spans="1:5">
      <c r="A275" s="66" t="s">
        <v>759</v>
      </c>
      <c r="B275" s="43" t="s">
        <v>179</v>
      </c>
      <c r="C275" s="43" t="s">
        <v>170</v>
      </c>
      <c r="D275" s="43" t="s">
        <v>647</v>
      </c>
      <c r="E275" s="67" t="s">
        <v>1002</v>
      </c>
    </row>
    <row r="276" spans="1:5">
      <c r="A276" s="66" t="s">
        <v>710</v>
      </c>
      <c r="B276" s="43" t="s">
        <v>1003</v>
      </c>
      <c r="C276" s="43" t="s">
        <v>164</v>
      </c>
      <c r="D276" s="43" t="s">
        <v>16</v>
      </c>
      <c r="E276" s="67" t="s">
        <v>1004</v>
      </c>
    </row>
    <row r="277" spans="1:5">
      <c r="A277" s="66" t="s">
        <v>912</v>
      </c>
      <c r="B277" s="43" t="s">
        <v>179</v>
      </c>
      <c r="C277" s="43" t="s">
        <v>160</v>
      </c>
      <c r="D277" s="43" t="s">
        <v>264</v>
      </c>
      <c r="E277" s="67" t="s">
        <v>1005</v>
      </c>
    </row>
    <row r="278" spans="1:5">
      <c r="A278" s="66" t="s">
        <v>891</v>
      </c>
      <c r="B278" s="43" t="s">
        <v>179</v>
      </c>
      <c r="C278" s="43" t="s">
        <v>167</v>
      </c>
      <c r="D278" s="43" t="s">
        <v>44</v>
      </c>
      <c r="E278" s="67" t="s">
        <v>1006</v>
      </c>
    </row>
    <row r="279" spans="1:5">
      <c r="A279" s="66" t="s">
        <v>841</v>
      </c>
      <c r="B279" s="43" t="s">
        <v>460</v>
      </c>
      <c r="C279" s="43" t="s">
        <v>163</v>
      </c>
      <c r="D279" s="43" t="s">
        <v>227</v>
      </c>
      <c r="E279" s="67" t="s">
        <v>1007</v>
      </c>
    </row>
    <row r="280" spans="1:5">
      <c r="A280" s="66" t="s">
        <v>867</v>
      </c>
      <c r="B280" s="43" t="s">
        <v>455</v>
      </c>
      <c r="C280" s="43" t="s">
        <v>163</v>
      </c>
      <c r="D280" s="43" t="s">
        <v>147</v>
      </c>
      <c r="E280" s="67" t="s">
        <v>1008</v>
      </c>
    </row>
    <row r="281" spans="1:5">
      <c r="A281" s="66" t="s">
        <v>736</v>
      </c>
      <c r="B281" s="43" t="s">
        <v>460</v>
      </c>
      <c r="C281" s="43" t="s">
        <v>170</v>
      </c>
      <c r="D281" s="43" t="s">
        <v>141</v>
      </c>
      <c r="E281" s="67" t="s">
        <v>1009</v>
      </c>
    </row>
    <row r="282" spans="1:5">
      <c r="A282" s="66" t="s">
        <v>618</v>
      </c>
      <c r="B282" s="43" t="s">
        <v>494</v>
      </c>
      <c r="C282" s="43" t="s">
        <v>458</v>
      </c>
      <c r="D282" s="43" t="s">
        <v>561</v>
      </c>
      <c r="E282" s="67" t="s">
        <v>1010</v>
      </c>
    </row>
    <row r="283" spans="1:5">
      <c r="A283" s="66" t="s">
        <v>103</v>
      </c>
      <c r="B283" s="43" t="s">
        <v>179</v>
      </c>
      <c r="C283" s="43" t="s">
        <v>167</v>
      </c>
      <c r="D283" s="43" t="s">
        <v>834</v>
      </c>
      <c r="E283" s="67" t="s">
        <v>1011</v>
      </c>
    </row>
    <row r="284" spans="1:5">
      <c r="A284" s="66" t="s">
        <v>893</v>
      </c>
      <c r="B284" s="43" t="s">
        <v>179</v>
      </c>
      <c r="C284" s="43" t="s">
        <v>167</v>
      </c>
      <c r="D284" s="43" t="s">
        <v>827</v>
      </c>
      <c r="E284" s="67" t="s">
        <v>1012</v>
      </c>
    </row>
    <row r="285" spans="1:5">
      <c r="A285" s="66" t="s">
        <v>781</v>
      </c>
      <c r="B285" s="43" t="s">
        <v>460</v>
      </c>
      <c r="C285" s="43" t="s">
        <v>172</v>
      </c>
      <c r="D285" s="43" t="s">
        <v>28</v>
      </c>
      <c r="E285" s="67" t="s">
        <v>1013</v>
      </c>
    </row>
    <row r="286" spans="1:5">
      <c r="A286" s="66" t="s">
        <v>790</v>
      </c>
      <c r="B286" s="43" t="s">
        <v>187</v>
      </c>
      <c r="C286" s="43" t="s">
        <v>172</v>
      </c>
      <c r="D286" s="43" t="s">
        <v>140</v>
      </c>
      <c r="E286" s="67" t="s">
        <v>1014</v>
      </c>
    </row>
    <row r="287" spans="1:5">
      <c r="A287" s="66" t="s">
        <v>915</v>
      </c>
      <c r="B287" s="43" t="s">
        <v>179</v>
      </c>
      <c r="C287" s="43" t="s">
        <v>160</v>
      </c>
      <c r="D287" s="43" t="s">
        <v>834</v>
      </c>
      <c r="E287" s="67" t="s">
        <v>1015</v>
      </c>
    </row>
  </sheetData>
  <sheetProtection selectLockedCells="1" selectUnlockedCells="1"/>
  <mergeCells count="26">
    <mergeCell ref="F3:I3"/>
    <mergeCell ref="A5:K5"/>
    <mergeCell ref="A8:K8"/>
    <mergeCell ref="A13:K13"/>
    <mergeCell ref="A23:K23"/>
    <mergeCell ref="A32:K32"/>
    <mergeCell ref="A36:K36"/>
    <mergeCell ref="A39:K39"/>
    <mergeCell ref="A43:K43"/>
    <mergeCell ref="A51:K51"/>
    <mergeCell ref="A64:K64"/>
    <mergeCell ref="A83:K83"/>
    <mergeCell ref="A104:K104"/>
    <mergeCell ref="A119:K119"/>
    <mergeCell ref="A145:K145"/>
    <mergeCell ref="A162:K162"/>
    <mergeCell ref="A171:K171"/>
    <mergeCell ref="A3:A4"/>
    <mergeCell ref="B3:B4"/>
    <mergeCell ref="C3:C4"/>
    <mergeCell ref="D3:D4"/>
    <mergeCell ref="E3:E4"/>
    <mergeCell ref="J3:J4"/>
    <mergeCell ref="K3:K4"/>
    <mergeCell ref="L3:L4"/>
    <mergeCell ref="A1:L2"/>
  </mergeCells>
  <pageMargins left="0.75" right="0.75" top="0.979861111111111" bottom="0.979861111111111" header="0.509722222222222" footer="0.509722222222222"/>
  <pageSetup paperSize="9" fitToWidth="0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1"/>
  <sheetViews>
    <sheetView tabSelected="1" topLeftCell="A38" workbookViewId="0">
      <selection activeCell="O23" sqref="O23"/>
    </sheetView>
  </sheetViews>
  <sheetFormatPr defaultColWidth="8.88888888888889" defaultRowHeight="13.2"/>
  <cols>
    <col min="1" max="1" width="24.8796296296296" style="43"/>
    <col min="2" max="2" width="26.5555555555556" style="43"/>
    <col min="3" max="3" width="7.55555555555556" style="43"/>
    <col min="4" max="4" width="6.55555555555556" style="43"/>
    <col min="5" max="5" width="17" style="43"/>
    <col min="6" max="9" width="5.55555555555556" style="43"/>
    <col min="10" max="10" width="6.33333333333333" style="44"/>
    <col min="11" max="11" width="8.55555555555556" style="43"/>
    <col min="12" max="12" width="12.1111111111111" style="43"/>
  </cols>
  <sheetData>
    <row r="1" s="5" customFormat="1" ht="15" customHeight="1" spans="1:12">
      <c r="A1" s="6" t="s">
        <v>1016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5" customFormat="1" ht="51.7" customHeigh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12.75" customHeight="1" spans="1:12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190</v>
      </c>
      <c r="G3" s="10"/>
      <c r="H3" s="10"/>
      <c r="I3" s="10"/>
      <c r="J3" s="55" t="s">
        <v>7</v>
      </c>
      <c r="K3" s="9" t="s">
        <v>8</v>
      </c>
      <c r="L3" s="33" t="s">
        <v>9</v>
      </c>
    </row>
    <row r="4" s="1" customFormat="1" ht="23.25" customHeight="1" spans="1:12">
      <c r="A4" s="7"/>
      <c r="B4" s="8"/>
      <c r="C4" s="8"/>
      <c r="D4" s="8"/>
      <c r="E4" s="8"/>
      <c r="F4" s="11">
        <v>1</v>
      </c>
      <c r="G4" s="12">
        <v>2</v>
      </c>
      <c r="H4" s="12">
        <v>3</v>
      </c>
      <c r="I4" s="31" t="s">
        <v>10</v>
      </c>
      <c r="J4" s="55"/>
      <c r="K4" s="9"/>
      <c r="L4" s="33"/>
    </row>
    <row r="5" ht="15.6" spans="1:11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>
      <c r="A6" s="48" t="s">
        <v>1017</v>
      </c>
      <c r="B6" s="48" t="s">
        <v>1018</v>
      </c>
      <c r="C6" s="48" t="s">
        <v>248</v>
      </c>
      <c r="D6" s="48" t="str">
        <f ca="1" t="shared" ref="D6:D7" si="0">"0,6885"</f>
        <v>0,6885</v>
      </c>
      <c r="E6" s="48" t="s">
        <v>49</v>
      </c>
      <c r="F6" s="48" t="s">
        <v>33</v>
      </c>
      <c r="G6" s="48" t="s">
        <v>22</v>
      </c>
      <c r="H6" s="49" t="s">
        <v>1019</v>
      </c>
      <c r="I6" s="49"/>
      <c r="J6" s="57">
        <v>265</v>
      </c>
      <c r="K6" s="48" t="str">
        <f ca="1">"182,4657"</f>
        <v>182,4657</v>
      </c>
      <c r="L6" s="48" t="s">
        <v>1020</v>
      </c>
    </row>
    <row r="7" spans="1:12">
      <c r="A7" s="53" t="s">
        <v>1021</v>
      </c>
      <c r="B7" s="53" t="s">
        <v>1022</v>
      </c>
      <c r="C7" s="53" t="s">
        <v>248</v>
      </c>
      <c r="D7" s="53" t="str">
        <f ca="1" t="shared" si="0"/>
        <v>0,6885</v>
      </c>
      <c r="E7" s="53" t="s">
        <v>49</v>
      </c>
      <c r="F7" s="53" t="s">
        <v>233</v>
      </c>
      <c r="G7" s="50" t="s">
        <v>141</v>
      </c>
      <c r="H7" s="50" t="s">
        <v>226</v>
      </c>
      <c r="I7" s="54"/>
      <c r="J7" s="58">
        <v>205</v>
      </c>
      <c r="K7" s="53" t="s">
        <v>1023</v>
      </c>
      <c r="L7" s="53"/>
    </row>
    <row r="8" spans="1:12">
      <c r="A8" s="53" t="s">
        <v>1024</v>
      </c>
      <c r="B8" s="53" t="s">
        <v>1025</v>
      </c>
      <c r="C8" s="53" t="s">
        <v>1026</v>
      </c>
      <c r="D8" s="53" t="str">
        <f ca="1">"0,6955"</f>
        <v>0,6955</v>
      </c>
      <c r="E8" s="53" t="s">
        <v>686</v>
      </c>
      <c r="F8" s="53" t="s">
        <v>213</v>
      </c>
      <c r="G8" s="54"/>
      <c r="H8" s="54"/>
      <c r="I8" s="54"/>
      <c r="J8" s="59" t="s">
        <v>213</v>
      </c>
      <c r="K8" s="53" t="s">
        <v>1027</v>
      </c>
      <c r="L8" s="53"/>
    </row>
    <row r="9" spans="1:12">
      <c r="A9" s="50" t="s">
        <v>1021</v>
      </c>
      <c r="B9" s="50" t="s">
        <v>1028</v>
      </c>
      <c r="C9" s="50" t="s">
        <v>248</v>
      </c>
      <c r="D9" s="50" t="str">
        <f ca="1">"0,8152"</f>
        <v>0,8152</v>
      </c>
      <c r="E9" s="50" t="s">
        <v>49</v>
      </c>
      <c r="F9" s="50" t="s">
        <v>233</v>
      </c>
      <c r="G9" s="50" t="s">
        <v>141</v>
      </c>
      <c r="H9" s="50" t="s">
        <v>226</v>
      </c>
      <c r="I9" s="51"/>
      <c r="J9" s="58">
        <v>205</v>
      </c>
      <c r="K9" s="50" t="str">
        <f ca="1">"167,1249"</f>
        <v>167,1249</v>
      </c>
      <c r="L9" s="50"/>
    </row>
    <row r="11" ht="15.6" spans="1:11">
      <c r="A11" s="47" t="s">
        <v>17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2">
      <c r="A12" s="48" t="s">
        <v>1029</v>
      </c>
      <c r="B12" s="48" t="s">
        <v>1030</v>
      </c>
      <c r="C12" s="48" t="s">
        <v>1031</v>
      </c>
      <c r="D12" s="48" t="str">
        <f ca="1">"0,6461"</f>
        <v>0,6461</v>
      </c>
      <c r="E12" s="48" t="s">
        <v>1032</v>
      </c>
      <c r="F12" s="49" t="s">
        <v>33</v>
      </c>
      <c r="G12" s="49"/>
      <c r="H12" s="49"/>
      <c r="I12" s="49"/>
      <c r="J12" s="57">
        <v>0</v>
      </c>
      <c r="K12" s="48" t="str">
        <f ca="1">"0,0000"</f>
        <v>0,0000</v>
      </c>
      <c r="L12" s="48"/>
    </row>
    <row r="13" spans="1:12">
      <c r="A13" s="53" t="s">
        <v>1033</v>
      </c>
      <c r="B13" s="53" t="s">
        <v>1034</v>
      </c>
      <c r="C13" s="53" t="s">
        <v>1035</v>
      </c>
      <c r="D13" s="53" t="str">
        <f ca="1">"0,6718"</f>
        <v>0,6718</v>
      </c>
      <c r="E13" s="53" t="s">
        <v>49</v>
      </c>
      <c r="F13" s="54" t="s">
        <v>245</v>
      </c>
      <c r="G13" s="53" t="s">
        <v>245</v>
      </c>
      <c r="H13" s="53" t="s">
        <v>123</v>
      </c>
      <c r="I13" s="54"/>
      <c r="J13" s="59">
        <v>125</v>
      </c>
      <c r="K13" s="53" t="str">
        <f ca="1">"83,9750"</f>
        <v>83,9750</v>
      </c>
      <c r="L13" s="53"/>
    </row>
    <row r="14" spans="1:12">
      <c r="A14" s="53" t="s">
        <v>1036</v>
      </c>
      <c r="B14" s="53" t="s">
        <v>1037</v>
      </c>
      <c r="C14" s="53" t="s">
        <v>1038</v>
      </c>
      <c r="D14" s="53" t="str">
        <f ca="1">"0,6651"</f>
        <v>0,6651</v>
      </c>
      <c r="E14" s="53" t="s">
        <v>49</v>
      </c>
      <c r="F14" s="53" t="s">
        <v>227</v>
      </c>
      <c r="G14" s="53" t="s">
        <v>264</v>
      </c>
      <c r="H14" s="53" t="s">
        <v>50</v>
      </c>
      <c r="I14" s="54"/>
      <c r="J14" s="59">
        <v>235</v>
      </c>
      <c r="K14" s="53" t="str">
        <f ca="1">"156,2980"</f>
        <v>156,2980</v>
      </c>
      <c r="L14" s="53"/>
    </row>
    <row r="15" spans="1:12">
      <c r="A15" s="50" t="s">
        <v>712</v>
      </c>
      <c r="B15" s="50" t="s">
        <v>713</v>
      </c>
      <c r="C15" s="50" t="s">
        <v>714</v>
      </c>
      <c r="D15" s="50" t="str">
        <f ca="1">"1,3507"</f>
        <v>1,3507</v>
      </c>
      <c r="E15" s="50" t="s">
        <v>49</v>
      </c>
      <c r="F15" s="50" t="s">
        <v>591</v>
      </c>
      <c r="G15" s="50" t="s">
        <v>605</v>
      </c>
      <c r="H15" s="51" t="s">
        <v>1039</v>
      </c>
      <c r="I15" s="51"/>
      <c r="J15" s="58">
        <v>120</v>
      </c>
      <c r="K15" s="50" t="str">
        <f ca="1">"162,0802"</f>
        <v>162,0802</v>
      </c>
      <c r="L15" s="50"/>
    </row>
    <row r="17" ht="15.6" spans="1:11">
      <c r="A17" s="47" t="s">
        <v>35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2">
      <c r="A18" s="48" t="s">
        <v>1040</v>
      </c>
      <c r="B18" s="48" t="s">
        <v>1041</v>
      </c>
      <c r="C18" s="48" t="s">
        <v>43</v>
      </c>
      <c r="D18" s="48" t="str">
        <f ca="1">"0,6126"</f>
        <v>0,6126</v>
      </c>
      <c r="E18" s="48" t="s">
        <v>1042</v>
      </c>
      <c r="F18" s="48" t="s">
        <v>52</v>
      </c>
      <c r="G18" s="48" t="s">
        <v>22</v>
      </c>
      <c r="H18" s="49" t="s">
        <v>24</v>
      </c>
      <c r="I18" s="49"/>
      <c r="J18" s="57">
        <v>265</v>
      </c>
      <c r="K18" s="48" t="str">
        <f ca="1">"162,3390"</f>
        <v>162,3390</v>
      </c>
      <c r="L18" s="48"/>
    </row>
    <row r="19" spans="1:12">
      <c r="A19" s="53" t="s">
        <v>300</v>
      </c>
      <c r="B19" s="53" t="s">
        <v>1043</v>
      </c>
      <c r="C19" s="53" t="s">
        <v>302</v>
      </c>
      <c r="D19" s="53" t="str">
        <f ca="1">"0,6157"</f>
        <v>0,6157</v>
      </c>
      <c r="E19" s="53" t="s">
        <v>49</v>
      </c>
      <c r="F19" s="53" t="s">
        <v>28</v>
      </c>
      <c r="G19" s="53" t="s">
        <v>88</v>
      </c>
      <c r="H19" s="54"/>
      <c r="I19" s="54"/>
      <c r="J19" s="59">
        <v>230</v>
      </c>
      <c r="K19" s="53" t="str">
        <f ca="1">"141,6110"</f>
        <v>141,6110</v>
      </c>
      <c r="L19" s="53"/>
    </row>
    <row r="20" spans="1:12">
      <c r="A20" s="53" t="s">
        <v>297</v>
      </c>
      <c r="B20" s="53" t="s">
        <v>298</v>
      </c>
      <c r="C20" s="53" t="s">
        <v>299</v>
      </c>
      <c r="D20" s="53" t="str">
        <f ca="1">"0,6188"</f>
        <v>0,6188</v>
      </c>
      <c r="E20" s="53" t="s">
        <v>49</v>
      </c>
      <c r="F20" s="53" t="s">
        <v>140</v>
      </c>
      <c r="G20" s="53" t="s">
        <v>226</v>
      </c>
      <c r="H20" s="53" t="s">
        <v>227</v>
      </c>
      <c r="I20" s="54"/>
      <c r="J20" s="59">
        <v>215</v>
      </c>
      <c r="K20" s="53" t="str">
        <f ca="1">"133,0527"</f>
        <v>133,0527</v>
      </c>
      <c r="L20" s="53"/>
    </row>
    <row r="21" spans="1:12">
      <c r="A21" s="53" t="s">
        <v>1044</v>
      </c>
      <c r="B21" s="53" t="s">
        <v>1045</v>
      </c>
      <c r="C21" s="53" t="s">
        <v>726</v>
      </c>
      <c r="D21" s="53" t="str">
        <f ca="1">"0,6384"</f>
        <v>0,6384</v>
      </c>
      <c r="E21" s="53" t="s">
        <v>686</v>
      </c>
      <c r="F21" s="54" t="s">
        <v>407</v>
      </c>
      <c r="G21" s="54" t="s">
        <v>407</v>
      </c>
      <c r="H21" s="53" t="s">
        <v>407</v>
      </c>
      <c r="I21" s="54"/>
      <c r="J21" s="59">
        <v>282.5</v>
      </c>
      <c r="K21" s="53" t="str">
        <f ca="1">"180,3612"</f>
        <v>180,3612</v>
      </c>
      <c r="L21" s="53"/>
    </row>
    <row r="22" spans="1:12">
      <c r="A22" s="53" t="s">
        <v>1046</v>
      </c>
      <c r="B22" s="53" t="s">
        <v>1047</v>
      </c>
      <c r="C22" s="53" t="s">
        <v>1048</v>
      </c>
      <c r="D22" s="53" t="str">
        <f ca="1">"0,6241"</f>
        <v>0,6241</v>
      </c>
      <c r="E22" s="48" t="s">
        <v>1042</v>
      </c>
      <c r="F22" s="54" t="s">
        <v>40</v>
      </c>
      <c r="G22" s="54" t="s">
        <v>22</v>
      </c>
      <c r="H22" s="54" t="s">
        <v>24</v>
      </c>
      <c r="I22" s="54"/>
      <c r="J22" s="59">
        <v>0</v>
      </c>
      <c r="K22" s="53" t="str">
        <f ca="1">"0,0000"</f>
        <v>0,0000</v>
      </c>
      <c r="L22" s="53"/>
    </row>
    <row r="23" spans="1:12">
      <c r="A23" s="53" t="s">
        <v>300</v>
      </c>
      <c r="B23" s="53" t="s">
        <v>301</v>
      </c>
      <c r="C23" s="53" t="s">
        <v>302</v>
      </c>
      <c r="D23" s="53" t="str">
        <f ca="1">"0,7062"</f>
        <v>0,7062</v>
      </c>
      <c r="E23" s="53" t="s">
        <v>49</v>
      </c>
      <c r="F23" s="53" t="s">
        <v>28</v>
      </c>
      <c r="G23" s="53" t="s">
        <v>88</v>
      </c>
      <c r="H23" s="54"/>
      <c r="I23" s="54"/>
      <c r="J23" s="59">
        <v>230</v>
      </c>
      <c r="K23" s="53" t="str">
        <f ca="1">"162,4278"</f>
        <v>162,4278</v>
      </c>
      <c r="L23" s="53"/>
    </row>
    <row r="24" spans="1:12">
      <c r="A24" s="50" t="s">
        <v>1049</v>
      </c>
      <c r="B24" s="50" t="s">
        <v>1050</v>
      </c>
      <c r="C24" s="50" t="s">
        <v>1048</v>
      </c>
      <c r="D24" s="50" t="str">
        <f ca="1">"0,8046"</f>
        <v>0,8046</v>
      </c>
      <c r="E24" s="50" t="s">
        <v>49</v>
      </c>
      <c r="F24" s="50" t="s">
        <v>227</v>
      </c>
      <c r="G24" s="50" t="s">
        <v>264</v>
      </c>
      <c r="H24" s="50" t="s">
        <v>50</v>
      </c>
      <c r="I24" s="51"/>
      <c r="J24" s="58">
        <v>235</v>
      </c>
      <c r="K24" s="50" t="str">
        <f ca="1">"189,0770"</f>
        <v>189,0770</v>
      </c>
      <c r="L24" s="50"/>
    </row>
    <row r="26" ht="15.6" spans="1:11">
      <c r="A26" s="47" t="s">
        <v>53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  <row r="27" spans="1:12">
      <c r="A27" s="48" t="s">
        <v>1051</v>
      </c>
      <c r="B27" s="48" t="s">
        <v>1052</v>
      </c>
      <c r="C27" s="48" t="s">
        <v>1053</v>
      </c>
      <c r="D27" s="48" t="str">
        <f ca="1">"0,5896"</f>
        <v>0,5896</v>
      </c>
      <c r="E27" s="48" t="s">
        <v>283</v>
      </c>
      <c r="F27" s="48" t="s">
        <v>44</v>
      </c>
      <c r="G27" s="48" t="s">
        <v>252</v>
      </c>
      <c r="H27" s="48" t="s">
        <v>88</v>
      </c>
      <c r="I27" s="48" t="s">
        <v>50</v>
      </c>
      <c r="J27" s="57">
        <v>230</v>
      </c>
      <c r="K27" s="48" t="str">
        <f ca="1">"135,6195"</f>
        <v>135,6195</v>
      </c>
      <c r="L27" s="48"/>
    </row>
    <row r="28" spans="1:12">
      <c r="A28" s="50" t="s">
        <v>331</v>
      </c>
      <c r="B28" s="50" t="s">
        <v>332</v>
      </c>
      <c r="C28" s="50" t="s">
        <v>333</v>
      </c>
      <c r="D28" s="50" t="str">
        <f ca="1">"0,5900"</f>
        <v>0,5900</v>
      </c>
      <c r="E28" s="50" t="s">
        <v>240</v>
      </c>
      <c r="F28" s="51" t="s">
        <v>118</v>
      </c>
      <c r="G28" s="51"/>
      <c r="H28" s="51"/>
      <c r="I28" s="51"/>
      <c r="J28" s="58">
        <v>0</v>
      </c>
      <c r="K28" s="50" t="str">
        <f ca="1">"0,0000"</f>
        <v>0,0000</v>
      </c>
      <c r="L28" s="50"/>
    </row>
    <row r="30" ht="15.6" spans="1:11">
      <c r="A30" s="47" t="s">
        <v>57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2">
      <c r="A31" s="48" t="s">
        <v>1054</v>
      </c>
      <c r="B31" s="48" t="s">
        <v>1055</v>
      </c>
      <c r="C31" s="48" t="s">
        <v>857</v>
      </c>
      <c r="D31" s="48" t="str">
        <f ca="1">"0,5641"</f>
        <v>0,5641</v>
      </c>
      <c r="E31" s="48" t="s">
        <v>49</v>
      </c>
      <c r="F31" s="48" t="s">
        <v>117</v>
      </c>
      <c r="G31" s="48" t="s">
        <v>62</v>
      </c>
      <c r="H31" s="49" t="s">
        <v>129</v>
      </c>
      <c r="I31" s="49"/>
      <c r="J31" s="57">
        <v>330</v>
      </c>
      <c r="K31" s="48" t="str">
        <f ca="1">"186,1365"</f>
        <v>186,1365</v>
      </c>
      <c r="L31" s="48"/>
    </row>
    <row r="32" spans="1:12">
      <c r="A32" s="53" t="s">
        <v>1056</v>
      </c>
      <c r="B32" s="53" t="s">
        <v>1057</v>
      </c>
      <c r="C32" s="53" t="s">
        <v>826</v>
      </c>
      <c r="D32" s="53" t="str">
        <f ca="1">"0,5734"</f>
        <v>0,5734</v>
      </c>
      <c r="E32" s="53" t="s">
        <v>49</v>
      </c>
      <c r="F32" s="53" t="s">
        <v>40</v>
      </c>
      <c r="G32" s="53" t="s">
        <v>24</v>
      </c>
      <c r="H32" s="53" t="s">
        <v>84</v>
      </c>
      <c r="I32" s="54"/>
      <c r="J32" s="59">
        <v>300</v>
      </c>
      <c r="K32" s="53" t="str">
        <f ca="1">"172,0050"</f>
        <v>172,0050</v>
      </c>
      <c r="L32" s="53"/>
    </row>
    <row r="33" spans="1:12">
      <c r="A33" s="53" t="s">
        <v>1054</v>
      </c>
      <c r="B33" s="53" t="s">
        <v>1058</v>
      </c>
      <c r="C33" s="53" t="s">
        <v>857</v>
      </c>
      <c r="D33" s="53" t="str">
        <f ca="1">"0,5815"</f>
        <v>0,5815</v>
      </c>
      <c r="E33" s="53" t="s">
        <v>49</v>
      </c>
      <c r="F33" s="53" t="s">
        <v>117</v>
      </c>
      <c r="G33" s="53" t="s">
        <v>62</v>
      </c>
      <c r="H33" s="54" t="s">
        <v>129</v>
      </c>
      <c r="I33" s="54"/>
      <c r="J33" s="59">
        <v>330</v>
      </c>
      <c r="K33" s="53" t="str">
        <f ca="1">"191,9067"</f>
        <v>191,9067</v>
      </c>
      <c r="L33" s="53"/>
    </row>
    <row r="34" spans="1:12">
      <c r="A34" s="53" t="s">
        <v>1059</v>
      </c>
      <c r="B34" s="53" t="s">
        <v>1060</v>
      </c>
      <c r="C34" s="53" t="s">
        <v>833</v>
      </c>
      <c r="D34" s="53" t="str">
        <f ca="1">"0,6294"</f>
        <v>0,6294</v>
      </c>
      <c r="E34" s="53" t="s">
        <v>49</v>
      </c>
      <c r="F34" s="53" t="s">
        <v>141</v>
      </c>
      <c r="G34" s="53" t="s">
        <v>226</v>
      </c>
      <c r="H34" s="54" t="s">
        <v>45</v>
      </c>
      <c r="I34" s="54"/>
      <c r="J34" s="59">
        <v>205</v>
      </c>
      <c r="K34" s="53" t="str">
        <f ca="1">"129,0273"</f>
        <v>129,0273</v>
      </c>
      <c r="L34" s="53" t="s">
        <v>1017</v>
      </c>
    </row>
    <row r="35" spans="1:12">
      <c r="A35" s="50" t="s">
        <v>95</v>
      </c>
      <c r="B35" s="50" t="s">
        <v>96</v>
      </c>
      <c r="C35" s="50" t="s">
        <v>97</v>
      </c>
      <c r="D35" s="50" t="str">
        <f ca="1">"1,0579"</f>
        <v>1,0579</v>
      </c>
      <c r="E35" s="50" t="s">
        <v>98</v>
      </c>
      <c r="F35" s="50" t="s">
        <v>268</v>
      </c>
      <c r="G35" s="51"/>
      <c r="H35" s="51"/>
      <c r="I35" s="51"/>
      <c r="J35" s="58" t="s">
        <v>268</v>
      </c>
      <c r="K35" s="50" t="s">
        <v>375</v>
      </c>
      <c r="L35" s="50"/>
    </row>
    <row r="37" ht="15.6" spans="1:11">
      <c r="A37" s="47" t="s">
        <v>102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2">
      <c r="A38" s="48" t="s">
        <v>1061</v>
      </c>
      <c r="B38" s="48" t="s">
        <v>1062</v>
      </c>
      <c r="C38" s="48" t="s">
        <v>1063</v>
      </c>
      <c r="D38" s="48" t="str">
        <f ca="1">"0,5540"</f>
        <v>0,5540</v>
      </c>
      <c r="E38" s="48" t="s">
        <v>240</v>
      </c>
      <c r="F38" s="49" t="s">
        <v>84</v>
      </c>
      <c r="G38" s="48" t="s">
        <v>84</v>
      </c>
      <c r="H38" s="48" t="s">
        <v>118</v>
      </c>
      <c r="I38" s="49"/>
      <c r="J38" s="57">
        <v>320</v>
      </c>
      <c r="K38" s="48" t="str">
        <f ca="1">"177,2640"</f>
        <v>177,2640</v>
      </c>
      <c r="L38" s="48"/>
    </row>
    <row r="39" spans="1:12">
      <c r="A39" s="50" t="s">
        <v>1064</v>
      </c>
      <c r="B39" s="50" t="s">
        <v>1065</v>
      </c>
      <c r="C39" s="50" t="s">
        <v>1066</v>
      </c>
      <c r="D39" s="50" t="str">
        <f ca="1">"0,6756"</f>
        <v>0,6756</v>
      </c>
      <c r="E39" s="50" t="s">
        <v>49</v>
      </c>
      <c r="F39" s="50" t="s">
        <v>44</v>
      </c>
      <c r="G39" s="50" t="s">
        <v>135</v>
      </c>
      <c r="H39" s="50" t="s">
        <v>1067</v>
      </c>
      <c r="I39" s="51"/>
      <c r="J39" s="58">
        <v>247.5</v>
      </c>
      <c r="K39" s="50" t="str">
        <f ca="1">"167,2022"</f>
        <v>167,2022</v>
      </c>
      <c r="L39" s="50"/>
    </row>
    <row r="41" ht="15.6" spans="1:11">
      <c r="A41" s="47" t="s">
        <v>136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</row>
    <row r="42" spans="1:12">
      <c r="A42" s="46" t="s">
        <v>1068</v>
      </c>
      <c r="B42" s="46" t="s">
        <v>1069</v>
      </c>
      <c r="C42" s="46" t="s">
        <v>1070</v>
      </c>
      <c r="D42" s="46" t="str">
        <f ca="1">"0,5273"</f>
        <v>0,5273</v>
      </c>
      <c r="E42" s="46" t="s">
        <v>240</v>
      </c>
      <c r="F42" s="46" t="s">
        <v>1071</v>
      </c>
      <c r="G42" s="46" t="s">
        <v>1072</v>
      </c>
      <c r="H42" s="46" t="s">
        <v>1073</v>
      </c>
      <c r="I42" s="52" t="s">
        <v>1074</v>
      </c>
      <c r="J42" s="56">
        <v>405</v>
      </c>
      <c r="K42" s="46" t="str">
        <f ca="1">"213,5727"</f>
        <v>213,5727</v>
      </c>
      <c r="L42" s="46"/>
    </row>
    <row r="44" ht="15.6" spans="5:5">
      <c r="E44" s="60" t="s">
        <v>148</v>
      </c>
    </row>
    <row r="45" ht="15.6" spans="5:5">
      <c r="E45" s="60" t="s">
        <v>149</v>
      </c>
    </row>
    <row r="46" ht="15.6" spans="5:5">
      <c r="E46" s="60" t="s">
        <v>150</v>
      </c>
    </row>
    <row r="47" spans="5:5">
      <c r="E47" s="43" t="s">
        <v>151</v>
      </c>
    </row>
    <row r="48" spans="5:5">
      <c r="E48" s="43" t="s">
        <v>152</v>
      </c>
    </row>
    <row r="49" spans="5:5">
      <c r="E49" s="43" t="s">
        <v>153</v>
      </c>
    </row>
    <row r="52" ht="18" spans="1:2">
      <c r="A52" s="61" t="s">
        <v>154</v>
      </c>
      <c r="B52" s="61"/>
    </row>
    <row r="53" ht="15.6" spans="1:2">
      <c r="A53" s="62" t="s">
        <v>155</v>
      </c>
      <c r="B53" s="62"/>
    </row>
    <row r="54" ht="13.8" spans="1:2">
      <c r="A54" s="63" t="s">
        <v>448</v>
      </c>
      <c r="B54" s="64"/>
    </row>
    <row r="55" ht="13.8" spans="1:5">
      <c r="A55" s="65" t="s">
        <v>1</v>
      </c>
      <c r="B55" s="65" t="s">
        <v>157</v>
      </c>
      <c r="C55" s="65" t="s">
        <v>158</v>
      </c>
      <c r="D55" s="65" t="s">
        <v>7</v>
      </c>
      <c r="E55" s="65" t="s">
        <v>159</v>
      </c>
    </row>
    <row r="56" spans="1:5">
      <c r="A56" s="66" t="s">
        <v>1051</v>
      </c>
      <c r="B56" s="43" t="s">
        <v>450</v>
      </c>
      <c r="C56" s="43" t="s">
        <v>172</v>
      </c>
      <c r="D56" s="43" t="s">
        <v>88</v>
      </c>
      <c r="E56" s="67" t="s">
        <v>1075</v>
      </c>
    </row>
    <row r="58" ht="13.8" spans="1:2">
      <c r="A58" s="63" t="s">
        <v>156</v>
      </c>
      <c r="B58" s="64"/>
    </row>
    <row r="59" ht="13.8" spans="1:5">
      <c r="A59" s="65" t="s">
        <v>1</v>
      </c>
      <c r="B59" s="65" t="s">
        <v>157</v>
      </c>
      <c r="C59" s="65" t="s">
        <v>158</v>
      </c>
      <c r="D59" s="65" t="s">
        <v>7</v>
      </c>
      <c r="E59" s="65" t="s">
        <v>159</v>
      </c>
    </row>
    <row r="60" spans="1:5">
      <c r="A60" s="66" t="s">
        <v>1068</v>
      </c>
      <c r="B60" s="43" t="s">
        <v>156</v>
      </c>
      <c r="C60" s="43" t="s">
        <v>185</v>
      </c>
      <c r="D60" s="43" t="s">
        <v>1073</v>
      </c>
      <c r="E60" s="67" t="s">
        <v>1076</v>
      </c>
    </row>
    <row r="61" spans="1:5">
      <c r="A61" s="66" t="s">
        <v>1054</v>
      </c>
      <c r="B61" s="43" t="s">
        <v>156</v>
      </c>
      <c r="C61" s="43" t="s">
        <v>163</v>
      </c>
      <c r="D61" s="43" t="s">
        <v>62</v>
      </c>
      <c r="E61" s="67" t="s">
        <v>1077</v>
      </c>
    </row>
    <row r="62" spans="1:5">
      <c r="A62" s="66" t="s">
        <v>1017</v>
      </c>
      <c r="B62" s="43" t="s">
        <v>156</v>
      </c>
      <c r="C62" s="43" t="s">
        <v>456</v>
      </c>
      <c r="D62" s="43" t="s">
        <v>22</v>
      </c>
      <c r="E62" s="67" t="s">
        <v>1078</v>
      </c>
    </row>
    <row r="63" spans="1:5">
      <c r="A63" s="66" t="s">
        <v>1061</v>
      </c>
      <c r="B63" s="43" t="s">
        <v>156</v>
      </c>
      <c r="C63" s="43" t="s">
        <v>167</v>
      </c>
      <c r="D63" s="43" t="s">
        <v>118</v>
      </c>
      <c r="E63" s="67" t="s">
        <v>1079</v>
      </c>
    </row>
    <row r="64" spans="1:5">
      <c r="A64" s="66" t="s">
        <v>1056</v>
      </c>
      <c r="B64" s="43" t="s">
        <v>156</v>
      </c>
      <c r="C64" s="43" t="s">
        <v>163</v>
      </c>
      <c r="D64" s="43" t="s">
        <v>84</v>
      </c>
      <c r="E64" s="67" t="s">
        <v>1080</v>
      </c>
    </row>
    <row r="65" spans="1:5">
      <c r="A65" s="66" t="s">
        <v>1040</v>
      </c>
      <c r="B65" s="43" t="s">
        <v>156</v>
      </c>
      <c r="C65" s="43" t="s">
        <v>170</v>
      </c>
      <c r="D65" s="43" t="s">
        <v>22</v>
      </c>
      <c r="E65" s="67" t="s">
        <v>1081</v>
      </c>
    </row>
    <row r="66" spans="1:5">
      <c r="A66" s="66" t="s">
        <v>300</v>
      </c>
      <c r="B66" s="43" t="s">
        <v>156</v>
      </c>
      <c r="C66" s="43" t="s">
        <v>170</v>
      </c>
      <c r="D66" s="43" t="s">
        <v>88</v>
      </c>
      <c r="E66" s="67" t="s">
        <v>1082</v>
      </c>
    </row>
    <row r="67" spans="1:5">
      <c r="A67" s="66" t="s">
        <v>297</v>
      </c>
      <c r="B67" s="43" t="s">
        <v>156</v>
      </c>
      <c r="C67" s="43" t="s">
        <v>170</v>
      </c>
      <c r="D67" s="43" t="s">
        <v>227</v>
      </c>
      <c r="E67" s="67" t="s">
        <v>1083</v>
      </c>
    </row>
    <row r="68" spans="1:5">
      <c r="A68" s="66" t="s">
        <v>1033</v>
      </c>
      <c r="B68" s="43" t="s">
        <v>156</v>
      </c>
      <c r="C68" s="43" t="s">
        <v>164</v>
      </c>
      <c r="D68" s="43" t="s">
        <v>123</v>
      </c>
      <c r="E68" s="67" t="s">
        <v>1084</v>
      </c>
    </row>
    <row r="70" ht="13.8" spans="1:2">
      <c r="A70" s="63" t="s">
        <v>178</v>
      </c>
      <c r="B70" s="64"/>
    </row>
    <row r="71" ht="13.8" spans="1:5">
      <c r="A71" s="65" t="s">
        <v>1</v>
      </c>
      <c r="B71" s="65" t="s">
        <v>157</v>
      </c>
      <c r="C71" s="65" t="s">
        <v>158</v>
      </c>
      <c r="D71" s="65" t="s">
        <v>7</v>
      </c>
      <c r="E71" s="65" t="s">
        <v>159</v>
      </c>
    </row>
    <row r="72" spans="1:5">
      <c r="A72" s="66" t="s">
        <v>1054</v>
      </c>
      <c r="B72" s="43" t="s">
        <v>460</v>
      </c>
      <c r="C72" s="43" t="s">
        <v>163</v>
      </c>
      <c r="D72" s="43" t="s">
        <v>62</v>
      </c>
      <c r="E72" s="67" t="s">
        <v>1085</v>
      </c>
    </row>
    <row r="73" spans="1:5">
      <c r="A73" s="66" t="s">
        <v>1049</v>
      </c>
      <c r="B73" s="43" t="s">
        <v>181</v>
      </c>
      <c r="C73" s="43" t="s">
        <v>170</v>
      </c>
      <c r="D73" s="43" t="s">
        <v>50</v>
      </c>
      <c r="E73" s="67" t="s">
        <v>1086</v>
      </c>
    </row>
    <row r="74" spans="1:5">
      <c r="A74" s="66" t="s">
        <v>1044</v>
      </c>
      <c r="B74" s="43" t="s">
        <v>460</v>
      </c>
      <c r="C74" s="43" t="s">
        <v>170</v>
      </c>
      <c r="D74" s="43" t="s">
        <v>407</v>
      </c>
      <c r="E74" s="67" t="s">
        <v>1087</v>
      </c>
    </row>
    <row r="75" spans="1:5">
      <c r="A75" s="66" t="s">
        <v>1064</v>
      </c>
      <c r="B75" s="43" t="s">
        <v>187</v>
      </c>
      <c r="C75" s="43" t="s">
        <v>167</v>
      </c>
      <c r="D75" s="43" t="s">
        <v>1067</v>
      </c>
      <c r="E75" s="67" t="s">
        <v>1088</v>
      </c>
    </row>
    <row r="76" spans="1:5">
      <c r="A76" s="66" t="s">
        <v>1021</v>
      </c>
      <c r="B76" s="43" t="s">
        <v>187</v>
      </c>
      <c r="C76" s="43" t="s">
        <v>456</v>
      </c>
      <c r="D76" s="43" t="s">
        <v>226</v>
      </c>
      <c r="E76" s="67" t="s">
        <v>1089</v>
      </c>
    </row>
    <row r="77" spans="1:5">
      <c r="A77" s="66" t="s">
        <v>300</v>
      </c>
      <c r="B77" s="43" t="s">
        <v>187</v>
      </c>
      <c r="C77" s="43" t="s">
        <v>170</v>
      </c>
      <c r="D77" s="43" t="s">
        <v>88</v>
      </c>
      <c r="E77" s="67" t="s">
        <v>1090</v>
      </c>
    </row>
    <row r="78" spans="1:5">
      <c r="A78" s="66" t="s">
        <v>712</v>
      </c>
      <c r="B78" s="43" t="s">
        <v>1003</v>
      </c>
      <c r="C78" s="43" t="s">
        <v>164</v>
      </c>
      <c r="D78" s="43" t="s">
        <v>605</v>
      </c>
      <c r="E78" s="67" t="s">
        <v>1091</v>
      </c>
    </row>
    <row r="79" spans="1:5">
      <c r="A79" s="66" t="s">
        <v>1036</v>
      </c>
      <c r="B79" s="43" t="s">
        <v>460</v>
      </c>
      <c r="C79" s="43" t="s">
        <v>164</v>
      </c>
      <c r="D79" s="43" t="s">
        <v>50</v>
      </c>
      <c r="E79" s="67" t="s">
        <v>1092</v>
      </c>
    </row>
    <row r="80" spans="1:5">
      <c r="A80" s="66" t="s">
        <v>95</v>
      </c>
      <c r="B80" s="43" t="s">
        <v>1003</v>
      </c>
      <c r="C80" s="43" t="s">
        <v>163</v>
      </c>
      <c r="D80" s="71" t="s">
        <v>268</v>
      </c>
      <c r="E80" s="72" t="s">
        <v>375</v>
      </c>
    </row>
    <row r="81" spans="1:5">
      <c r="A81" s="66" t="s">
        <v>1059</v>
      </c>
      <c r="B81" s="43" t="s">
        <v>179</v>
      </c>
      <c r="C81" s="43" t="s">
        <v>163</v>
      </c>
      <c r="D81" s="43" t="s">
        <v>226</v>
      </c>
      <c r="E81" s="67" t="s">
        <v>1093</v>
      </c>
    </row>
  </sheetData>
  <sheetProtection selectLockedCells="1" selectUnlockedCells="1"/>
  <mergeCells count="17">
    <mergeCell ref="F3:I3"/>
    <mergeCell ref="A5:K5"/>
    <mergeCell ref="A11:K11"/>
    <mergeCell ref="A17:K17"/>
    <mergeCell ref="A26:K26"/>
    <mergeCell ref="A30:K30"/>
    <mergeCell ref="A37:K37"/>
    <mergeCell ref="A41:K41"/>
    <mergeCell ref="A3:A4"/>
    <mergeCell ref="B3:B4"/>
    <mergeCell ref="C3:C4"/>
    <mergeCell ref="D3:D4"/>
    <mergeCell ref="E3:E4"/>
    <mergeCell ref="J3:J4"/>
    <mergeCell ref="K3:K4"/>
    <mergeCell ref="L3:L4"/>
    <mergeCell ref="A1:L2"/>
  </mergeCells>
  <pageMargins left="0.75" right="0.75" top="0.979861111111111" bottom="0.979861111111111" header="0.509722222222222" footer="0.509722222222222"/>
  <pageSetup paperSize="9" fitToWidth="0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9"/>
  <sheetViews>
    <sheetView tabSelected="1" topLeftCell="A52" workbookViewId="0">
      <selection activeCell="O23" sqref="O23"/>
    </sheetView>
  </sheetViews>
  <sheetFormatPr defaultColWidth="8.88888888888889" defaultRowHeight="13.2"/>
  <cols>
    <col min="1" max="1" width="27.8796296296296" style="43"/>
    <col min="2" max="2" width="26.5555555555556" style="43"/>
    <col min="3" max="3" width="7.55555555555556" style="43"/>
    <col min="4" max="4" width="6.55555555555556" style="43"/>
    <col min="5" max="5" width="17" style="43"/>
    <col min="6" max="9" width="5.55555555555556" style="43"/>
    <col min="10" max="10" width="6.33333333333333" style="67"/>
    <col min="11" max="11" width="8.55555555555556" style="43"/>
    <col min="12" max="12" width="7.11111111111111" style="43"/>
  </cols>
  <sheetData>
    <row r="1" s="5" customFormat="1" ht="15" customHeight="1" spans="1:12">
      <c r="A1" s="6" t="s">
        <v>1094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5" customFormat="1" ht="41.95" customHeigh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12.75" customHeight="1" spans="1:12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190</v>
      </c>
      <c r="G3" s="10"/>
      <c r="H3" s="10"/>
      <c r="I3" s="10"/>
      <c r="J3" s="32" t="s">
        <v>7</v>
      </c>
      <c r="K3" s="9" t="s">
        <v>8</v>
      </c>
      <c r="L3" s="33" t="s">
        <v>9</v>
      </c>
    </row>
    <row r="4" s="1" customFormat="1" ht="23.25" customHeight="1" spans="1:12">
      <c r="A4" s="7"/>
      <c r="B4" s="8"/>
      <c r="C4" s="8"/>
      <c r="D4" s="8"/>
      <c r="E4" s="8"/>
      <c r="F4" s="11">
        <v>1</v>
      </c>
      <c r="G4" s="12">
        <v>2</v>
      </c>
      <c r="H4" s="12">
        <v>3</v>
      </c>
      <c r="I4" s="31" t="s">
        <v>10</v>
      </c>
      <c r="J4" s="32"/>
      <c r="K4" s="9"/>
      <c r="L4" s="33"/>
    </row>
    <row r="5" ht="15.6" spans="1:11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>
      <c r="A6" s="46" t="s">
        <v>1095</v>
      </c>
      <c r="B6" s="46" t="s">
        <v>1096</v>
      </c>
      <c r="C6" s="46" t="s">
        <v>1097</v>
      </c>
      <c r="D6" s="46" t="str">
        <f ca="1">"0,8507"</f>
        <v>0,8507</v>
      </c>
      <c r="E6" s="46" t="s">
        <v>49</v>
      </c>
      <c r="F6" s="46" t="s">
        <v>140</v>
      </c>
      <c r="G6" s="46" t="s">
        <v>141</v>
      </c>
      <c r="H6" s="46" t="s">
        <v>28</v>
      </c>
      <c r="I6" s="52"/>
      <c r="J6" s="73">
        <v>200</v>
      </c>
      <c r="K6" s="46" t="str">
        <f ca="1">"170,1400"</f>
        <v>170,1400</v>
      </c>
      <c r="L6" s="46"/>
    </row>
    <row r="8" ht="15.6" spans="1:11">
      <c r="A8" s="47" t="s">
        <v>11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2">
      <c r="A9" s="48" t="s">
        <v>1098</v>
      </c>
      <c r="B9" s="48" t="s">
        <v>1099</v>
      </c>
      <c r="C9" s="48" t="s">
        <v>1100</v>
      </c>
      <c r="D9" s="48" t="str">
        <f ca="1">"0,9347"</f>
        <v>0,9347</v>
      </c>
      <c r="E9" s="48" t="s">
        <v>49</v>
      </c>
      <c r="F9" s="48" t="s">
        <v>213</v>
      </c>
      <c r="G9" s="48" t="s">
        <v>207</v>
      </c>
      <c r="H9" s="48" t="s">
        <v>141</v>
      </c>
      <c r="I9" s="49"/>
      <c r="J9" s="69">
        <v>190</v>
      </c>
      <c r="K9" s="48" t="str">
        <f ca="1">"177,5962"</f>
        <v>177,5962</v>
      </c>
      <c r="L9" s="48"/>
    </row>
    <row r="10" spans="1:12">
      <c r="A10" s="50" t="s">
        <v>12</v>
      </c>
      <c r="B10" s="50" t="s">
        <v>13</v>
      </c>
      <c r="C10" s="50" t="s">
        <v>14</v>
      </c>
      <c r="D10" s="50" t="str">
        <f ca="1">"1,4271"</f>
        <v>1,4271</v>
      </c>
      <c r="E10" s="50" t="s">
        <v>15</v>
      </c>
      <c r="F10" s="50" t="s">
        <v>213</v>
      </c>
      <c r="G10" s="50" t="s">
        <v>217</v>
      </c>
      <c r="H10" s="50" t="s">
        <v>147</v>
      </c>
      <c r="I10" s="51"/>
      <c r="J10" s="74">
        <v>160</v>
      </c>
      <c r="K10" s="50" t="str">
        <f ca="1">"228,3372"</f>
        <v>228,3372</v>
      </c>
      <c r="L10" s="50"/>
    </row>
    <row r="12" ht="15.6" spans="1:11">
      <c r="A12" s="47" t="s">
        <v>17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2">
      <c r="A13" s="48" t="s">
        <v>1029</v>
      </c>
      <c r="B13" s="48" t="s">
        <v>1030</v>
      </c>
      <c r="C13" s="48" t="s">
        <v>1031</v>
      </c>
      <c r="D13" s="48" t="str">
        <f ca="1">"0,6461"</f>
        <v>0,6461</v>
      </c>
      <c r="E13" s="48" t="s">
        <v>1032</v>
      </c>
      <c r="F13" s="48" t="s">
        <v>88</v>
      </c>
      <c r="G13" s="48" t="s">
        <v>51</v>
      </c>
      <c r="H13" s="49" t="s">
        <v>23</v>
      </c>
      <c r="I13" s="49"/>
      <c r="J13" s="69">
        <v>245</v>
      </c>
      <c r="K13" s="48" t="str">
        <f ca="1">"158,3067"</f>
        <v>158,3067</v>
      </c>
      <c r="L13" s="48"/>
    </row>
    <row r="14" spans="1:12">
      <c r="A14" s="53" t="s">
        <v>1101</v>
      </c>
      <c r="B14" s="53" t="s">
        <v>1102</v>
      </c>
      <c r="C14" s="53" t="s">
        <v>279</v>
      </c>
      <c r="D14" s="53" t="str">
        <f ca="1">"0,6446"</f>
        <v>0,6446</v>
      </c>
      <c r="E14" s="53" t="s">
        <v>240</v>
      </c>
      <c r="F14" s="53" t="s">
        <v>147</v>
      </c>
      <c r="G14" s="53" t="s">
        <v>233</v>
      </c>
      <c r="H14" s="53" t="s">
        <v>28</v>
      </c>
      <c r="I14" s="54"/>
      <c r="J14" s="75">
        <v>200</v>
      </c>
      <c r="K14" s="53" t="str">
        <f ca="1">"128,9200"</f>
        <v>128,9200</v>
      </c>
      <c r="L14" s="53"/>
    </row>
    <row r="15" spans="1:12">
      <c r="A15" s="53" t="s">
        <v>280</v>
      </c>
      <c r="B15" s="53" t="s">
        <v>281</v>
      </c>
      <c r="C15" s="53" t="s">
        <v>282</v>
      </c>
      <c r="D15" s="53" t="str">
        <f ca="1">"0,7214"</f>
        <v>0,7214</v>
      </c>
      <c r="E15" s="53" t="s">
        <v>283</v>
      </c>
      <c r="F15" s="53" t="s">
        <v>88</v>
      </c>
      <c r="G15" s="53" t="s">
        <v>80</v>
      </c>
      <c r="H15" s="53" t="s">
        <v>40</v>
      </c>
      <c r="I15" s="54"/>
      <c r="J15" s="75">
        <v>260</v>
      </c>
      <c r="K15" s="53" t="str">
        <f ca="1">"187,5761"</f>
        <v>187,5761</v>
      </c>
      <c r="L15" s="53"/>
    </row>
    <row r="16" spans="1:12">
      <c r="A16" s="50" t="s">
        <v>25</v>
      </c>
      <c r="B16" s="50" t="s">
        <v>34</v>
      </c>
      <c r="C16" s="50" t="s">
        <v>20</v>
      </c>
      <c r="D16" s="50" t="str">
        <f ca="1">"0,8490"</f>
        <v>0,8490</v>
      </c>
      <c r="E16" s="50" t="s">
        <v>21</v>
      </c>
      <c r="F16" s="51" t="s">
        <v>252</v>
      </c>
      <c r="G16" s="51" t="s">
        <v>252</v>
      </c>
      <c r="H16" s="51"/>
      <c r="I16" s="51"/>
      <c r="J16" s="74">
        <v>0</v>
      </c>
      <c r="K16" s="50" t="str">
        <f ca="1">"0,0000"</f>
        <v>0,0000</v>
      </c>
      <c r="L16" s="50"/>
    </row>
    <row r="18" ht="15.6" spans="1:11">
      <c r="A18" s="47" t="s">
        <v>35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</row>
    <row r="19" spans="1:12">
      <c r="A19" s="48" t="s">
        <v>1103</v>
      </c>
      <c r="B19" s="48" t="s">
        <v>1104</v>
      </c>
      <c r="C19" s="48" t="s">
        <v>1105</v>
      </c>
      <c r="D19" s="48" t="str">
        <f ca="1">"0,6149"</f>
        <v>0,6149</v>
      </c>
      <c r="E19" s="48" t="s">
        <v>49</v>
      </c>
      <c r="F19" s="48" t="s">
        <v>24</v>
      </c>
      <c r="G19" s="49" t="s">
        <v>84</v>
      </c>
      <c r="H19" s="49" t="s">
        <v>84</v>
      </c>
      <c r="I19" s="49"/>
      <c r="J19" s="69">
        <v>285</v>
      </c>
      <c r="K19" s="48" t="str">
        <f ca="1">"175,2465"</f>
        <v>175,2465</v>
      </c>
      <c r="L19" s="48"/>
    </row>
    <row r="20" spans="1:12">
      <c r="A20" s="53" t="s">
        <v>1106</v>
      </c>
      <c r="B20" s="53" t="s">
        <v>1107</v>
      </c>
      <c r="C20" s="53" t="s">
        <v>1108</v>
      </c>
      <c r="D20" s="53" t="str">
        <f ca="1">"0,6217"</f>
        <v>0,6217</v>
      </c>
      <c r="E20" s="53" t="s">
        <v>283</v>
      </c>
      <c r="F20" s="53" t="s">
        <v>227</v>
      </c>
      <c r="G20" s="53" t="s">
        <v>88</v>
      </c>
      <c r="H20" s="53" t="s">
        <v>50</v>
      </c>
      <c r="I20" s="54"/>
      <c r="J20" s="75">
        <v>235</v>
      </c>
      <c r="K20" s="53" t="str">
        <f ca="1">"146,1112"</f>
        <v>146,1112</v>
      </c>
      <c r="L20" s="53"/>
    </row>
    <row r="21" spans="1:12">
      <c r="A21" s="53" t="s">
        <v>41</v>
      </c>
      <c r="B21" s="53" t="s">
        <v>42</v>
      </c>
      <c r="C21" s="53" t="s">
        <v>43</v>
      </c>
      <c r="D21" s="53" t="str">
        <f ca="1">"0,6126"</f>
        <v>0,6126</v>
      </c>
      <c r="E21" s="53" t="s">
        <v>39</v>
      </c>
      <c r="F21" s="53" t="s">
        <v>140</v>
      </c>
      <c r="G21" s="54" t="s">
        <v>28</v>
      </c>
      <c r="H21" s="53" t="s">
        <v>135</v>
      </c>
      <c r="I21" s="54"/>
      <c r="J21" s="75">
        <v>232.5</v>
      </c>
      <c r="K21" s="53" t="str">
        <f ca="1">"142,4295"</f>
        <v>142,4295</v>
      </c>
      <c r="L21" s="53"/>
    </row>
    <row r="22" spans="1:12">
      <c r="A22" s="53" t="s">
        <v>300</v>
      </c>
      <c r="B22" s="53" t="s">
        <v>1043</v>
      </c>
      <c r="C22" s="53" t="s">
        <v>302</v>
      </c>
      <c r="D22" s="53" t="str">
        <f ca="1">"0,6157"</f>
        <v>0,6157</v>
      </c>
      <c r="E22" s="53" t="s">
        <v>49</v>
      </c>
      <c r="F22" s="53" t="s">
        <v>28</v>
      </c>
      <c r="G22" s="53" t="s">
        <v>88</v>
      </c>
      <c r="H22" s="54"/>
      <c r="I22" s="54"/>
      <c r="J22" s="75">
        <v>230</v>
      </c>
      <c r="K22" s="53" t="str">
        <f ca="1">"141,6110"</f>
        <v>141,6110</v>
      </c>
      <c r="L22" s="53"/>
    </row>
    <row r="23" spans="1:12">
      <c r="A23" s="50" t="s">
        <v>300</v>
      </c>
      <c r="B23" s="50" t="s">
        <v>301</v>
      </c>
      <c r="C23" s="50" t="s">
        <v>302</v>
      </c>
      <c r="D23" s="50" t="str">
        <f ca="1">"0,7062"</f>
        <v>0,7062</v>
      </c>
      <c r="E23" s="50" t="s">
        <v>49</v>
      </c>
      <c r="F23" s="50" t="s">
        <v>28</v>
      </c>
      <c r="G23" s="50" t="s">
        <v>88</v>
      </c>
      <c r="H23" s="51"/>
      <c r="I23" s="51"/>
      <c r="J23" s="74">
        <v>230</v>
      </c>
      <c r="K23" s="50" t="str">
        <f ca="1">"162,4278"</f>
        <v>162,4278</v>
      </c>
      <c r="L23" s="50"/>
    </row>
    <row r="25" ht="15.6" spans="1:11">
      <c r="A25" s="47" t="s">
        <v>53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2">
      <c r="A26" s="48" t="s">
        <v>1109</v>
      </c>
      <c r="B26" s="48" t="s">
        <v>1110</v>
      </c>
      <c r="C26" s="48" t="s">
        <v>1111</v>
      </c>
      <c r="D26" s="48" t="str">
        <f ca="1">"0,5880"</f>
        <v>0,5880</v>
      </c>
      <c r="E26" s="48" t="s">
        <v>1042</v>
      </c>
      <c r="F26" s="48" t="s">
        <v>84</v>
      </c>
      <c r="G26" s="48" t="s">
        <v>117</v>
      </c>
      <c r="H26" s="48" t="s">
        <v>118</v>
      </c>
      <c r="I26" s="49"/>
      <c r="J26" s="69">
        <v>320</v>
      </c>
      <c r="K26" s="48" t="str">
        <f ca="1">"188,1600"</f>
        <v>188,1600</v>
      </c>
      <c r="L26" s="48"/>
    </row>
    <row r="27" spans="1:12">
      <c r="A27" s="53" t="s">
        <v>1112</v>
      </c>
      <c r="B27" s="53" t="s">
        <v>1113</v>
      </c>
      <c r="C27" s="53" t="s">
        <v>1114</v>
      </c>
      <c r="D27" s="53" t="str">
        <f ca="1">"0,5856"</f>
        <v>0,5856</v>
      </c>
      <c r="E27" s="53" t="s">
        <v>49</v>
      </c>
      <c r="F27" s="53" t="s">
        <v>1115</v>
      </c>
      <c r="G27" s="53" t="s">
        <v>75</v>
      </c>
      <c r="H27" s="54" t="s">
        <v>76</v>
      </c>
      <c r="I27" s="54"/>
      <c r="J27" s="75">
        <v>290</v>
      </c>
      <c r="K27" s="53" t="str">
        <f ca="1">"169,8240"</f>
        <v>169,8240</v>
      </c>
      <c r="L27" s="53"/>
    </row>
    <row r="28" spans="1:12">
      <c r="A28" s="50" t="s">
        <v>1116</v>
      </c>
      <c r="B28" s="50" t="s">
        <v>1117</v>
      </c>
      <c r="C28" s="50" t="s">
        <v>1118</v>
      </c>
      <c r="D28" s="50" t="str">
        <f ca="1">"0,5922"</f>
        <v>0,5922</v>
      </c>
      <c r="E28" s="50" t="s">
        <v>430</v>
      </c>
      <c r="F28" s="50" t="s">
        <v>80</v>
      </c>
      <c r="G28" s="50" t="s">
        <v>40</v>
      </c>
      <c r="H28" s="50" t="s">
        <v>23</v>
      </c>
      <c r="I28" s="51"/>
      <c r="J28" s="74">
        <v>270</v>
      </c>
      <c r="K28" s="50" t="str">
        <f ca="1">"159,9075"</f>
        <v>159,9075</v>
      </c>
      <c r="L28" s="50"/>
    </row>
    <row r="30" ht="15.6" spans="1:11">
      <c r="A30" s="47" t="s">
        <v>57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2">
      <c r="A31" s="48" t="s">
        <v>1119</v>
      </c>
      <c r="B31" s="48" t="s">
        <v>1120</v>
      </c>
      <c r="C31" s="48" t="s">
        <v>850</v>
      </c>
      <c r="D31" s="48" t="str">
        <f ca="1">"0,5635"</f>
        <v>0,5635</v>
      </c>
      <c r="E31" s="48" t="s">
        <v>240</v>
      </c>
      <c r="F31" s="48" t="s">
        <v>23</v>
      </c>
      <c r="G31" s="49" t="s">
        <v>117</v>
      </c>
      <c r="H31" s="49"/>
      <c r="I31" s="49"/>
      <c r="J31" s="69">
        <v>270</v>
      </c>
      <c r="K31" s="48" t="str">
        <f ca="1">"152,1450"</f>
        <v>152,1450</v>
      </c>
      <c r="L31" s="48"/>
    </row>
    <row r="32" spans="1:12">
      <c r="A32" s="50" t="s">
        <v>95</v>
      </c>
      <c r="B32" s="50" t="s">
        <v>96</v>
      </c>
      <c r="C32" s="50" t="s">
        <v>97</v>
      </c>
      <c r="D32" s="50" t="str">
        <f ca="1">"1,0579"</f>
        <v>1,0579</v>
      </c>
      <c r="E32" s="50" t="s">
        <v>98</v>
      </c>
      <c r="F32" s="50" t="s">
        <v>268</v>
      </c>
      <c r="G32" s="51"/>
      <c r="H32" s="51"/>
      <c r="I32" s="51"/>
      <c r="J32" s="58" t="s">
        <v>374</v>
      </c>
      <c r="K32" s="50" t="s">
        <v>375</v>
      </c>
      <c r="L32" s="50"/>
    </row>
    <row r="34" ht="15.6" spans="1:11">
      <c r="A34" s="47" t="s">
        <v>102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2">
      <c r="A35" s="48" t="s">
        <v>1121</v>
      </c>
      <c r="B35" s="48" t="s">
        <v>1122</v>
      </c>
      <c r="C35" s="48" t="s">
        <v>1123</v>
      </c>
      <c r="D35" s="48" t="str">
        <f ca="1">"0,5498"</f>
        <v>0,5498</v>
      </c>
      <c r="E35" s="48" t="s">
        <v>240</v>
      </c>
      <c r="F35" s="49" t="s">
        <v>23</v>
      </c>
      <c r="G35" s="48" t="s">
        <v>23</v>
      </c>
      <c r="H35" s="48" t="s">
        <v>117</v>
      </c>
      <c r="I35" s="49"/>
      <c r="J35" s="69">
        <v>310</v>
      </c>
      <c r="K35" s="48" t="str">
        <f ca="1">"170,4380"</f>
        <v>170,4380</v>
      </c>
      <c r="L35" s="48"/>
    </row>
    <row r="36" spans="1:12">
      <c r="A36" s="50" t="s">
        <v>1124</v>
      </c>
      <c r="B36" s="50" t="s">
        <v>1125</v>
      </c>
      <c r="C36" s="50" t="s">
        <v>1126</v>
      </c>
      <c r="D36" s="50" t="str">
        <f ca="1">"0,5658"</f>
        <v>0,5658</v>
      </c>
      <c r="E36" s="50" t="s">
        <v>109</v>
      </c>
      <c r="F36" s="50" t="s">
        <v>23</v>
      </c>
      <c r="G36" s="50" t="s">
        <v>75</v>
      </c>
      <c r="H36" s="50" t="s">
        <v>71</v>
      </c>
      <c r="I36" s="51"/>
      <c r="J36" s="74">
        <v>305</v>
      </c>
      <c r="K36" s="50" t="str">
        <f ca="1">"172,5827"</f>
        <v>172,5827</v>
      </c>
      <c r="L36" s="50"/>
    </row>
    <row r="38" ht="15.6" spans="1:11">
      <c r="A38" s="47" t="s">
        <v>125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2">
      <c r="A39" s="48" t="s">
        <v>132</v>
      </c>
      <c r="B39" s="48" t="s">
        <v>133</v>
      </c>
      <c r="C39" s="48" t="s">
        <v>134</v>
      </c>
      <c r="D39" s="48" t="str">
        <f ca="1">"0,5446"</f>
        <v>0,5446</v>
      </c>
      <c r="E39" s="48" t="s">
        <v>109</v>
      </c>
      <c r="F39" s="48" t="s">
        <v>44</v>
      </c>
      <c r="G39" s="48" t="s">
        <v>80</v>
      </c>
      <c r="H39" s="48" t="s">
        <v>23</v>
      </c>
      <c r="I39" s="49"/>
      <c r="J39" s="69">
        <v>270</v>
      </c>
      <c r="K39" s="48" t="str">
        <f ca="1">"147,0393"</f>
        <v>147,0393</v>
      </c>
      <c r="L39" s="48"/>
    </row>
    <row r="40" spans="1:12">
      <c r="A40" s="50" t="s">
        <v>1127</v>
      </c>
      <c r="B40" s="50" t="s">
        <v>1128</v>
      </c>
      <c r="C40" s="50" t="s">
        <v>1129</v>
      </c>
      <c r="D40" s="50" t="str">
        <f ca="1">"0,6394"</f>
        <v>0,6394</v>
      </c>
      <c r="E40" s="50" t="s">
        <v>109</v>
      </c>
      <c r="F40" s="51" t="s">
        <v>88</v>
      </c>
      <c r="G40" s="50" t="s">
        <v>88</v>
      </c>
      <c r="H40" s="50" t="s">
        <v>80</v>
      </c>
      <c r="I40" s="51" t="s">
        <v>40</v>
      </c>
      <c r="J40" s="74">
        <v>250</v>
      </c>
      <c r="K40" s="50" t="str">
        <f ca="1">"159,8518"</f>
        <v>159,8518</v>
      </c>
      <c r="L40" s="50"/>
    </row>
    <row r="42" ht="15.6" spans="1:11">
      <c r="A42" s="47" t="s">
        <v>136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2">
      <c r="A43" s="48" t="s">
        <v>1130</v>
      </c>
      <c r="B43" s="48" t="s">
        <v>1131</v>
      </c>
      <c r="C43" s="48" t="s">
        <v>1132</v>
      </c>
      <c r="D43" s="48" t="str">
        <f ca="1">"0,5115"</f>
        <v>0,5115</v>
      </c>
      <c r="E43" s="48" t="s">
        <v>240</v>
      </c>
      <c r="F43" s="48" t="s">
        <v>40</v>
      </c>
      <c r="G43" s="49" t="s">
        <v>24</v>
      </c>
      <c r="H43" s="48" t="s">
        <v>24</v>
      </c>
      <c r="I43" s="49"/>
      <c r="J43" s="69">
        <v>285</v>
      </c>
      <c r="K43" s="48" t="str">
        <f ca="1">"145,7675"</f>
        <v>145,7675</v>
      </c>
      <c r="L43" s="48"/>
    </row>
    <row r="44" spans="1:12">
      <c r="A44" s="50" t="s">
        <v>1133</v>
      </c>
      <c r="B44" s="50" t="s">
        <v>1134</v>
      </c>
      <c r="C44" s="50" t="s">
        <v>1135</v>
      </c>
      <c r="D44" s="50" t="str">
        <f ca="1">"0,5259"</f>
        <v>0,5259</v>
      </c>
      <c r="E44" s="50" t="s">
        <v>240</v>
      </c>
      <c r="F44" s="51" t="s">
        <v>28</v>
      </c>
      <c r="G44" s="51" t="s">
        <v>28</v>
      </c>
      <c r="H44" s="50" t="s">
        <v>28</v>
      </c>
      <c r="I44" s="51"/>
      <c r="J44" s="74">
        <v>200</v>
      </c>
      <c r="K44" s="50" t="str">
        <f ca="1">"105,1850"</f>
        <v>105,1850</v>
      </c>
      <c r="L44" s="50"/>
    </row>
    <row r="46" ht="15.6" spans="5:5">
      <c r="E46" s="60" t="s">
        <v>148</v>
      </c>
    </row>
    <row r="47" ht="15.6" spans="5:5">
      <c r="E47" s="60" t="s">
        <v>149</v>
      </c>
    </row>
    <row r="48" ht="15.6" spans="5:5">
      <c r="E48" s="60" t="s">
        <v>150</v>
      </c>
    </row>
    <row r="54" ht="18" spans="1:2">
      <c r="A54" s="61" t="s">
        <v>154</v>
      </c>
      <c r="B54" s="61"/>
    </row>
    <row r="55" ht="15.6" spans="1:2">
      <c r="A55" s="62" t="s">
        <v>443</v>
      </c>
      <c r="B55" s="62"/>
    </row>
    <row r="56" ht="13.8" spans="1:2">
      <c r="A56" s="63" t="s">
        <v>156</v>
      </c>
      <c r="B56" s="64"/>
    </row>
    <row r="57" ht="13.8" spans="1:5">
      <c r="A57" s="65" t="s">
        <v>1</v>
      </c>
      <c r="B57" s="65" t="s">
        <v>157</v>
      </c>
      <c r="C57" s="65" t="s">
        <v>158</v>
      </c>
      <c r="D57" s="65" t="s">
        <v>7</v>
      </c>
      <c r="E57" s="65" t="s">
        <v>159</v>
      </c>
    </row>
    <row r="58" spans="1:5">
      <c r="A58" s="66" t="s">
        <v>1095</v>
      </c>
      <c r="B58" s="43" t="s">
        <v>156</v>
      </c>
      <c r="C58" s="43" t="s">
        <v>456</v>
      </c>
      <c r="D58" s="43" t="s">
        <v>28</v>
      </c>
      <c r="E58" s="67" t="s">
        <v>1136</v>
      </c>
    </row>
    <row r="61" ht="15.6" spans="1:2">
      <c r="A61" s="62" t="s">
        <v>155</v>
      </c>
      <c r="B61" s="62"/>
    </row>
    <row r="62" ht="13.8" spans="1:2">
      <c r="A62" s="63" t="s">
        <v>448</v>
      </c>
      <c r="B62" s="64"/>
    </row>
    <row r="63" ht="13.8" spans="1:5">
      <c r="A63" s="65" t="s">
        <v>1</v>
      </c>
      <c r="B63" s="65" t="s">
        <v>157</v>
      </c>
      <c r="C63" s="65" t="s">
        <v>158</v>
      </c>
      <c r="D63" s="65" t="s">
        <v>7</v>
      </c>
      <c r="E63" s="65" t="s">
        <v>159</v>
      </c>
    </row>
    <row r="64" spans="1:5">
      <c r="A64" s="66" t="s">
        <v>1029</v>
      </c>
      <c r="B64" s="43" t="s">
        <v>450</v>
      </c>
      <c r="C64" s="43" t="s">
        <v>164</v>
      </c>
      <c r="D64" s="43" t="s">
        <v>51</v>
      </c>
      <c r="E64" s="67" t="s">
        <v>1137</v>
      </c>
    </row>
    <row r="66" ht="13.8" spans="1:2">
      <c r="A66" s="63" t="s">
        <v>156</v>
      </c>
      <c r="B66" s="64"/>
    </row>
    <row r="67" ht="13.8" spans="1:5">
      <c r="A67" s="65" t="s">
        <v>1</v>
      </c>
      <c r="B67" s="65" t="s">
        <v>157</v>
      </c>
      <c r="C67" s="65" t="s">
        <v>158</v>
      </c>
      <c r="D67" s="65" t="s">
        <v>7</v>
      </c>
      <c r="E67" s="65" t="s">
        <v>159</v>
      </c>
    </row>
    <row r="68" spans="1:5">
      <c r="A68" s="66" t="s">
        <v>1109</v>
      </c>
      <c r="B68" s="43" t="s">
        <v>156</v>
      </c>
      <c r="C68" s="43" t="s">
        <v>172</v>
      </c>
      <c r="D68" s="43" t="s">
        <v>118</v>
      </c>
      <c r="E68" s="67" t="s">
        <v>1138</v>
      </c>
    </row>
    <row r="69" spans="1:5">
      <c r="A69" s="66" t="s">
        <v>1103</v>
      </c>
      <c r="B69" s="43" t="s">
        <v>156</v>
      </c>
      <c r="C69" s="43" t="s">
        <v>170</v>
      </c>
      <c r="D69" s="43" t="s">
        <v>24</v>
      </c>
      <c r="E69" s="67" t="s">
        <v>1139</v>
      </c>
    </row>
    <row r="70" spans="1:5">
      <c r="A70" s="66" t="s">
        <v>1121</v>
      </c>
      <c r="B70" s="43" t="s">
        <v>156</v>
      </c>
      <c r="C70" s="43" t="s">
        <v>167</v>
      </c>
      <c r="D70" s="43" t="s">
        <v>117</v>
      </c>
      <c r="E70" s="67" t="s">
        <v>1140</v>
      </c>
    </row>
    <row r="71" spans="1:5">
      <c r="A71" s="66" t="s">
        <v>1112</v>
      </c>
      <c r="B71" s="43" t="s">
        <v>156</v>
      </c>
      <c r="C71" s="43" t="s">
        <v>172</v>
      </c>
      <c r="D71" s="43" t="s">
        <v>75</v>
      </c>
      <c r="E71" s="67" t="s">
        <v>1141</v>
      </c>
    </row>
    <row r="72" spans="1:5">
      <c r="A72" s="66" t="s">
        <v>1116</v>
      </c>
      <c r="B72" s="43" t="s">
        <v>156</v>
      </c>
      <c r="C72" s="43" t="s">
        <v>172</v>
      </c>
      <c r="D72" s="43" t="s">
        <v>23</v>
      </c>
      <c r="E72" s="67" t="s">
        <v>1142</v>
      </c>
    </row>
    <row r="73" spans="1:5">
      <c r="A73" s="66" t="s">
        <v>1119</v>
      </c>
      <c r="B73" s="43" t="s">
        <v>156</v>
      </c>
      <c r="C73" s="43" t="s">
        <v>163</v>
      </c>
      <c r="D73" s="43" t="s">
        <v>23</v>
      </c>
      <c r="E73" s="67" t="s">
        <v>1143</v>
      </c>
    </row>
    <row r="74" spans="1:5">
      <c r="A74" s="66" t="s">
        <v>132</v>
      </c>
      <c r="B74" s="43" t="s">
        <v>156</v>
      </c>
      <c r="C74" s="43" t="s">
        <v>160</v>
      </c>
      <c r="D74" s="43" t="s">
        <v>23</v>
      </c>
      <c r="E74" s="67" t="s">
        <v>1144</v>
      </c>
    </row>
    <row r="75" spans="1:5">
      <c r="A75" s="66" t="s">
        <v>1106</v>
      </c>
      <c r="B75" s="43" t="s">
        <v>156</v>
      </c>
      <c r="C75" s="43" t="s">
        <v>170</v>
      </c>
      <c r="D75" s="43" t="s">
        <v>50</v>
      </c>
      <c r="E75" s="67" t="s">
        <v>1145</v>
      </c>
    </row>
    <row r="76" spans="1:5">
      <c r="A76" s="66" t="s">
        <v>1130</v>
      </c>
      <c r="B76" s="43" t="s">
        <v>156</v>
      </c>
      <c r="C76" s="43" t="s">
        <v>185</v>
      </c>
      <c r="D76" s="43" t="s">
        <v>24</v>
      </c>
      <c r="E76" s="67" t="s">
        <v>1146</v>
      </c>
    </row>
    <row r="77" spans="1:5">
      <c r="A77" s="66" t="s">
        <v>41</v>
      </c>
      <c r="B77" s="43" t="s">
        <v>156</v>
      </c>
      <c r="C77" s="43" t="s">
        <v>170</v>
      </c>
      <c r="D77" s="43" t="s">
        <v>135</v>
      </c>
      <c r="E77" s="67" t="s">
        <v>1147</v>
      </c>
    </row>
    <row r="78" spans="1:5">
      <c r="A78" s="66" t="s">
        <v>300</v>
      </c>
      <c r="B78" s="43" t="s">
        <v>156</v>
      </c>
      <c r="C78" s="43" t="s">
        <v>170</v>
      </c>
      <c r="D78" s="43" t="s">
        <v>88</v>
      </c>
      <c r="E78" s="67" t="s">
        <v>1082</v>
      </c>
    </row>
    <row r="79" spans="1:5">
      <c r="A79" s="66" t="s">
        <v>1101</v>
      </c>
      <c r="B79" s="43" t="s">
        <v>156</v>
      </c>
      <c r="C79" s="43" t="s">
        <v>164</v>
      </c>
      <c r="D79" s="43" t="s">
        <v>28</v>
      </c>
      <c r="E79" s="67" t="s">
        <v>1148</v>
      </c>
    </row>
    <row r="80" spans="1:5">
      <c r="A80" s="66" t="s">
        <v>1133</v>
      </c>
      <c r="B80" s="43" t="s">
        <v>156</v>
      </c>
      <c r="C80" s="43" t="s">
        <v>185</v>
      </c>
      <c r="D80" s="43" t="s">
        <v>28</v>
      </c>
      <c r="E80" s="67" t="s">
        <v>1149</v>
      </c>
    </row>
    <row r="82" ht="13.8" spans="1:2">
      <c r="A82" s="63" t="s">
        <v>178</v>
      </c>
      <c r="B82" s="64"/>
    </row>
    <row r="83" ht="13.8" spans="1:5">
      <c r="A83" s="65" t="s">
        <v>1</v>
      </c>
      <c r="B83" s="65" t="s">
        <v>157</v>
      </c>
      <c r="C83" s="65" t="s">
        <v>158</v>
      </c>
      <c r="D83" s="65" t="s">
        <v>7</v>
      </c>
      <c r="E83" s="65" t="s">
        <v>159</v>
      </c>
    </row>
    <row r="84" spans="1:5">
      <c r="A84" s="66" t="s">
        <v>12</v>
      </c>
      <c r="B84" s="43" t="s">
        <v>1000</v>
      </c>
      <c r="C84" s="43" t="s">
        <v>456</v>
      </c>
      <c r="D84" s="43" t="s">
        <v>147</v>
      </c>
      <c r="E84" s="67" t="s">
        <v>1150</v>
      </c>
    </row>
    <row r="85" spans="1:5">
      <c r="A85" s="66" t="s">
        <v>280</v>
      </c>
      <c r="B85" s="43" t="s">
        <v>179</v>
      </c>
      <c r="C85" s="43" t="s">
        <v>164</v>
      </c>
      <c r="D85" s="43" t="s">
        <v>40</v>
      </c>
      <c r="E85" s="67" t="s">
        <v>498</v>
      </c>
    </row>
    <row r="86" spans="1:5">
      <c r="A86" s="66" t="s">
        <v>1098</v>
      </c>
      <c r="B86" s="43" t="s">
        <v>181</v>
      </c>
      <c r="C86" s="43" t="s">
        <v>456</v>
      </c>
      <c r="D86" s="43" t="s">
        <v>141</v>
      </c>
      <c r="E86" s="67" t="s">
        <v>1151</v>
      </c>
    </row>
    <row r="87" spans="1:5">
      <c r="A87" s="66" t="s">
        <v>1124</v>
      </c>
      <c r="B87" s="43" t="s">
        <v>460</v>
      </c>
      <c r="C87" s="43" t="s">
        <v>167</v>
      </c>
      <c r="D87" s="43" t="s">
        <v>71</v>
      </c>
      <c r="E87" s="67" t="s">
        <v>1152</v>
      </c>
    </row>
    <row r="88" spans="1:5">
      <c r="A88" s="66" t="s">
        <v>300</v>
      </c>
      <c r="B88" s="43" t="s">
        <v>187</v>
      </c>
      <c r="C88" s="43" t="s">
        <v>170</v>
      </c>
      <c r="D88" s="43" t="s">
        <v>88</v>
      </c>
      <c r="E88" s="67" t="s">
        <v>1090</v>
      </c>
    </row>
    <row r="89" spans="1:5">
      <c r="A89" s="66" t="s">
        <v>1127</v>
      </c>
      <c r="B89" s="43" t="s">
        <v>187</v>
      </c>
      <c r="C89" s="43" t="s">
        <v>160</v>
      </c>
      <c r="D89" s="43" t="s">
        <v>80</v>
      </c>
      <c r="E89" s="67" t="s">
        <v>1153</v>
      </c>
    </row>
  </sheetData>
  <sheetProtection selectLockedCells="1" selectUnlockedCells="1"/>
  <mergeCells count="19">
    <mergeCell ref="F3:I3"/>
    <mergeCell ref="A5:K5"/>
    <mergeCell ref="A8:K8"/>
    <mergeCell ref="A12:K12"/>
    <mergeCell ref="A18:K18"/>
    <mergeCell ref="A25:K25"/>
    <mergeCell ref="A30:K30"/>
    <mergeCell ref="A34:K34"/>
    <mergeCell ref="A38:K38"/>
    <mergeCell ref="A42:K42"/>
    <mergeCell ref="A3:A4"/>
    <mergeCell ref="B3:B4"/>
    <mergeCell ref="C3:C4"/>
    <mergeCell ref="D3:D4"/>
    <mergeCell ref="E3:E4"/>
    <mergeCell ref="J3:J4"/>
    <mergeCell ref="K3:K4"/>
    <mergeCell ref="L3:L4"/>
    <mergeCell ref="A1:L2"/>
  </mergeCells>
  <pageMargins left="0.75" right="0.75" top="0.979861111111111" bottom="0.979861111111111" header="0.509722222222222" footer="0.509722222222222"/>
  <pageSetup paperSize="9" fitToWidth="0" orientation="landscape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5"/>
  <sheetViews>
    <sheetView tabSelected="1" topLeftCell="A97" workbookViewId="0">
      <selection activeCell="O23" sqref="O23"/>
    </sheetView>
  </sheetViews>
  <sheetFormatPr defaultColWidth="8.88888888888889" defaultRowHeight="13.2"/>
  <cols>
    <col min="1" max="1" width="24.8796296296296" style="43"/>
    <col min="2" max="2" width="26.5555555555556" style="43"/>
    <col min="3" max="3" width="7.55555555555556" style="43"/>
    <col min="4" max="4" width="6.55555555555556" style="43"/>
    <col min="5" max="5" width="17" style="43"/>
    <col min="6" max="9" width="5.55555555555556" style="43"/>
    <col min="10" max="10" width="6.33333333333333" style="44"/>
    <col min="11" max="11" width="8.55555555555556" style="43"/>
    <col min="12" max="12" width="14.3333333333333" style="43"/>
  </cols>
  <sheetData>
    <row r="1" s="5" customFormat="1" ht="15" customHeight="1" spans="1:12">
      <c r="A1" s="6" t="s">
        <v>1154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5" customFormat="1" ht="50.2" customHeight="1" spans="1:1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12.75" customHeight="1" spans="1:12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0"/>
      <c r="H3" s="10"/>
      <c r="I3" s="10"/>
      <c r="J3" s="55" t="s">
        <v>7</v>
      </c>
      <c r="K3" s="9" t="s">
        <v>8</v>
      </c>
      <c r="L3" s="33" t="s">
        <v>9</v>
      </c>
    </row>
    <row r="4" s="1" customFormat="1" ht="23.25" customHeight="1" spans="1:12">
      <c r="A4" s="7"/>
      <c r="B4" s="8"/>
      <c r="C4" s="8"/>
      <c r="D4" s="8"/>
      <c r="E4" s="8"/>
      <c r="F4" s="11">
        <v>1</v>
      </c>
      <c r="G4" s="12">
        <v>2</v>
      </c>
      <c r="H4" s="12">
        <v>3</v>
      </c>
      <c r="I4" s="31" t="s">
        <v>10</v>
      </c>
      <c r="J4" s="55"/>
      <c r="K4" s="9"/>
      <c r="L4" s="33"/>
    </row>
    <row r="5" ht="15.6" spans="1:11">
      <c r="A5" s="45" t="s">
        <v>520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>
      <c r="A6" s="46" t="s">
        <v>1155</v>
      </c>
      <c r="B6" s="46" t="s">
        <v>1156</v>
      </c>
      <c r="C6" s="46" t="s">
        <v>1157</v>
      </c>
      <c r="D6" s="46" t="str">
        <f ca="1">"0,9903"</f>
        <v>0,9903</v>
      </c>
      <c r="E6" s="46" t="s">
        <v>49</v>
      </c>
      <c r="F6" s="46" t="s">
        <v>123</v>
      </c>
      <c r="G6" s="46" t="s">
        <v>697</v>
      </c>
      <c r="H6" s="52" t="s">
        <v>201</v>
      </c>
      <c r="I6" s="52"/>
      <c r="J6" s="56">
        <v>132.5</v>
      </c>
      <c r="K6" s="46" t="str">
        <f ca="1">"131,2147"</f>
        <v>131,2147</v>
      </c>
      <c r="L6" s="46" t="s">
        <v>1158</v>
      </c>
    </row>
    <row r="8" ht="15.6" spans="1:11">
      <c r="A8" s="47" t="s">
        <v>11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2">
      <c r="A9" s="46" t="s">
        <v>599</v>
      </c>
      <c r="B9" s="46" t="s">
        <v>600</v>
      </c>
      <c r="C9" s="46" t="s">
        <v>14</v>
      </c>
      <c r="D9" s="46" t="str">
        <f ca="1">"0,9998"</f>
        <v>0,9998</v>
      </c>
      <c r="E9" s="46" t="s">
        <v>49</v>
      </c>
      <c r="F9" s="46" t="s">
        <v>201</v>
      </c>
      <c r="G9" s="46" t="s">
        <v>202</v>
      </c>
      <c r="H9" s="46" t="s">
        <v>269</v>
      </c>
      <c r="I9" s="52" t="s">
        <v>213</v>
      </c>
      <c r="J9" s="56">
        <v>145</v>
      </c>
      <c r="K9" s="46" t="str">
        <f ca="1">"144,9752"</f>
        <v>144,9752</v>
      </c>
      <c r="L9" s="46"/>
    </row>
    <row r="11" ht="15.6" spans="1:11">
      <c r="A11" s="47" t="s">
        <v>17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2">
      <c r="A12" s="46" t="s">
        <v>1159</v>
      </c>
      <c r="B12" s="46" t="s">
        <v>1160</v>
      </c>
      <c r="C12" s="46" t="s">
        <v>1161</v>
      </c>
      <c r="D12" s="46" t="str">
        <f ca="1">"0,7955"</f>
        <v>0,7955</v>
      </c>
      <c r="E12" s="46" t="s">
        <v>516</v>
      </c>
      <c r="F12" s="46" t="s">
        <v>732</v>
      </c>
      <c r="G12" s="52" t="s">
        <v>226</v>
      </c>
      <c r="H12" s="46" t="s">
        <v>226</v>
      </c>
      <c r="I12" s="52" t="s">
        <v>44</v>
      </c>
      <c r="J12" s="56">
        <v>205</v>
      </c>
      <c r="K12" s="46" t="str">
        <f ca="1">"163,0877"</f>
        <v>163,0877</v>
      </c>
      <c r="L12" s="46"/>
    </row>
    <row r="14" ht="15.6" spans="1:11">
      <c r="A14" s="47" t="s">
        <v>512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</row>
    <row r="15" spans="1:12">
      <c r="A15" s="46" t="s">
        <v>1162</v>
      </c>
      <c r="B15" s="46" t="s">
        <v>1163</v>
      </c>
      <c r="C15" s="46" t="s">
        <v>1164</v>
      </c>
      <c r="D15" s="46" t="str">
        <f ca="1">"1,0008"</f>
        <v>1,0008</v>
      </c>
      <c r="E15" s="46" t="s">
        <v>49</v>
      </c>
      <c r="F15" s="46" t="s">
        <v>16</v>
      </c>
      <c r="G15" s="46" t="s">
        <v>591</v>
      </c>
      <c r="H15" s="46" t="s">
        <v>605</v>
      </c>
      <c r="I15" s="52"/>
      <c r="J15" s="56">
        <v>120</v>
      </c>
      <c r="K15" s="46" t="str">
        <f ca="1">"120,0960"</f>
        <v>120,0960</v>
      </c>
      <c r="L15" s="46"/>
    </row>
    <row r="17" ht="15.6" spans="1:11">
      <c r="A17" s="47" t="s">
        <v>11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2">
      <c r="A18" s="48" t="s">
        <v>1017</v>
      </c>
      <c r="B18" s="48" t="s">
        <v>1018</v>
      </c>
      <c r="C18" s="48" t="s">
        <v>248</v>
      </c>
      <c r="D18" s="48" t="str">
        <f ca="1">"0,6885"</f>
        <v>0,6885</v>
      </c>
      <c r="E18" s="48" t="s">
        <v>49</v>
      </c>
      <c r="F18" s="48" t="s">
        <v>252</v>
      </c>
      <c r="G18" s="48" t="s">
        <v>135</v>
      </c>
      <c r="H18" s="49" t="s">
        <v>33</v>
      </c>
      <c r="I18" s="49"/>
      <c r="J18" s="57">
        <v>232.5</v>
      </c>
      <c r="K18" s="48" t="str">
        <f ca="1">"160,0879"</f>
        <v>160,0879</v>
      </c>
      <c r="L18" s="48" t="s">
        <v>1020</v>
      </c>
    </row>
    <row r="19" spans="1:12">
      <c r="A19" s="50" t="s">
        <v>656</v>
      </c>
      <c r="B19" s="50" t="s">
        <v>657</v>
      </c>
      <c r="C19" s="50" t="s">
        <v>650</v>
      </c>
      <c r="D19" s="50" t="str">
        <f ca="1">"0,7315"</f>
        <v>0,7315</v>
      </c>
      <c r="E19" s="50" t="s">
        <v>21</v>
      </c>
      <c r="F19" s="51" t="s">
        <v>207</v>
      </c>
      <c r="G19" s="50" t="s">
        <v>207</v>
      </c>
      <c r="H19" s="51" t="s">
        <v>793</v>
      </c>
      <c r="I19" s="51"/>
      <c r="J19" s="58">
        <v>170</v>
      </c>
      <c r="K19" s="50" t="str">
        <f ca="1">"124,3523"</f>
        <v>124,3523</v>
      </c>
      <c r="L19" s="50"/>
    </row>
    <row r="21" ht="15.6" spans="1:11">
      <c r="A21" s="47" t="s">
        <v>17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2">
      <c r="A22" s="48" t="s">
        <v>675</v>
      </c>
      <c r="B22" s="48" t="s">
        <v>676</v>
      </c>
      <c r="C22" s="48" t="s">
        <v>677</v>
      </c>
      <c r="D22" s="48" t="str">
        <f ca="1">"0,6508"</f>
        <v>0,6508</v>
      </c>
      <c r="E22" s="48" t="s">
        <v>240</v>
      </c>
      <c r="F22" s="49" t="s">
        <v>141</v>
      </c>
      <c r="G22" s="48" t="s">
        <v>141</v>
      </c>
      <c r="H22" s="49" t="s">
        <v>226</v>
      </c>
      <c r="I22" s="49"/>
      <c r="J22" s="57">
        <v>190</v>
      </c>
      <c r="K22" s="48" t="str">
        <f ca="1">"123,6520"</f>
        <v>123,6520</v>
      </c>
      <c r="L22" s="48"/>
    </row>
    <row r="23" spans="1:12">
      <c r="A23" s="53" t="s">
        <v>29</v>
      </c>
      <c r="B23" s="53" t="s">
        <v>30</v>
      </c>
      <c r="C23" s="53" t="s">
        <v>31</v>
      </c>
      <c r="D23" s="53" t="str">
        <f ca="1">"0,6513"</f>
        <v>0,6513</v>
      </c>
      <c r="E23" s="53" t="s">
        <v>32</v>
      </c>
      <c r="F23" s="53" t="s">
        <v>44</v>
      </c>
      <c r="G23" s="53" t="s">
        <v>780</v>
      </c>
      <c r="H23" s="53" t="s">
        <v>88</v>
      </c>
      <c r="I23" s="54"/>
      <c r="J23" s="59">
        <v>230</v>
      </c>
      <c r="K23" s="53" t="str">
        <f ca="1">"149,7990"</f>
        <v>149,7990</v>
      </c>
      <c r="L23" s="53"/>
    </row>
    <row r="24" spans="1:12">
      <c r="A24" s="53" t="s">
        <v>1033</v>
      </c>
      <c r="B24" s="53" t="s">
        <v>1034</v>
      </c>
      <c r="C24" s="53" t="s">
        <v>1035</v>
      </c>
      <c r="D24" s="53" t="str">
        <f ca="1">"0,6718"</f>
        <v>0,6718</v>
      </c>
      <c r="E24" s="53" t="s">
        <v>49</v>
      </c>
      <c r="F24" s="53" t="s">
        <v>517</v>
      </c>
      <c r="G24" s="53" t="s">
        <v>16</v>
      </c>
      <c r="H24" s="53" t="s">
        <v>195</v>
      </c>
      <c r="I24" s="54"/>
      <c r="J24" s="59">
        <v>110</v>
      </c>
      <c r="K24" s="53" t="str">
        <f ca="1">"73,8980"</f>
        <v>73,8980</v>
      </c>
      <c r="L24" s="53"/>
    </row>
    <row r="25" spans="1:12">
      <c r="A25" s="53" t="s">
        <v>1036</v>
      </c>
      <c r="B25" s="53" t="s">
        <v>1037</v>
      </c>
      <c r="C25" s="53" t="s">
        <v>1038</v>
      </c>
      <c r="D25" s="53" t="str">
        <f ca="1">"0,6651"</f>
        <v>0,6651</v>
      </c>
      <c r="E25" s="53" t="s">
        <v>49</v>
      </c>
      <c r="F25" s="53" t="s">
        <v>27</v>
      </c>
      <c r="G25" s="54" t="s">
        <v>732</v>
      </c>
      <c r="H25" s="54"/>
      <c r="I25" s="54"/>
      <c r="J25" s="59" t="s">
        <v>1165</v>
      </c>
      <c r="K25" s="53" t="s">
        <v>1166</v>
      </c>
      <c r="L25" s="53"/>
    </row>
    <row r="26" spans="1:12">
      <c r="A26" s="53" t="s">
        <v>1167</v>
      </c>
      <c r="B26" s="53" t="s">
        <v>1168</v>
      </c>
      <c r="C26" s="53" t="s">
        <v>1169</v>
      </c>
      <c r="D26" s="53" t="str">
        <f ca="1">"0,8136"</f>
        <v>0,8136</v>
      </c>
      <c r="E26" s="53" t="s">
        <v>49</v>
      </c>
      <c r="F26" s="53" t="s">
        <v>269</v>
      </c>
      <c r="G26" s="53" t="s">
        <v>213</v>
      </c>
      <c r="H26" s="53" t="s">
        <v>217</v>
      </c>
      <c r="I26" s="54"/>
      <c r="J26" s="59">
        <v>155</v>
      </c>
      <c r="K26" s="53" t="str">
        <f ca="1">"126,1058"</f>
        <v>126,1058</v>
      </c>
      <c r="L26" s="53"/>
    </row>
    <row r="27" spans="1:12">
      <c r="A27" s="53" t="s">
        <v>1170</v>
      </c>
      <c r="B27" s="53" t="s">
        <v>1171</v>
      </c>
      <c r="C27" s="53" t="s">
        <v>1172</v>
      </c>
      <c r="D27" s="53" t="str">
        <f ca="1">"0,8206"</f>
        <v>0,8206</v>
      </c>
      <c r="E27" s="53" t="s">
        <v>49</v>
      </c>
      <c r="F27" s="53" t="s">
        <v>226</v>
      </c>
      <c r="G27" s="53" t="s">
        <v>342</v>
      </c>
      <c r="H27" s="54" t="s">
        <v>227</v>
      </c>
      <c r="I27" s="54"/>
      <c r="J27" s="59">
        <v>212.5</v>
      </c>
      <c r="K27" s="53" t="str">
        <f ca="1">"174,3746"</f>
        <v>174,3746</v>
      </c>
      <c r="L27" s="53"/>
    </row>
    <row r="28" spans="1:12">
      <c r="A28" s="53" t="s">
        <v>1173</v>
      </c>
      <c r="B28" s="53" t="s">
        <v>1174</v>
      </c>
      <c r="C28" s="53" t="s">
        <v>1175</v>
      </c>
      <c r="D28" s="53" t="str">
        <f ca="1">"1,0877"</f>
        <v>1,0877</v>
      </c>
      <c r="E28" s="53" t="s">
        <v>49</v>
      </c>
      <c r="F28" s="53" t="s">
        <v>269</v>
      </c>
      <c r="G28" s="54" t="s">
        <v>217</v>
      </c>
      <c r="H28" s="54" t="s">
        <v>217</v>
      </c>
      <c r="I28" s="54"/>
      <c r="J28" s="59" t="s">
        <v>1176</v>
      </c>
      <c r="K28" s="53" t="s">
        <v>1177</v>
      </c>
      <c r="L28" s="53"/>
    </row>
    <row r="29" spans="1:12">
      <c r="A29" s="50" t="s">
        <v>710</v>
      </c>
      <c r="B29" s="50" t="s">
        <v>711</v>
      </c>
      <c r="C29" s="50" t="s">
        <v>708</v>
      </c>
      <c r="D29" s="50" t="str">
        <f ca="1">"1,2175"</f>
        <v>1,2175</v>
      </c>
      <c r="E29" s="50" t="s">
        <v>582</v>
      </c>
      <c r="F29" s="50" t="s">
        <v>663</v>
      </c>
      <c r="G29" s="50" t="s">
        <v>195</v>
      </c>
      <c r="H29" s="50" t="s">
        <v>591</v>
      </c>
      <c r="I29" s="51"/>
      <c r="J29" s="58">
        <v>112.5</v>
      </c>
      <c r="K29" s="50" t="str">
        <f ca="1">"136,9713"</f>
        <v>136,9713</v>
      </c>
      <c r="L29" s="50"/>
    </row>
    <row r="31" ht="15.6" spans="1:11">
      <c r="A31" s="47" t="s">
        <v>35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2">
      <c r="A32" s="48" t="s">
        <v>1178</v>
      </c>
      <c r="B32" s="48" t="s">
        <v>1179</v>
      </c>
      <c r="C32" s="48" t="s">
        <v>747</v>
      </c>
      <c r="D32" s="48" t="str">
        <f ca="1">"0,6184"</f>
        <v>0,6184</v>
      </c>
      <c r="E32" s="48" t="s">
        <v>49</v>
      </c>
      <c r="F32" s="49"/>
      <c r="G32" s="49"/>
      <c r="H32" s="49"/>
      <c r="I32" s="49"/>
      <c r="J32" s="57">
        <v>0</v>
      </c>
      <c r="K32" s="48" t="str">
        <f ca="1">"0,0000"</f>
        <v>0,0000</v>
      </c>
      <c r="L32" s="48"/>
    </row>
    <row r="33" spans="1:12">
      <c r="A33" s="50" t="s">
        <v>1180</v>
      </c>
      <c r="B33" s="50" t="s">
        <v>1181</v>
      </c>
      <c r="C33" s="50" t="s">
        <v>232</v>
      </c>
      <c r="D33" s="50" t="str">
        <f ca="1">"0,6141"</f>
        <v>0,6141</v>
      </c>
      <c r="E33" s="50" t="s">
        <v>49</v>
      </c>
      <c r="F33" s="50" t="s">
        <v>135</v>
      </c>
      <c r="G33" s="51" t="s">
        <v>758</v>
      </c>
      <c r="H33" s="51" t="s">
        <v>758</v>
      </c>
      <c r="I33" s="51"/>
      <c r="J33" s="58" t="s">
        <v>135</v>
      </c>
      <c r="K33" s="50" t="s">
        <v>1182</v>
      </c>
      <c r="L33" s="50"/>
    </row>
    <row r="34" spans="1:12">
      <c r="A34" s="53" t="s">
        <v>1183</v>
      </c>
      <c r="B34" s="53" t="s">
        <v>1184</v>
      </c>
      <c r="C34" s="53" t="s">
        <v>1185</v>
      </c>
      <c r="D34" s="53" t="str">
        <f ca="1">"0,6303"</f>
        <v>0,6303</v>
      </c>
      <c r="E34" s="53" t="s">
        <v>39</v>
      </c>
      <c r="F34" s="54" t="s">
        <v>135</v>
      </c>
      <c r="G34" s="53" t="s">
        <v>252</v>
      </c>
      <c r="H34" s="54" t="s">
        <v>758</v>
      </c>
      <c r="I34" s="54"/>
      <c r="J34" s="59">
        <v>220</v>
      </c>
      <c r="K34" s="53" t="str">
        <f ca="1">"138,6770"</f>
        <v>138,6770</v>
      </c>
      <c r="L34" s="53"/>
    </row>
    <row r="35" spans="1:12">
      <c r="A35" s="53" t="s">
        <v>1186</v>
      </c>
      <c r="B35" s="53" t="s">
        <v>1187</v>
      </c>
      <c r="C35" s="53" t="s">
        <v>753</v>
      </c>
      <c r="D35" s="53" t="str">
        <f ca="1">"0,6295"</f>
        <v>0,6295</v>
      </c>
      <c r="E35" s="53" t="s">
        <v>49</v>
      </c>
      <c r="F35" s="54" t="s">
        <v>252</v>
      </c>
      <c r="G35" s="54" t="s">
        <v>88</v>
      </c>
      <c r="H35" s="54" t="s">
        <v>88</v>
      </c>
      <c r="I35" s="54"/>
      <c r="J35" s="59">
        <v>0</v>
      </c>
      <c r="K35" s="53" t="str">
        <f ca="1" t="shared" ref="K35:K36" si="0">"0,0000"</f>
        <v>0,0000</v>
      </c>
      <c r="L35" s="53"/>
    </row>
    <row r="36" spans="1:12">
      <c r="A36" s="53" t="s">
        <v>1178</v>
      </c>
      <c r="B36" s="53" t="s">
        <v>1188</v>
      </c>
      <c r="C36" s="53" t="s">
        <v>747</v>
      </c>
      <c r="D36" s="53" t="str">
        <f ca="1">"0,6184"</f>
        <v>0,6184</v>
      </c>
      <c r="E36" s="53" t="s">
        <v>49</v>
      </c>
      <c r="F36" s="54"/>
      <c r="G36" s="54"/>
      <c r="H36" s="54"/>
      <c r="I36" s="54"/>
      <c r="J36" s="59">
        <v>0</v>
      </c>
      <c r="K36" s="53" t="str">
        <f ca="1" t="shared" si="0"/>
        <v>0,0000</v>
      </c>
      <c r="L36" s="53"/>
    </row>
    <row r="38" ht="15.6" spans="1:11">
      <c r="A38" s="47" t="s">
        <v>53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2">
      <c r="A39" s="48" t="s">
        <v>1189</v>
      </c>
      <c r="B39" s="48" t="s">
        <v>1190</v>
      </c>
      <c r="C39" s="48" t="s">
        <v>1191</v>
      </c>
      <c r="D39" s="48" t="str">
        <f ca="1">"0,5840"</f>
        <v>0,5840</v>
      </c>
      <c r="E39" s="48" t="s">
        <v>240</v>
      </c>
      <c r="F39" s="48" t="s">
        <v>52</v>
      </c>
      <c r="G39" s="48" t="s">
        <v>379</v>
      </c>
      <c r="H39" s="48" t="s">
        <v>1192</v>
      </c>
      <c r="I39" s="49" t="s">
        <v>75</v>
      </c>
      <c r="J39" s="57">
        <v>280</v>
      </c>
      <c r="K39" s="48" t="str">
        <f ca="1">"163,5340"</f>
        <v>163,5340</v>
      </c>
      <c r="L39" s="48"/>
    </row>
    <row r="40" spans="1:12">
      <c r="A40" s="53" t="s">
        <v>1193</v>
      </c>
      <c r="B40" s="53" t="s">
        <v>1194</v>
      </c>
      <c r="C40" s="53" t="s">
        <v>1195</v>
      </c>
      <c r="D40" s="53" t="str">
        <f ca="1">"0,5997"</f>
        <v>0,5997</v>
      </c>
      <c r="E40" s="53" t="s">
        <v>1032</v>
      </c>
      <c r="F40" s="54" t="s">
        <v>80</v>
      </c>
      <c r="G40" s="53" t="s">
        <v>22</v>
      </c>
      <c r="H40" s="54" t="s">
        <v>323</v>
      </c>
      <c r="I40" s="54"/>
      <c r="J40" s="59">
        <v>265</v>
      </c>
      <c r="K40" s="53" t="str">
        <f ca="1">"158,9073"</f>
        <v>158,9073</v>
      </c>
      <c r="L40" s="53"/>
    </row>
    <row r="41" spans="1:12">
      <c r="A41" s="53" t="s">
        <v>781</v>
      </c>
      <c r="B41" s="53" t="s">
        <v>782</v>
      </c>
      <c r="C41" s="53" t="s">
        <v>56</v>
      </c>
      <c r="D41" s="53" t="str">
        <f ca="1">"0,5828"</f>
        <v>0,5828</v>
      </c>
      <c r="E41" s="53" t="s">
        <v>49</v>
      </c>
      <c r="F41" s="54" t="s">
        <v>33</v>
      </c>
      <c r="G41" s="53" t="s">
        <v>33</v>
      </c>
      <c r="H41" s="54" t="s">
        <v>40</v>
      </c>
      <c r="I41" s="54"/>
      <c r="J41" s="59">
        <v>240</v>
      </c>
      <c r="K41" s="53" t="str">
        <f ca="1">"139,8720"</f>
        <v>139,8720</v>
      </c>
      <c r="L41" s="53"/>
    </row>
    <row r="42" spans="1:12">
      <c r="A42" s="53" t="s">
        <v>1196</v>
      </c>
      <c r="B42" s="53" t="s">
        <v>1197</v>
      </c>
      <c r="C42" s="53" t="s">
        <v>1191</v>
      </c>
      <c r="D42" s="53" t="str">
        <f ca="1">"0,5840"</f>
        <v>0,5840</v>
      </c>
      <c r="E42" s="53" t="s">
        <v>49</v>
      </c>
      <c r="F42" s="54" t="s">
        <v>780</v>
      </c>
      <c r="G42" s="54" t="s">
        <v>780</v>
      </c>
      <c r="H42" s="54" t="s">
        <v>780</v>
      </c>
      <c r="I42" s="54"/>
      <c r="J42" s="59">
        <v>0</v>
      </c>
      <c r="K42" s="53" t="str">
        <f ca="1">"0,0000"</f>
        <v>0,0000</v>
      </c>
      <c r="L42" s="53"/>
    </row>
    <row r="43" spans="1:12">
      <c r="A43" s="53" t="s">
        <v>1189</v>
      </c>
      <c r="B43" s="53" t="s">
        <v>1198</v>
      </c>
      <c r="C43" s="53" t="s">
        <v>1191</v>
      </c>
      <c r="D43" s="53" t="str">
        <f ca="1">"0,5899"</f>
        <v>0,5899</v>
      </c>
      <c r="E43" s="53" t="s">
        <v>240</v>
      </c>
      <c r="F43" s="53" t="s">
        <v>52</v>
      </c>
      <c r="G43" s="53" t="s">
        <v>379</v>
      </c>
      <c r="H43" s="53" t="s">
        <v>1192</v>
      </c>
      <c r="I43" s="54" t="s">
        <v>75</v>
      </c>
      <c r="J43" s="59">
        <v>280</v>
      </c>
      <c r="K43" s="53" t="str">
        <f ca="1">"165,1693"</f>
        <v>165,1693</v>
      </c>
      <c r="L43" s="53"/>
    </row>
    <row r="44" spans="1:12">
      <c r="A44" s="50" t="s">
        <v>781</v>
      </c>
      <c r="B44" s="50" t="s">
        <v>786</v>
      </c>
      <c r="C44" s="50" t="s">
        <v>56</v>
      </c>
      <c r="D44" s="50" t="str">
        <f ca="1">"0,6009"</f>
        <v>0,6009</v>
      </c>
      <c r="E44" s="50" t="s">
        <v>49</v>
      </c>
      <c r="F44" s="51" t="s">
        <v>33</v>
      </c>
      <c r="G44" s="50" t="s">
        <v>33</v>
      </c>
      <c r="H44" s="51" t="s">
        <v>40</v>
      </c>
      <c r="I44" s="51"/>
      <c r="J44" s="58">
        <v>240</v>
      </c>
      <c r="K44" s="50" t="str">
        <f ca="1">"144,2080"</f>
        <v>144,2080</v>
      </c>
      <c r="L44" s="50"/>
    </row>
    <row r="46" ht="15.6" spans="1:11">
      <c r="A46" s="47" t="s">
        <v>57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</row>
    <row r="47" spans="1:12">
      <c r="A47" s="48" t="s">
        <v>348</v>
      </c>
      <c r="B47" s="48" t="s">
        <v>349</v>
      </c>
      <c r="C47" s="48" t="s">
        <v>350</v>
      </c>
      <c r="D47" s="48" t="str">
        <f ca="1">"0,5627"</f>
        <v>0,5627</v>
      </c>
      <c r="E47" s="48" t="s">
        <v>49</v>
      </c>
      <c r="F47" s="48" t="s">
        <v>252</v>
      </c>
      <c r="G47" s="48" t="s">
        <v>124</v>
      </c>
      <c r="H47" s="49" t="s">
        <v>758</v>
      </c>
      <c r="I47" s="49"/>
      <c r="J47" s="57">
        <v>227.5</v>
      </c>
      <c r="K47" s="48" t="str">
        <f ca="1">"128,0029"</f>
        <v>128,0029</v>
      </c>
      <c r="L47" s="48"/>
    </row>
    <row r="48" spans="1:12">
      <c r="A48" s="53" t="s">
        <v>1199</v>
      </c>
      <c r="B48" s="53" t="s">
        <v>1200</v>
      </c>
      <c r="C48" s="53" t="s">
        <v>1201</v>
      </c>
      <c r="D48" s="53" t="str">
        <f ca="1">"0,5650"</f>
        <v>0,5650</v>
      </c>
      <c r="E48" s="53" t="s">
        <v>49</v>
      </c>
      <c r="F48" s="53" t="s">
        <v>390</v>
      </c>
      <c r="G48" s="53" t="s">
        <v>394</v>
      </c>
      <c r="H48" s="53" t="s">
        <v>1202</v>
      </c>
      <c r="I48" s="54"/>
      <c r="J48" s="59">
        <v>322.5</v>
      </c>
      <c r="K48" s="53" t="str">
        <f ca="1">"182,2125"</f>
        <v>182,2125</v>
      </c>
      <c r="L48" s="53"/>
    </row>
    <row r="49" spans="1:12">
      <c r="A49" s="53" t="s">
        <v>1203</v>
      </c>
      <c r="B49" s="53" t="s">
        <v>1204</v>
      </c>
      <c r="C49" s="53" t="s">
        <v>97</v>
      </c>
      <c r="D49" s="53" t="str">
        <f ca="1">"0,5765"</f>
        <v>0,5765</v>
      </c>
      <c r="E49" s="53" t="s">
        <v>49</v>
      </c>
      <c r="F49" s="53" t="s">
        <v>33</v>
      </c>
      <c r="G49" s="54" t="s">
        <v>80</v>
      </c>
      <c r="H49" s="53" t="s">
        <v>80</v>
      </c>
      <c r="I49" s="54"/>
      <c r="J49" s="59">
        <v>250</v>
      </c>
      <c r="K49" s="53" t="str">
        <f ca="1">"144,1250"</f>
        <v>144,1250</v>
      </c>
      <c r="L49" s="53"/>
    </row>
    <row r="50" spans="1:12">
      <c r="A50" s="53" t="s">
        <v>1205</v>
      </c>
      <c r="B50" s="53" t="s">
        <v>1206</v>
      </c>
      <c r="C50" s="53" t="s">
        <v>850</v>
      </c>
      <c r="D50" s="53" t="str">
        <f ca="1">"0,5635"</f>
        <v>0,5635</v>
      </c>
      <c r="E50" s="53" t="s">
        <v>39</v>
      </c>
      <c r="F50" s="54" t="s">
        <v>44</v>
      </c>
      <c r="G50" s="54" t="s">
        <v>252</v>
      </c>
      <c r="H50" s="54" t="s">
        <v>252</v>
      </c>
      <c r="I50" s="54"/>
      <c r="J50" s="59">
        <v>0</v>
      </c>
      <c r="K50" s="53" t="str">
        <f ca="1" t="shared" ref="K50:K51" si="1">"0,0000"</f>
        <v>0,0000</v>
      </c>
      <c r="L50" s="53"/>
    </row>
    <row r="51" spans="1:12">
      <c r="A51" s="53" t="s">
        <v>1207</v>
      </c>
      <c r="B51" s="53" t="s">
        <v>1208</v>
      </c>
      <c r="C51" s="53" t="s">
        <v>840</v>
      </c>
      <c r="D51" s="53" t="str">
        <f ca="1">"0,6140"</f>
        <v>0,6140</v>
      </c>
      <c r="E51" s="53" t="s">
        <v>49</v>
      </c>
      <c r="F51" s="54" t="s">
        <v>33</v>
      </c>
      <c r="G51" s="54" t="s">
        <v>33</v>
      </c>
      <c r="H51" s="54"/>
      <c r="I51" s="54"/>
      <c r="J51" s="59">
        <v>0</v>
      </c>
      <c r="K51" s="53" t="str">
        <f ca="1" t="shared" si="1"/>
        <v>0,0000</v>
      </c>
      <c r="L51" s="53"/>
    </row>
    <row r="52" spans="1:12">
      <c r="A52" s="53" t="s">
        <v>1209</v>
      </c>
      <c r="B52" s="53" t="s">
        <v>1210</v>
      </c>
      <c r="C52" s="53" t="s">
        <v>1211</v>
      </c>
      <c r="D52" s="53" t="str">
        <f ca="1">"0,7112"</f>
        <v>0,7112</v>
      </c>
      <c r="E52" s="53" t="s">
        <v>49</v>
      </c>
      <c r="F52" s="53" t="s">
        <v>770</v>
      </c>
      <c r="G52" s="53" t="s">
        <v>207</v>
      </c>
      <c r="H52" s="54" t="s">
        <v>140</v>
      </c>
      <c r="I52" s="54"/>
      <c r="J52" s="59">
        <v>170</v>
      </c>
      <c r="K52" s="53" t="str">
        <f ca="1">"120,9100"</f>
        <v>120,9100</v>
      </c>
      <c r="L52" s="53"/>
    </row>
    <row r="53" spans="1:12">
      <c r="A53" s="53" t="s">
        <v>869</v>
      </c>
      <c r="B53" s="53" t="s">
        <v>870</v>
      </c>
      <c r="C53" s="53" t="s">
        <v>871</v>
      </c>
      <c r="D53" s="53" t="str">
        <f ca="1">"0,7702"</f>
        <v>0,7702</v>
      </c>
      <c r="E53" s="53" t="s">
        <v>49</v>
      </c>
      <c r="F53" s="53" t="s">
        <v>264</v>
      </c>
      <c r="G53" s="53" t="s">
        <v>88</v>
      </c>
      <c r="H53" s="53" t="s">
        <v>50</v>
      </c>
      <c r="I53" s="53" t="s">
        <v>33</v>
      </c>
      <c r="J53" s="59">
        <v>235</v>
      </c>
      <c r="K53" s="53" t="str">
        <f ca="1">"181,0045"</f>
        <v>181,0045</v>
      </c>
      <c r="L53" s="53"/>
    </row>
    <row r="54" spans="1:12">
      <c r="A54" s="53" t="s">
        <v>1212</v>
      </c>
      <c r="B54" s="53" t="s">
        <v>1213</v>
      </c>
      <c r="C54" s="53" t="s">
        <v>1214</v>
      </c>
      <c r="D54" s="53" t="str">
        <f ca="1">"0,7884"</f>
        <v>0,7884</v>
      </c>
      <c r="E54" s="53" t="s">
        <v>49</v>
      </c>
      <c r="F54" s="54" t="s">
        <v>252</v>
      </c>
      <c r="G54" s="54" t="s">
        <v>252</v>
      </c>
      <c r="H54" s="53" t="s">
        <v>252</v>
      </c>
      <c r="I54" s="54"/>
      <c r="J54" s="59">
        <v>220</v>
      </c>
      <c r="K54" s="53" t="str">
        <f ca="1">"173,4410"</f>
        <v>173,4410</v>
      </c>
      <c r="L54" s="53" t="s">
        <v>1215</v>
      </c>
    </row>
    <row r="55" spans="1:12">
      <c r="A55" s="53" t="s">
        <v>1216</v>
      </c>
      <c r="B55" s="53" t="s">
        <v>1217</v>
      </c>
      <c r="C55" s="53" t="s">
        <v>1218</v>
      </c>
      <c r="D55" s="53" t="str">
        <f ca="1">"0,8435"</f>
        <v>0,8435</v>
      </c>
      <c r="E55" s="53" t="s">
        <v>686</v>
      </c>
      <c r="F55" s="53" t="s">
        <v>140</v>
      </c>
      <c r="G55" s="53" t="s">
        <v>141</v>
      </c>
      <c r="H55" s="54" t="s">
        <v>28</v>
      </c>
      <c r="I55" s="54"/>
      <c r="J55" s="59">
        <v>190</v>
      </c>
      <c r="K55" s="53" t="str">
        <f ca="1">"160,2699"</f>
        <v>160,2699</v>
      </c>
      <c r="L55" s="53"/>
    </row>
    <row r="56" spans="1:12">
      <c r="A56" s="50" t="s">
        <v>95</v>
      </c>
      <c r="B56" s="50" t="s">
        <v>96</v>
      </c>
      <c r="C56" s="50" t="s">
        <v>97</v>
      </c>
      <c r="D56" s="50" t="str">
        <f ca="1">"1,0579"</f>
        <v>1,0579</v>
      </c>
      <c r="E56" s="50" t="s">
        <v>98</v>
      </c>
      <c r="F56" s="50" t="s">
        <v>99</v>
      </c>
      <c r="G56" s="51"/>
      <c r="H56" s="51"/>
      <c r="I56" s="51"/>
      <c r="J56" s="58" t="s">
        <v>99</v>
      </c>
      <c r="K56" s="50" t="s">
        <v>1219</v>
      </c>
      <c r="L56" s="50"/>
    </row>
    <row r="58" ht="15.6" spans="1:11">
      <c r="A58" s="47" t="s">
        <v>102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</row>
    <row r="59" spans="1:12">
      <c r="A59" s="48" t="s">
        <v>111</v>
      </c>
      <c r="B59" s="48" t="s">
        <v>112</v>
      </c>
      <c r="C59" s="48" t="s">
        <v>113</v>
      </c>
      <c r="D59" s="48" t="str">
        <f ca="1">"0,5530"</f>
        <v>0,5530</v>
      </c>
      <c r="E59" s="48" t="s">
        <v>32</v>
      </c>
      <c r="F59" s="48" t="s">
        <v>347</v>
      </c>
      <c r="G59" s="49" t="s">
        <v>75</v>
      </c>
      <c r="H59" s="49"/>
      <c r="I59" s="49"/>
      <c r="J59" s="57">
        <v>280</v>
      </c>
      <c r="K59" s="48" t="str">
        <f ca="1">"154,8400"</f>
        <v>154,8400</v>
      </c>
      <c r="L59" s="48"/>
    </row>
    <row r="60" spans="1:12">
      <c r="A60" s="53" t="s">
        <v>1220</v>
      </c>
      <c r="B60" s="53" t="s">
        <v>1221</v>
      </c>
      <c r="C60" s="53" t="s">
        <v>1222</v>
      </c>
      <c r="D60" s="53" t="str">
        <f ca="1">"0,5480"</f>
        <v>0,5480</v>
      </c>
      <c r="E60" s="53" t="s">
        <v>49</v>
      </c>
      <c r="F60" s="53" t="s">
        <v>33</v>
      </c>
      <c r="G60" s="54" t="s">
        <v>80</v>
      </c>
      <c r="H60" s="53" t="s">
        <v>89</v>
      </c>
      <c r="I60" s="54"/>
      <c r="J60" s="59">
        <v>255</v>
      </c>
      <c r="K60" s="53" t="str">
        <f ca="1">"139,7400"</f>
        <v>139,7400</v>
      </c>
      <c r="L60" s="53"/>
    </row>
    <row r="61" spans="1:12">
      <c r="A61" s="53" t="s">
        <v>1223</v>
      </c>
      <c r="B61" s="53" t="s">
        <v>1224</v>
      </c>
      <c r="C61" s="53" t="s">
        <v>1225</v>
      </c>
      <c r="D61" s="53" t="str">
        <f ca="1">"0,5595"</f>
        <v>0,5595</v>
      </c>
      <c r="E61" s="53" t="s">
        <v>39</v>
      </c>
      <c r="F61" s="53" t="s">
        <v>33</v>
      </c>
      <c r="G61" s="53" t="s">
        <v>80</v>
      </c>
      <c r="H61" s="53" t="s">
        <v>52</v>
      </c>
      <c r="I61" s="54"/>
      <c r="J61" s="59">
        <v>252.5</v>
      </c>
      <c r="K61" s="53" t="str">
        <f ca="1">"141,2737"</f>
        <v>141,2737</v>
      </c>
      <c r="L61" s="53"/>
    </row>
    <row r="62" spans="1:12">
      <c r="A62" s="53" t="s">
        <v>1226</v>
      </c>
      <c r="B62" s="53" t="s">
        <v>1227</v>
      </c>
      <c r="C62" s="53" t="s">
        <v>1228</v>
      </c>
      <c r="D62" s="53" t="str">
        <f ca="1">"0,5562"</f>
        <v>0,5562</v>
      </c>
      <c r="E62" s="53" t="s">
        <v>49</v>
      </c>
      <c r="F62" s="53" t="s">
        <v>88</v>
      </c>
      <c r="G62" s="53" t="s">
        <v>33</v>
      </c>
      <c r="H62" s="53" t="s">
        <v>80</v>
      </c>
      <c r="I62" s="54"/>
      <c r="J62" s="59">
        <v>250</v>
      </c>
      <c r="K62" s="53" t="str">
        <f ca="1">"139,0625"</f>
        <v>139,0625</v>
      </c>
      <c r="L62" s="53"/>
    </row>
    <row r="63" spans="1:12">
      <c r="A63" s="53" t="s">
        <v>1229</v>
      </c>
      <c r="B63" s="53" t="s">
        <v>1230</v>
      </c>
      <c r="C63" s="53" t="s">
        <v>1231</v>
      </c>
      <c r="D63" s="53" t="str">
        <f ca="1">"0,5501"</f>
        <v>0,5501</v>
      </c>
      <c r="E63" s="53" t="s">
        <v>49</v>
      </c>
      <c r="F63" s="54" t="s">
        <v>114</v>
      </c>
      <c r="G63" s="54" t="s">
        <v>114</v>
      </c>
      <c r="H63" s="54" t="s">
        <v>114</v>
      </c>
      <c r="I63" s="54"/>
      <c r="J63" s="59">
        <v>0</v>
      </c>
      <c r="K63" s="53" t="str">
        <f ca="1">"0,0000"</f>
        <v>0,0000</v>
      </c>
      <c r="L63" s="53"/>
    </row>
    <row r="64" spans="1:12">
      <c r="A64" s="53" t="s">
        <v>1226</v>
      </c>
      <c r="B64" s="53" t="s">
        <v>1232</v>
      </c>
      <c r="C64" s="53" t="s">
        <v>1228</v>
      </c>
      <c r="D64" s="53" t="str">
        <f ca="1">"0,5674"</f>
        <v>0,5674</v>
      </c>
      <c r="E64" s="53" t="s">
        <v>49</v>
      </c>
      <c r="F64" s="53" t="s">
        <v>88</v>
      </c>
      <c r="G64" s="53" t="s">
        <v>33</v>
      </c>
      <c r="H64" s="53" t="s">
        <v>80</v>
      </c>
      <c r="I64" s="54"/>
      <c r="J64" s="59">
        <v>250</v>
      </c>
      <c r="K64" s="53" t="str">
        <f ca="1">"141,8438"</f>
        <v>141,8438</v>
      </c>
      <c r="L64" s="53"/>
    </row>
    <row r="65" spans="1:12">
      <c r="A65" s="50" t="s">
        <v>103</v>
      </c>
      <c r="B65" s="50" t="s">
        <v>116</v>
      </c>
      <c r="C65" s="50" t="s">
        <v>105</v>
      </c>
      <c r="D65" s="50" t="str">
        <f ca="1">"0,6022"</f>
        <v>0,6022</v>
      </c>
      <c r="E65" s="50" t="s">
        <v>49</v>
      </c>
      <c r="F65" s="51" t="s">
        <v>347</v>
      </c>
      <c r="G65" s="51" t="s">
        <v>45</v>
      </c>
      <c r="H65" s="51"/>
      <c r="I65" s="51"/>
      <c r="J65" s="58">
        <v>0</v>
      </c>
      <c r="K65" s="50" t="str">
        <f ca="1">"0,0000"</f>
        <v>0,0000</v>
      </c>
      <c r="L65" s="50"/>
    </row>
    <row r="67" ht="15.6" spans="1:11">
      <c r="A67" s="47" t="s">
        <v>125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1:12">
      <c r="A68" s="48" t="s">
        <v>1233</v>
      </c>
      <c r="B68" s="48" t="s">
        <v>1234</v>
      </c>
      <c r="C68" s="48" t="s">
        <v>1235</v>
      </c>
      <c r="D68" s="48" t="str">
        <f ca="1">"0,5374"</f>
        <v>0,5374</v>
      </c>
      <c r="E68" s="48" t="s">
        <v>240</v>
      </c>
      <c r="F68" s="48" t="s">
        <v>84</v>
      </c>
      <c r="G68" s="49"/>
      <c r="H68" s="49"/>
      <c r="I68" s="49"/>
      <c r="J68" s="57" t="s">
        <v>1236</v>
      </c>
      <c r="K68" s="48" t="s">
        <v>1237</v>
      </c>
      <c r="L68" s="48"/>
    </row>
    <row r="69" spans="1:12">
      <c r="A69" s="50" t="s">
        <v>1238</v>
      </c>
      <c r="B69" s="50" t="s">
        <v>1239</v>
      </c>
      <c r="C69" s="50" t="s">
        <v>1240</v>
      </c>
      <c r="D69" s="50" t="str">
        <f ca="1">"0,8062"</f>
        <v>0,8062</v>
      </c>
      <c r="E69" s="50" t="s">
        <v>32</v>
      </c>
      <c r="F69" s="51" t="s">
        <v>88</v>
      </c>
      <c r="G69" s="51" t="s">
        <v>88</v>
      </c>
      <c r="H69" s="51" t="s">
        <v>88</v>
      </c>
      <c r="I69" s="51"/>
      <c r="J69" s="58">
        <v>0</v>
      </c>
      <c r="K69" s="50" t="str">
        <f ca="1">"0,0000"</f>
        <v>0,0000</v>
      </c>
      <c r="L69" s="50"/>
    </row>
    <row r="71" ht="15.6" spans="1:11">
      <c r="A71" s="47" t="s">
        <v>136</v>
      </c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1:12">
      <c r="A72" s="48" t="s">
        <v>1241</v>
      </c>
      <c r="B72" s="48" t="s">
        <v>1242</v>
      </c>
      <c r="C72" s="48" t="s">
        <v>1243</v>
      </c>
      <c r="D72" s="48" t="str">
        <f ca="1">"0,5306"</f>
        <v>0,5306</v>
      </c>
      <c r="E72" s="48" t="s">
        <v>240</v>
      </c>
      <c r="F72" s="48" t="s">
        <v>313</v>
      </c>
      <c r="G72" s="48" t="s">
        <v>1244</v>
      </c>
      <c r="H72" s="48" t="s">
        <v>63</v>
      </c>
      <c r="I72" s="49" t="s">
        <v>426</v>
      </c>
      <c r="J72" s="57">
        <v>345</v>
      </c>
      <c r="K72" s="48" t="str">
        <f ca="1">"183,0708"</f>
        <v>183,0708</v>
      </c>
      <c r="L72" s="48"/>
    </row>
    <row r="73" spans="1:12">
      <c r="A73" s="50" t="s">
        <v>1245</v>
      </c>
      <c r="B73" s="50" t="s">
        <v>1246</v>
      </c>
      <c r="C73" s="50" t="s">
        <v>1132</v>
      </c>
      <c r="D73" s="50" t="str">
        <f ca="1">"0,5115"</f>
        <v>0,5115</v>
      </c>
      <c r="E73" s="50" t="s">
        <v>61</v>
      </c>
      <c r="F73" s="51" t="s">
        <v>117</v>
      </c>
      <c r="G73" s="50" t="s">
        <v>117</v>
      </c>
      <c r="H73" s="50" t="s">
        <v>118</v>
      </c>
      <c r="I73" s="51"/>
      <c r="J73" s="58">
        <v>320</v>
      </c>
      <c r="K73" s="50" t="str">
        <f ca="1">"163,6688"</f>
        <v>163,6688</v>
      </c>
      <c r="L73" s="50"/>
    </row>
    <row r="75" ht="15.6" spans="5:5">
      <c r="E75" s="60" t="s">
        <v>148</v>
      </c>
    </row>
    <row r="76" ht="15.6" spans="5:5">
      <c r="E76" s="60" t="s">
        <v>149</v>
      </c>
    </row>
    <row r="77" ht="15.6" spans="5:5">
      <c r="E77" s="60" t="s">
        <v>150</v>
      </c>
    </row>
    <row r="82" ht="18" spans="1:2">
      <c r="A82" s="61" t="s">
        <v>154</v>
      </c>
      <c r="B82" s="61"/>
    </row>
    <row r="83" ht="15.6" spans="1:2">
      <c r="A83" s="62" t="s">
        <v>443</v>
      </c>
      <c r="B83" s="62"/>
    </row>
    <row r="84" ht="13.8" spans="1:2">
      <c r="A84" s="63" t="s">
        <v>156</v>
      </c>
      <c r="B84" s="64"/>
    </row>
    <row r="85" ht="13.8" spans="1:5">
      <c r="A85" s="65" t="s">
        <v>1</v>
      </c>
      <c r="B85" s="65" t="s">
        <v>157</v>
      </c>
      <c r="C85" s="65" t="s">
        <v>158</v>
      </c>
      <c r="D85" s="65" t="s">
        <v>7</v>
      </c>
      <c r="E85" s="65" t="s">
        <v>159</v>
      </c>
    </row>
    <row r="86" spans="1:5">
      <c r="A86" s="66" t="s">
        <v>1159</v>
      </c>
      <c r="B86" s="43" t="s">
        <v>156</v>
      </c>
      <c r="C86" s="43" t="s">
        <v>164</v>
      </c>
      <c r="D86" s="43" t="s">
        <v>226</v>
      </c>
      <c r="E86" s="67" t="s">
        <v>1247</v>
      </c>
    </row>
    <row r="87" spans="1:5">
      <c r="A87" s="66" t="s">
        <v>1155</v>
      </c>
      <c r="B87" s="43" t="s">
        <v>156</v>
      </c>
      <c r="C87" s="43" t="s">
        <v>535</v>
      </c>
      <c r="D87" s="43" t="s">
        <v>697</v>
      </c>
      <c r="E87" s="67" t="s">
        <v>1248</v>
      </c>
    </row>
    <row r="89" ht="13.8" spans="1:2">
      <c r="A89" s="63" t="s">
        <v>178</v>
      </c>
      <c r="B89" s="64"/>
    </row>
    <row r="90" ht="13.8" spans="1:5">
      <c r="A90" s="65" t="s">
        <v>1</v>
      </c>
      <c r="B90" s="65" t="s">
        <v>157</v>
      </c>
      <c r="C90" s="65" t="s">
        <v>158</v>
      </c>
      <c r="D90" s="65" t="s">
        <v>7</v>
      </c>
      <c r="E90" s="65" t="s">
        <v>159</v>
      </c>
    </row>
    <row r="91" spans="1:5">
      <c r="A91" s="66" t="s">
        <v>599</v>
      </c>
      <c r="B91" s="43" t="s">
        <v>187</v>
      </c>
      <c r="C91" s="43" t="s">
        <v>456</v>
      </c>
      <c r="D91" s="43" t="s">
        <v>269</v>
      </c>
      <c r="E91" s="67" t="s">
        <v>1249</v>
      </c>
    </row>
    <row r="94" ht="15.6" spans="1:2">
      <c r="A94" s="62" t="s">
        <v>155</v>
      </c>
      <c r="B94" s="62"/>
    </row>
    <row r="95" ht="13.8" spans="1:2">
      <c r="A95" s="63" t="s">
        <v>444</v>
      </c>
      <c r="B95" s="64"/>
    </row>
    <row r="96" ht="13.8" spans="1:5">
      <c r="A96" s="65" t="s">
        <v>1</v>
      </c>
      <c r="B96" s="65" t="s">
        <v>157</v>
      </c>
      <c r="C96" s="65" t="s">
        <v>158</v>
      </c>
      <c r="D96" s="65" t="s">
        <v>7</v>
      </c>
      <c r="E96" s="65" t="s">
        <v>159</v>
      </c>
    </row>
    <row r="97" spans="1:5">
      <c r="A97" s="66" t="s">
        <v>348</v>
      </c>
      <c r="B97" s="43" t="s">
        <v>445</v>
      </c>
      <c r="C97" s="43" t="s">
        <v>163</v>
      </c>
      <c r="D97" s="43" t="s">
        <v>124</v>
      </c>
      <c r="E97" s="67" t="s">
        <v>1250</v>
      </c>
    </row>
    <row r="99" ht="13.8" spans="1:2">
      <c r="A99" s="63" t="s">
        <v>448</v>
      </c>
      <c r="B99" s="64"/>
    </row>
    <row r="100" ht="13.8" spans="1:5">
      <c r="A100" s="65" t="s">
        <v>1</v>
      </c>
      <c r="B100" s="65" t="s">
        <v>157</v>
      </c>
      <c r="C100" s="65" t="s">
        <v>158</v>
      </c>
      <c r="D100" s="65" t="s">
        <v>7</v>
      </c>
      <c r="E100" s="65" t="s">
        <v>159</v>
      </c>
    </row>
    <row r="101" spans="1:5">
      <c r="A101" s="66" t="s">
        <v>675</v>
      </c>
      <c r="B101" s="43" t="s">
        <v>450</v>
      </c>
      <c r="C101" s="43" t="s">
        <v>164</v>
      </c>
      <c r="D101" s="43" t="s">
        <v>141</v>
      </c>
      <c r="E101" s="67" t="s">
        <v>1251</v>
      </c>
    </row>
    <row r="102" spans="1:5">
      <c r="A102" s="66" t="s">
        <v>1162</v>
      </c>
      <c r="B102" s="43" t="s">
        <v>450</v>
      </c>
      <c r="C102" s="43" t="s">
        <v>537</v>
      </c>
      <c r="D102" s="43" t="s">
        <v>605</v>
      </c>
      <c r="E102" s="67" t="s">
        <v>1252</v>
      </c>
    </row>
    <row r="104" ht="13.8" spans="1:2">
      <c r="A104" s="63" t="s">
        <v>156</v>
      </c>
      <c r="B104" s="64"/>
    </row>
    <row r="105" ht="13.8" spans="1:5">
      <c r="A105" s="65" t="s">
        <v>1</v>
      </c>
      <c r="B105" s="65" t="s">
        <v>157</v>
      </c>
      <c r="C105" s="65" t="s">
        <v>158</v>
      </c>
      <c r="D105" s="65" t="s">
        <v>7</v>
      </c>
      <c r="E105" s="65" t="s">
        <v>159</v>
      </c>
    </row>
    <row r="106" spans="1:5">
      <c r="A106" s="66" t="s">
        <v>1241</v>
      </c>
      <c r="B106" s="43" t="s">
        <v>156</v>
      </c>
      <c r="C106" s="43" t="s">
        <v>185</v>
      </c>
      <c r="D106" s="43" t="s">
        <v>63</v>
      </c>
      <c r="E106" s="67" t="s">
        <v>1253</v>
      </c>
    </row>
    <row r="107" spans="1:5">
      <c r="A107" s="66" t="s">
        <v>1199</v>
      </c>
      <c r="B107" s="43" t="s">
        <v>156</v>
      </c>
      <c r="C107" s="43" t="s">
        <v>163</v>
      </c>
      <c r="D107" s="43" t="s">
        <v>386</v>
      </c>
      <c r="E107" s="67" t="s">
        <v>1254</v>
      </c>
    </row>
    <row r="108" spans="1:5">
      <c r="A108" s="66" t="s">
        <v>1245</v>
      </c>
      <c r="B108" s="43" t="s">
        <v>156</v>
      </c>
      <c r="C108" s="43" t="s">
        <v>185</v>
      </c>
      <c r="D108" s="43" t="s">
        <v>118</v>
      </c>
      <c r="E108" s="67" t="s">
        <v>1255</v>
      </c>
    </row>
    <row r="109" spans="1:5">
      <c r="A109" s="66" t="s">
        <v>1189</v>
      </c>
      <c r="B109" s="43" t="s">
        <v>156</v>
      </c>
      <c r="C109" s="43" t="s">
        <v>172</v>
      </c>
      <c r="D109" s="43" t="s">
        <v>347</v>
      </c>
      <c r="E109" s="67" t="s">
        <v>1256</v>
      </c>
    </row>
    <row r="110" spans="1:5">
      <c r="A110" s="66" t="s">
        <v>1233</v>
      </c>
      <c r="B110" s="43" t="s">
        <v>156</v>
      </c>
      <c r="C110" s="43" t="s">
        <v>160</v>
      </c>
      <c r="D110" s="71" t="s">
        <v>84</v>
      </c>
      <c r="E110" s="72" t="s">
        <v>1237</v>
      </c>
    </row>
    <row r="111" spans="1:5">
      <c r="A111" s="66" t="s">
        <v>1017</v>
      </c>
      <c r="B111" s="43" t="s">
        <v>156</v>
      </c>
      <c r="C111" s="43" t="s">
        <v>456</v>
      </c>
      <c r="D111" s="43" t="s">
        <v>135</v>
      </c>
      <c r="E111" s="67" t="s">
        <v>1257</v>
      </c>
    </row>
    <row r="112" spans="1:5">
      <c r="A112" s="66" t="s">
        <v>1193</v>
      </c>
      <c r="B112" s="43" t="s">
        <v>156</v>
      </c>
      <c r="C112" s="43" t="s">
        <v>172</v>
      </c>
      <c r="D112" s="43" t="s">
        <v>22</v>
      </c>
      <c r="E112" s="67" t="s">
        <v>1258</v>
      </c>
    </row>
    <row r="113" spans="1:5">
      <c r="A113" s="66" t="s">
        <v>111</v>
      </c>
      <c r="B113" s="43" t="s">
        <v>156</v>
      </c>
      <c r="C113" s="43" t="s">
        <v>167</v>
      </c>
      <c r="D113" s="43" t="s">
        <v>347</v>
      </c>
      <c r="E113" s="67" t="s">
        <v>1259</v>
      </c>
    </row>
    <row r="114" spans="1:5">
      <c r="A114" s="66" t="s">
        <v>29</v>
      </c>
      <c r="B114" s="43" t="s">
        <v>156</v>
      </c>
      <c r="C114" s="43" t="s">
        <v>164</v>
      </c>
      <c r="D114" s="43" t="s">
        <v>88</v>
      </c>
      <c r="E114" s="67" t="s">
        <v>1260</v>
      </c>
    </row>
    <row r="115" spans="1:5">
      <c r="A115" s="66" t="s">
        <v>1203</v>
      </c>
      <c r="B115" s="43" t="s">
        <v>156</v>
      </c>
      <c r="C115" s="43" t="s">
        <v>163</v>
      </c>
      <c r="D115" s="43" t="s">
        <v>80</v>
      </c>
      <c r="E115" s="67" t="s">
        <v>1261</v>
      </c>
    </row>
    <row r="116" spans="1:5">
      <c r="A116" s="66" t="s">
        <v>1223</v>
      </c>
      <c r="B116" s="43" t="s">
        <v>156</v>
      </c>
      <c r="C116" s="43" t="s">
        <v>167</v>
      </c>
      <c r="D116" s="43" t="s">
        <v>52</v>
      </c>
      <c r="E116" s="67" t="s">
        <v>1262</v>
      </c>
    </row>
    <row r="117" spans="1:5">
      <c r="A117" s="66" t="s">
        <v>781</v>
      </c>
      <c r="B117" s="43" t="s">
        <v>156</v>
      </c>
      <c r="C117" s="43" t="s">
        <v>172</v>
      </c>
      <c r="D117" s="43" t="s">
        <v>33</v>
      </c>
      <c r="E117" s="67" t="s">
        <v>1263</v>
      </c>
    </row>
    <row r="118" spans="1:5">
      <c r="A118" s="66" t="s">
        <v>1220</v>
      </c>
      <c r="B118" s="43" t="s">
        <v>156</v>
      </c>
      <c r="C118" s="43" t="s">
        <v>167</v>
      </c>
      <c r="D118" s="43" t="s">
        <v>89</v>
      </c>
      <c r="E118" s="67" t="s">
        <v>1264</v>
      </c>
    </row>
    <row r="119" spans="1:5">
      <c r="A119" s="66" t="s">
        <v>1226</v>
      </c>
      <c r="B119" s="43" t="s">
        <v>156</v>
      </c>
      <c r="C119" s="43" t="s">
        <v>167</v>
      </c>
      <c r="D119" s="43" t="s">
        <v>80</v>
      </c>
      <c r="E119" s="67" t="s">
        <v>1265</v>
      </c>
    </row>
    <row r="120" spans="1:5">
      <c r="A120" s="66" t="s">
        <v>1183</v>
      </c>
      <c r="B120" s="43" t="s">
        <v>156</v>
      </c>
      <c r="C120" s="43" t="s">
        <v>170</v>
      </c>
      <c r="D120" s="43" t="s">
        <v>252</v>
      </c>
      <c r="E120" s="67" t="s">
        <v>1266</v>
      </c>
    </row>
    <row r="121" spans="1:5">
      <c r="A121" s="66" t="s">
        <v>1033</v>
      </c>
      <c r="B121" s="43" t="s">
        <v>156</v>
      </c>
      <c r="C121" s="43" t="s">
        <v>164</v>
      </c>
      <c r="D121" s="43" t="s">
        <v>195</v>
      </c>
      <c r="E121" s="67" t="s">
        <v>1267</v>
      </c>
    </row>
    <row r="123" ht="13.8" spans="1:2">
      <c r="A123" s="63" t="s">
        <v>178</v>
      </c>
      <c r="B123" s="64"/>
    </row>
    <row r="124" ht="13.8" spans="1:5">
      <c r="A124" s="65" t="s">
        <v>1</v>
      </c>
      <c r="B124" s="65" t="s">
        <v>157</v>
      </c>
      <c r="C124" s="65" t="s">
        <v>158</v>
      </c>
      <c r="D124" s="65" t="s">
        <v>7</v>
      </c>
      <c r="E124" s="65" t="s">
        <v>159</v>
      </c>
    </row>
    <row r="125" spans="1:5">
      <c r="A125" s="66" t="s">
        <v>869</v>
      </c>
      <c r="B125" s="43" t="s">
        <v>455</v>
      </c>
      <c r="C125" s="43" t="s">
        <v>163</v>
      </c>
      <c r="D125" s="43" t="s">
        <v>50</v>
      </c>
      <c r="E125" s="67" t="s">
        <v>1268</v>
      </c>
    </row>
    <row r="126" spans="1:5">
      <c r="A126" s="66" t="s">
        <v>1170</v>
      </c>
      <c r="B126" s="43" t="s">
        <v>181</v>
      </c>
      <c r="C126" s="43" t="s">
        <v>164</v>
      </c>
      <c r="D126" s="43" t="s">
        <v>342</v>
      </c>
      <c r="E126" s="67" t="s">
        <v>1269</v>
      </c>
    </row>
    <row r="127" spans="1:5">
      <c r="A127" s="66" t="s">
        <v>1212</v>
      </c>
      <c r="B127" s="43" t="s">
        <v>455</v>
      </c>
      <c r="C127" s="43" t="s">
        <v>163</v>
      </c>
      <c r="D127" s="43" t="s">
        <v>252</v>
      </c>
      <c r="E127" s="67" t="s">
        <v>1270</v>
      </c>
    </row>
    <row r="128" spans="1:5">
      <c r="A128" s="66" t="s">
        <v>1189</v>
      </c>
      <c r="B128" s="43" t="s">
        <v>460</v>
      </c>
      <c r="C128" s="43" t="s">
        <v>172</v>
      </c>
      <c r="D128" s="43" t="s">
        <v>347</v>
      </c>
      <c r="E128" s="67" t="s">
        <v>1271</v>
      </c>
    </row>
    <row r="129" spans="1:5">
      <c r="A129" s="66" t="s">
        <v>1216</v>
      </c>
      <c r="B129" s="43" t="s">
        <v>502</v>
      </c>
      <c r="C129" s="43" t="s">
        <v>163</v>
      </c>
      <c r="D129" s="43" t="s">
        <v>141</v>
      </c>
      <c r="E129" s="67" t="s">
        <v>1272</v>
      </c>
    </row>
    <row r="130" spans="1:5">
      <c r="A130" s="66" t="s">
        <v>781</v>
      </c>
      <c r="B130" s="43" t="s">
        <v>460</v>
      </c>
      <c r="C130" s="43" t="s">
        <v>172</v>
      </c>
      <c r="D130" s="43" t="s">
        <v>33</v>
      </c>
      <c r="E130" s="67" t="s">
        <v>1273</v>
      </c>
    </row>
    <row r="131" spans="1:5">
      <c r="A131" s="66" t="s">
        <v>1226</v>
      </c>
      <c r="B131" s="43" t="s">
        <v>460</v>
      </c>
      <c r="C131" s="43" t="s">
        <v>167</v>
      </c>
      <c r="D131" s="43" t="s">
        <v>80</v>
      </c>
      <c r="E131" s="67" t="s">
        <v>1274</v>
      </c>
    </row>
    <row r="132" spans="1:5">
      <c r="A132" s="66" t="s">
        <v>710</v>
      </c>
      <c r="B132" s="43" t="s">
        <v>1003</v>
      </c>
      <c r="C132" s="43" t="s">
        <v>164</v>
      </c>
      <c r="D132" s="43" t="s">
        <v>591</v>
      </c>
      <c r="E132" s="67" t="s">
        <v>1275</v>
      </c>
    </row>
    <row r="133" spans="1:5">
      <c r="A133" s="66" t="s">
        <v>1167</v>
      </c>
      <c r="B133" s="43" t="s">
        <v>187</v>
      </c>
      <c r="C133" s="43" t="s">
        <v>164</v>
      </c>
      <c r="D133" s="43" t="s">
        <v>217</v>
      </c>
      <c r="E133" s="67" t="s">
        <v>1276</v>
      </c>
    </row>
    <row r="134" spans="1:5">
      <c r="A134" s="66" t="s">
        <v>656</v>
      </c>
      <c r="B134" s="43" t="s">
        <v>179</v>
      </c>
      <c r="C134" s="43" t="s">
        <v>456</v>
      </c>
      <c r="D134" s="43" t="s">
        <v>207</v>
      </c>
      <c r="E134" s="67" t="s">
        <v>1277</v>
      </c>
    </row>
    <row r="135" spans="1:5">
      <c r="A135" s="66" t="s">
        <v>1209</v>
      </c>
      <c r="B135" s="43" t="s">
        <v>181</v>
      </c>
      <c r="C135" s="43" t="s">
        <v>163</v>
      </c>
      <c r="D135" s="43" t="s">
        <v>207</v>
      </c>
      <c r="E135" s="67" t="s">
        <v>1278</v>
      </c>
    </row>
  </sheetData>
  <sheetProtection selectLockedCells="1" selectUnlockedCells="1"/>
  <mergeCells count="22">
    <mergeCell ref="F3:I3"/>
    <mergeCell ref="A5:K5"/>
    <mergeCell ref="A8:K8"/>
    <mergeCell ref="A11:K11"/>
    <mergeCell ref="A14:K14"/>
    <mergeCell ref="A17:K17"/>
    <mergeCell ref="A21:K21"/>
    <mergeCell ref="A31:K31"/>
    <mergeCell ref="A38:K38"/>
    <mergeCell ref="A46:K46"/>
    <mergeCell ref="A58:K58"/>
    <mergeCell ref="A67:K67"/>
    <mergeCell ref="A71:K71"/>
    <mergeCell ref="A3:A4"/>
    <mergeCell ref="B3:B4"/>
    <mergeCell ref="C3:C4"/>
    <mergeCell ref="D3:D4"/>
    <mergeCell ref="E3:E4"/>
    <mergeCell ref="J3:J4"/>
    <mergeCell ref="K3:K4"/>
    <mergeCell ref="L3:L4"/>
    <mergeCell ref="A1:L2"/>
  </mergeCells>
  <pageMargins left="0.75" right="0.75" top="0.979861111111111" bottom="0.979861111111111" header="0.509722222222222" footer="0.509722222222222"/>
  <pageSetup paperSize="9" fitToWidth="0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2"/>
  <sheetViews>
    <sheetView tabSelected="1" workbookViewId="0">
      <selection activeCell="A23" sqref="A23:S23"/>
    </sheetView>
  </sheetViews>
  <sheetFormatPr defaultColWidth="8.88888888888889" defaultRowHeight="13.2"/>
  <cols>
    <col min="1" max="1" width="24.8796296296296" style="43"/>
    <col min="2" max="2" width="26.5555555555556" style="43"/>
    <col min="3" max="3" width="7.55555555555556" style="43"/>
    <col min="4" max="4" width="6.55555555555556" style="43"/>
    <col min="5" max="5" width="16.2222222222222" style="43" customWidth="1"/>
    <col min="6" max="8" width="5.55555555555556" style="43"/>
    <col min="9" max="9" width="4.55555555555556" style="43"/>
    <col min="10" max="12" width="5.55555555555556" style="43"/>
    <col min="13" max="13" width="4.55555555555556" style="43"/>
    <col min="14" max="16" width="5.55555555555556" style="43"/>
    <col min="17" max="17" width="4.55555555555556" style="43"/>
    <col min="18" max="18" width="6.33333333333333" style="44"/>
    <col min="19" max="19" width="8.55555555555556" style="43"/>
    <col min="20" max="20" width="7.11111111111111" style="43"/>
  </cols>
  <sheetData>
    <row r="1" s="5" customFormat="1" ht="15" customHeight="1" spans="1:20">
      <c r="A1" s="6" t="s">
        <v>1279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5" customFormat="1" ht="68.95" customHeight="1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12.75" customHeight="1" spans="1:20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1280</v>
      </c>
      <c r="G3" s="10"/>
      <c r="H3" s="10"/>
      <c r="I3" s="10"/>
      <c r="J3" s="10" t="s">
        <v>6</v>
      </c>
      <c r="K3" s="10"/>
      <c r="L3" s="10"/>
      <c r="M3" s="10"/>
      <c r="N3" s="10" t="s">
        <v>190</v>
      </c>
      <c r="O3" s="10"/>
      <c r="P3" s="10"/>
      <c r="Q3" s="10"/>
      <c r="R3" s="55" t="s">
        <v>7</v>
      </c>
      <c r="S3" s="9" t="s">
        <v>8</v>
      </c>
      <c r="T3" s="33" t="s">
        <v>9</v>
      </c>
    </row>
    <row r="4" s="1" customFormat="1" ht="23.25" customHeight="1" spans="1:20">
      <c r="A4" s="7"/>
      <c r="B4" s="8"/>
      <c r="C4" s="8"/>
      <c r="D4" s="8"/>
      <c r="E4" s="8"/>
      <c r="F4" s="11">
        <v>1</v>
      </c>
      <c r="G4" s="12">
        <v>2</v>
      </c>
      <c r="H4" s="12">
        <v>3</v>
      </c>
      <c r="I4" s="31" t="s">
        <v>10</v>
      </c>
      <c r="J4" s="11">
        <v>1</v>
      </c>
      <c r="K4" s="12">
        <v>2</v>
      </c>
      <c r="L4" s="12">
        <v>3</v>
      </c>
      <c r="M4" s="31" t="s">
        <v>10</v>
      </c>
      <c r="N4" s="11">
        <v>1</v>
      </c>
      <c r="O4" s="12">
        <v>2</v>
      </c>
      <c r="P4" s="12">
        <v>3</v>
      </c>
      <c r="Q4" s="31" t="s">
        <v>10</v>
      </c>
      <c r="R4" s="55"/>
      <c r="S4" s="9"/>
      <c r="T4" s="33"/>
    </row>
    <row r="5" ht="15.6" spans="1:19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20">
      <c r="A6" s="46" t="s">
        <v>1281</v>
      </c>
      <c r="B6" s="46" t="s">
        <v>1282</v>
      </c>
      <c r="C6" s="46" t="s">
        <v>1283</v>
      </c>
      <c r="D6" s="46" t="str">
        <f ca="1">"1,0503"</f>
        <v>1,0503</v>
      </c>
      <c r="E6" s="46" t="s">
        <v>98</v>
      </c>
      <c r="F6" s="46" t="s">
        <v>124</v>
      </c>
      <c r="G6" s="52" t="s">
        <v>253</v>
      </c>
      <c r="H6" s="46" t="s">
        <v>253</v>
      </c>
      <c r="I6" s="52"/>
      <c r="J6" s="46" t="s">
        <v>1284</v>
      </c>
      <c r="K6" s="52" t="s">
        <v>592</v>
      </c>
      <c r="L6" s="52" t="s">
        <v>592</v>
      </c>
      <c r="M6" s="52"/>
      <c r="N6" s="52" t="s">
        <v>44</v>
      </c>
      <c r="O6" s="52" t="s">
        <v>44</v>
      </c>
      <c r="P6" s="52" t="s">
        <v>44</v>
      </c>
      <c r="Q6" s="52"/>
      <c r="R6" s="56">
        <v>0</v>
      </c>
      <c r="S6" s="46" t="str">
        <f ca="1">"0,0000"</f>
        <v>0,0000</v>
      </c>
      <c r="T6" s="46"/>
    </row>
    <row r="8" ht="15.6" spans="1:19">
      <c r="A8" s="47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20">
      <c r="A9" s="46" t="s">
        <v>1285</v>
      </c>
      <c r="B9" s="46" t="s">
        <v>1286</v>
      </c>
      <c r="C9" s="46" t="s">
        <v>702</v>
      </c>
      <c r="D9" s="46" t="str">
        <f ca="1">"0,8133"</f>
        <v>0,8133</v>
      </c>
      <c r="E9" s="46" t="s">
        <v>598</v>
      </c>
      <c r="F9" s="46" t="s">
        <v>123</v>
      </c>
      <c r="G9" s="52"/>
      <c r="H9" s="52"/>
      <c r="I9" s="52"/>
      <c r="J9" s="46"/>
      <c r="K9" s="46" t="s">
        <v>195</v>
      </c>
      <c r="L9" s="52"/>
      <c r="M9" s="52"/>
      <c r="N9" s="46" t="s">
        <v>575</v>
      </c>
      <c r="O9" s="52"/>
      <c r="P9" s="52"/>
      <c r="Q9" s="52"/>
      <c r="R9" s="56" t="s">
        <v>1287</v>
      </c>
      <c r="S9" s="46" t="s">
        <v>1288</v>
      </c>
      <c r="T9" s="46"/>
    </row>
    <row r="11" ht="15.6" spans="1:19">
      <c r="A11" s="47" t="s">
        <v>11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0">
      <c r="A12" s="50" t="s">
        <v>12</v>
      </c>
      <c r="B12" s="50" t="s">
        <v>13</v>
      </c>
      <c r="C12" s="50" t="s">
        <v>1289</v>
      </c>
      <c r="D12" s="50" t="str">
        <f ca="1">"1,4315"</f>
        <v>1,4315</v>
      </c>
      <c r="E12" s="50" t="s">
        <v>15</v>
      </c>
      <c r="F12" s="50" t="s">
        <v>805</v>
      </c>
      <c r="G12" s="51" t="s">
        <v>213</v>
      </c>
      <c r="H12" s="50" t="s">
        <v>213</v>
      </c>
      <c r="I12" s="51"/>
      <c r="J12" s="50" t="s">
        <v>16</v>
      </c>
      <c r="K12" s="51" t="s">
        <v>195</v>
      </c>
      <c r="L12" s="50" t="s">
        <v>195</v>
      </c>
      <c r="M12" s="51"/>
      <c r="N12" s="50" t="s">
        <v>1290</v>
      </c>
      <c r="O12" s="50" t="s">
        <v>770</v>
      </c>
      <c r="P12" s="51"/>
      <c r="Q12" s="51"/>
      <c r="R12" s="58">
        <v>422.5</v>
      </c>
      <c r="S12" s="50" t="str">
        <f ca="1">"604,8151"</f>
        <v>604,8151</v>
      </c>
      <c r="T12" s="50"/>
    </row>
    <row r="14" ht="15.6" spans="1:19">
      <c r="A14" s="47" t="s">
        <v>17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20">
      <c r="A15" s="53" t="s">
        <v>1291</v>
      </c>
      <c r="B15" s="53" t="s">
        <v>1292</v>
      </c>
      <c r="C15" s="53" t="s">
        <v>719</v>
      </c>
      <c r="D15" s="53" t="str">
        <f ca="1">"0,6878"</f>
        <v>0,6878</v>
      </c>
      <c r="E15" s="53" t="s">
        <v>1042</v>
      </c>
      <c r="F15" s="53" t="s">
        <v>1293</v>
      </c>
      <c r="G15" s="54" t="s">
        <v>45</v>
      </c>
      <c r="H15" s="54" t="s">
        <v>45</v>
      </c>
      <c r="I15" s="54"/>
      <c r="J15" s="53" t="s">
        <v>562</v>
      </c>
      <c r="K15" s="54" t="s">
        <v>45</v>
      </c>
      <c r="L15" s="54" t="s">
        <v>244</v>
      </c>
      <c r="M15" s="54"/>
      <c r="N15" s="53" t="s">
        <v>44</v>
      </c>
      <c r="O15" s="53" t="s">
        <v>88</v>
      </c>
      <c r="P15" s="54" t="s">
        <v>51</v>
      </c>
      <c r="Q15" s="54"/>
      <c r="R15" s="59" t="s">
        <v>1294</v>
      </c>
      <c r="S15" s="53" t="s">
        <v>1295</v>
      </c>
      <c r="T15" s="53"/>
    </row>
    <row r="16" spans="1:20">
      <c r="A16" s="48" t="s">
        <v>1296</v>
      </c>
      <c r="B16" s="48" t="s">
        <v>1297</v>
      </c>
      <c r="C16" s="48" t="s">
        <v>1298</v>
      </c>
      <c r="D16" s="48" t="str">
        <f ca="1">"0,6567"</f>
        <v>0,6567</v>
      </c>
      <c r="E16" s="48" t="s">
        <v>240</v>
      </c>
      <c r="F16" s="49" t="s">
        <v>147</v>
      </c>
      <c r="G16" s="49" t="s">
        <v>140</v>
      </c>
      <c r="H16" s="48" t="s">
        <v>140</v>
      </c>
      <c r="I16" s="49"/>
      <c r="J16" s="48" t="s">
        <v>245</v>
      </c>
      <c r="K16" s="48" t="s">
        <v>196</v>
      </c>
      <c r="L16" s="49" t="s">
        <v>1299</v>
      </c>
      <c r="M16" s="49"/>
      <c r="N16" s="48" t="s">
        <v>213</v>
      </c>
      <c r="O16" s="48" t="s">
        <v>140</v>
      </c>
      <c r="P16" s="48" t="s">
        <v>28</v>
      </c>
      <c r="Q16" s="49"/>
      <c r="R16" s="57">
        <v>495</v>
      </c>
      <c r="S16" s="48" t="str">
        <f ca="1">"325,0665"</f>
        <v>325,0665</v>
      </c>
      <c r="T16" s="48"/>
    </row>
    <row r="17" spans="1:20">
      <c r="A17" s="50" t="s">
        <v>25</v>
      </c>
      <c r="B17" s="50" t="s">
        <v>34</v>
      </c>
      <c r="C17" s="50" t="s">
        <v>1172</v>
      </c>
      <c r="D17" s="50" t="str">
        <f ca="1">"0,8510"</f>
        <v>0,8510</v>
      </c>
      <c r="E17" s="50" t="s">
        <v>21</v>
      </c>
      <c r="F17" s="50" t="s">
        <v>1300</v>
      </c>
      <c r="G17" s="51" t="s">
        <v>80</v>
      </c>
      <c r="H17" s="51" t="s">
        <v>80</v>
      </c>
      <c r="I17" s="51"/>
      <c r="J17" s="50" t="s">
        <v>141</v>
      </c>
      <c r="K17" s="51" t="s">
        <v>44</v>
      </c>
      <c r="L17" s="51"/>
      <c r="M17" s="51"/>
      <c r="N17" s="50" t="s">
        <v>624</v>
      </c>
      <c r="O17" s="50" t="s">
        <v>213</v>
      </c>
      <c r="P17" s="51" t="s">
        <v>80</v>
      </c>
      <c r="Q17" s="51"/>
      <c r="R17" s="58">
        <v>340</v>
      </c>
      <c r="S17" s="50" t="str">
        <f ca="1">"289,3408"</f>
        <v>289,3408</v>
      </c>
      <c r="T17" s="50"/>
    </row>
    <row r="19" ht="15.6" spans="1:19">
      <c r="A19" s="47" t="s">
        <v>35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20">
      <c r="A20" s="48" t="s">
        <v>1040</v>
      </c>
      <c r="B20" s="48" t="s">
        <v>1041</v>
      </c>
      <c r="C20" s="48" t="s">
        <v>43</v>
      </c>
      <c r="D20" s="48" t="str">
        <f ca="1">"0,6126"</f>
        <v>0,6126</v>
      </c>
      <c r="E20" s="48" t="s">
        <v>1042</v>
      </c>
      <c r="F20" s="48" t="s">
        <v>80</v>
      </c>
      <c r="G20" s="48" t="s">
        <v>23</v>
      </c>
      <c r="H20" s="48" t="s">
        <v>70</v>
      </c>
      <c r="I20" s="49"/>
      <c r="J20" s="48" t="s">
        <v>207</v>
      </c>
      <c r="K20" s="49" t="s">
        <v>45</v>
      </c>
      <c r="L20" s="49"/>
      <c r="M20" s="49"/>
      <c r="N20" s="48" t="s">
        <v>213</v>
      </c>
      <c r="O20" s="49"/>
      <c r="P20" s="49"/>
      <c r="Q20" s="49"/>
      <c r="R20" s="57">
        <v>612.5</v>
      </c>
      <c r="S20" s="48" t="str">
        <f ca="1">"375,2175"</f>
        <v>375,2175</v>
      </c>
      <c r="T20" s="48"/>
    </row>
    <row r="21" spans="1:20">
      <c r="A21" s="50" t="s">
        <v>1301</v>
      </c>
      <c r="B21" s="50" t="s">
        <v>1302</v>
      </c>
      <c r="C21" s="50" t="s">
        <v>48</v>
      </c>
      <c r="D21" s="50" t="str">
        <f ca="1">"0,6122"</f>
        <v>0,6122</v>
      </c>
      <c r="E21" s="50" t="s">
        <v>98</v>
      </c>
      <c r="F21" s="51" t="s">
        <v>84</v>
      </c>
      <c r="G21" s="51" t="s">
        <v>84</v>
      </c>
      <c r="H21" s="51" t="s">
        <v>84</v>
      </c>
      <c r="I21" s="51"/>
      <c r="J21" s="51" t="s">
        <v>233</v>
      </c>
      <c r="K21" s="51"/>
      <c r="L21" s="51"/>
      <c r="M21" s="51"/>
      <c r="N21" s="51"/>
      <c r="O21" s="51"/>
      <c r="P21" s="51"/>
      <c r="Q21" s="51"/>
      <c r="R21" s="58">
        <v>0</v>
      </c>
      <c r="S21" s="50" t="str">
        <f ca="1">"0,0000"</f>
        <v>0,0000</v>
      </c>
      <c r="T21" s="50"/>
    </row>
    <row r="23" ht="15.6" spans="1:19">
      <c r="A23" s="47" t="s">
        <v>53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20">
      <c r="A24" s="48" t="s">
        <v>1303</v>
      </c>
      <c r="B24" s="48" t="s">
        <v>1304</v>
      </c>
      <c r="C24" s="48" t="s">
        <v>322</v>
      </c>
      <c r="D24" s="48" t="str">
        <f ca="1">"0,5813"</f>
        <v>0,5813</v>
      </c>
      <c r="E24" s="48" t="s">
        <v>32</v>
      </c>
      <c r="F24" s="49" t="s">
        <v>1305</v>
      </c>
      <c r="G24" s="48" t="s">
        <v>1072</v>
      </c>
      <c r="H24" s="49"/>
      <c r="I24" s="49"/>
      <c r="J24" s="48" t="s">
        <v>347</v>
      </c>
      <c r="K24" s="49" t="s">
        <v>76</v>
      </c>
      <c r="L24" s="49"/>
      <c r="M24" s="49"/>
      <c r="N24" s="48" t="s">
        <v>347</v>
      </c>
      <c r="O24" s="49" t="s">
        <v>84</v>
      </c>
      <c r="P24" s="49"/>
      <c r="Q24" s="49"/>
      <c r="R24" s="57">
        <v>960</v>
      </c>
      <c r="S24" s="48" t="str">
        <f ca="1">"558,0480"</f>
        <v>558,0480</v>
      </c>
      <c r="T24" s="48"/>
    </row>
    <row r="25" spans="1:20">
      <c r="A25" s="53" t="s">
        <v>1306</v>
      </c>
      <c r="B25" s="53" t="s">
        <v>1307</v>
      </c>
      <c r="C25" s="53" t="s">
        <v>1308</v>
      </c>
      <c r="D25" s="53" t="str">
        <f ca="1">"0,6119"</f>
        <v>0,6119</v>
      </c>
      <c r="E25" s="53" t="s">
        <v>598</v>
      </c>
      <c r="F25" s="54" t="s">
        <v>1309</v>
      </c>
      <c r="G25" s="53" t="s">
        <v>64</v>
      </c>
      <c r="H25" s="53" t="s">
        <v>131</v>
      </c>
      <c r="I25" s="54"/>
      <c r="J25" s="53" t="s">
        <v>207</v>
      </c>
      <c r="K25" s="53" t="s">
        <v>233</v>
      </c>
      <c r="L25" s="53" t="s">
        <v>140</v>
      </c>
      <c r="M25" s="54"/>
      <c r="N25" s="53" t="s">
        <v>33</v>
      </c>
      <c r="O25" s="53" t="s">
        <v>40</v>
      </c>
      <c r="P25" s="54" t="s">
        <v>323</v>
      </c>
      <c r="Q25" s="54"/>
      <c r="R25" s="59">
        <v>805</v>
      </c>
      <c r="S25" s="53" t="str">
        <f ca="1">"492,5601"</f>
        <v>492,5601</v>
      </c>
      <c r="T25" s="53"/>
    </row>
    <row r="26" spans="1:20">
      <c r="A26" s="50" t="s">
        <v>1310</v>
      </c>
      <c r="B26" s="50" t="s">
        <v>1311</v>
      </c>
      <c r="C26" s="50" t="s">
        <v>799</v>
      </c>
      <c r="D26" s="50" t="str">
        <f ca="1">"0,7048"</f>
        <v>0,7048</v>
      </c>
      <c r="E26" s="50" t="s">
        <v>49</v>
      </c>
      <c r="F26" s="51" t="s">
        <v>754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8">
        <v>0</v>
      </c>
      <c r="S26" s="50" t="str">
        <f ca="1">"0,0000"</f>
        <v>0,0000</v>
      </c>
      <c r="T26" s="50"/>
    </row>
    <row r="28" ht="15.6" spans="1:19">
      <c r="A28" s="47" t="s">
        <v>57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20">
      <c r="A29" s="48" t="s">
        <v>1312</v>
      </c>
      <c r="B29" s="48" t="s">
        <v>1313</v>
      </c>
      <c r="C29" s="48" t="s">
        <v>350</v>
      </c>
      <c r="D29" s="48" t="str">
        <f ca="1">"0,5627"</f>
        <v>0,5627</v>
      </c>
      <c r="E29" s="48" t="s">
        <v>240</v>
      </c>
      <c r="F29" s="49" t="s">
        <v>252</v>
      </c>
      <c r="G29" s="49" t="s">
        <v>252</v>
      </c>
      <c r="H29" s="48" t="s">
        <v>252</v>
      </c>
      <c r="I29" s="49"/>
      <c r="J29" s="48" t="s">
        <v>233</v>
      </c>
      <c r="K29" s="48" t="s">
        <v>793</v>
      </c>
      <c r="L29" s="49" t="s">
        <v>45</v>
      </c>
      <c r="M29" s="49"/>
      <c r="N29" s="48" t="s">
        <v>252</v>
      </c>
      <c r="O29" s="48" t="s">
        <v>80</v>
      </c>
      <c r="P29" s="49" t="s">
        <v>22</v>
      </c>
      <c r="Q29" s="49"/>
      <c r="R29" s="57">
        <v>657.5</v>
      </c>
      <c r="S29" s="48" t="str">
        <f ca="1">"369,9424"</f>
        <v>369,9424</v>
      </c>
      <c r="T29" s="48"/>
    </row>
    <row r="30" spans="1:20">
      <c r="A30" s="53" t="s">
        <v>1314</v>
      </c>
      <c r="B30" s="53" t="s">
        <v>1315</v>
      </c>
      <c r="C30" s="53" t="s">
        <v>840</v>
      </c>
      <c r="D30" s="53" t="str">
        <f ca="1">"0,5674"</f>
        <v>0,5674</v>
      </c>
      <c r="E30" s="53" t="s">
        <v>32</v>
      </c>
      <c r="F30" s="54" t="s">
        <v>84</v>
      </c>
      <c r="G30" s="54" t="s">
        <v>129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9">
        <v>0</v>
      </c>
      <c r="S30" s="53" t="str">
        <f ca="1">"0,0000"</f>
        <v>0,0000</v>
      </c>
      <c r="T30" s="53"/>
    </row>
    <row r="31" spans="1:20">
      <c r="A31" s="53" t="s">
        <v>1316</v>
      </c>
      <c r="B31" s="53" t="s">
        <v>1317</v>
      </c>
      <c r="C31" s="53" t="s">
        <v>1318</v>
      </c>
      <c r="D31" s="53" t="str">
        <f ca="1">"0,6171"</f>
        <v>0,6171</v>
      </c>
      <c r="E31" s="53" t="s">
        <v>49</v>
      </c>
      <c r="F31" s="53" t="s">
        <v>318</v>
      </c>
      <c r="G31" s="53" t="s">
        <v>64</v>
      </c>
      <c r="H31" s="54" t="s">
        <v>45</v>
      </c>
      <c r="I31" s="54"/>
      <c r="J31" s="53" t="s">
        <v>147</v>
      </c>
      <c r="K31" s="54" t="s">
        <v>45</v>
      </c>
      <c r="L31" s="54"/>
      <c r="M31" s="54"/>
      <c r="N31" s="53" t="s">
        <v>252</v>
      </c>
      <c r="O31" s="53" t="s">
        <v>33</v>
      </c>
      <c r="P31" s="54"/>
      <c r="Q31" s="54"/>
      <c r="R31" s="59">
        <v>750</v>
      </c>
      <c r="S31" s="53" t="str">
        <f ca="1">"462,7984"</f>
        <v>462,7984</v>
      </c>
      <c r="T31" s="53"/>
    </row>
    <row r="32" spans="1:20">
      <c r="A32" s="50" t="s">
        <v>1319</v>
      </c>
      <c r="B32" s="50" t="s">
        <v>1320</v>
      </c>
      <c r="C32" s="50" t="s">
        <v>1321</v>
      </c>
      <c r="D32" s="50" t="str">
        <f ca="1">"0,6153"</f>
        <v>0,6153</v>
      </c>
      <c r="E32" s="50" t="s">
        <v>98</v>
      </c>
      <c r="F32" s="51" t="s">
        <v>71</v>
      </c>
      <c r="G32" s="51" t="s">
        <v>71</v>
      </c>
      <c r="H32" s="51" t="s">
        <v>71</v>
      </c>
      <c r="I32" s="51"/>
      <c r="J32" s="51"/>
      <c r="K32" s="51"/>
      <c r="L32" s="51"/>
      <c r="M32" s="51"/>
      <c r="N32" s="51"/>
      <c r="O32" s="51"/>
      <c r="P32" s="51"/>
      <c r="Q32" s="51"/>
      <c r="R32" s="58">
        <v>0</v>
      </c>
      <c r="S32" s="50" t="str">
        <f ca="1">"0,0000"</f>
        <v>0,0000</v>
      </c>
      <c r="T32" s="50"/>
    </row>
    <row r="34" ht="15.6" spans="1:19">
      <c r="A34" s="47" t="s">
        <v>102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1:20">
      <c r="A35" s="48" t="s">
        <v>1322</v>
      </c>
      <c r="B35" s="48" t="s">
        <v>1323</v>
      </c>
      <c r="C35" s="48" t="s">
        <v>389</v>
      </c>
      <c r="D35" s="48" t="str">
        <f ca="1">"0,5534"</f>
        <v>0,5534</v>
      </c>
      <c r="E35" s="48" t="s">
        <v>1042</v>
      </c>
      <c r="F35" s="49" t="s">
        <v>84</v>
      </c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57">
        <v>0</v>
      </c>
      <c r="S35" s="48" t="str">
        <f ca="1">"0,0000"</f>
        <v>0,0000</v>
      </c>
      <c r="T35" s="48"/>
    </row>
    <row r="36" spans="1:20">
      <c r="A36" s="53" t="s">
        <v>1046</v>
      </c>
      <c r="B36" s="53" t="s">
        <v>1047</v>
      </c>
      <c r="C36" s="53" t="s">
        <v>1324</v>
      </c>
      <c r="D36" s="53" t="str">
        <f ca="1">"0,5597"</f>
        <v>0,5597</v>
      </c>
      <c r="E36" s="53" t="s">
        <v>1325</v>
      </c>
      <c r="F36" s="54" t="s">
        <v>1326</v>
      </c>
      <c r="G36" s="53" t="s">
        <v>1327</v>
      </c>
      <c r="H36" s="54" t="s">
        <v>1328</v>
      </c>
      <c r="I36" s="54"/>
      <c r="J36" s="53" t="s">
        <v>23</v>
      </c>
      <c r="K36" s="53" t="s">
        <v>347</v>
      </c>
      <c r="L36" s="54"/>
      <c r="M36" s="54"/>
      <c r="N36" s="53" t="s">
        <v>129</v>
      </c>
      <c r="O36" s="53" t="s">
        <v>114</v>
      </c>
      <c r="P36" s="54"/>
      <c r="Q36" s="54"/>
      <c r="R36" s="59">
        <v>1110</v>
      </c>
      <c r="S36" s="53" t="str">
        <f ca="1">"621,2947"</f>
        <v>621,2947</v>
      </c>
      <c r="T36" s="53"/>
    </row>
    <row r="37" spans="1:20">
      <c r="A37" s="53" t="s">
        <v>1124</v>
      </c>
      <c r="B37" s="53" t="s">
        <v>1125</v>
      </c>
      <c r="C37" s="53" t="s">
        <v>1329</v>
      </c>
      <c r="D37" s="53" t="str">
        <f ca="1">"0,5670"</f>
        <v>0,5670</v>
      </c>
      <c r="E37" s="53" t="s">
        <v>109</v>
      </c>
      <c r="F37" s="53" t="s">
        <v>64</v>
      </c>
      <c r="G37" s="54" t="s">
        <v>115</v>
      </c>
      <c r="H37" s="54"/>
      <c r="I37" s="54"/>
      <c r="J37" s="53" t="s">
        <v>24</v>
      </c>
      <c r="K37" s="54" t="s">
        <v>84</v>
      </c>
      <c r="L37" s="54" t="s">
        <v>84</v>
      </c>
      <c r="M37" s="54"/>
      <c r="N37" s="53" t="s">
        <v>347</v>
      </c>
      <c r="O37" s="54" t="s">
        <v>84</v>
      </c>
      <c r="P37" s="54" t="s">
        <v>84</v>
      </c>
      <c r="Q37" s="54"/>
      <c r="R37" s="59" t="s">
        <v>1330</v>
      </c>
      <c r="S37" s="53" t="s">
        <v>1331</v>
      </c>
      <c r="T37" s="53"/>
    </row>
    <row r="38" spans="1:20">
      <c r="A38" s="50" t="s">
        <v>1332</v>
      </c>
      <c r="B38" s="50" t="s">
        <v>1333</v>
      </c>
      <c r="C38" s="50" t="s">
        <v>1334</v>
      </c>
      <c r="D38" s="50" t="str">
        <f ca="1">"0,6910"</f>
        <v>0,6910</v>
      </c>
      <c r="E38" s="50" t="s">
        <v>49</v>
      </c>
      <c r="F38" s="50" t="s">
        <v>80</v>
      </c>
      <c r="G38" s="51" t="s">
        <v>323</v>
      </c>
      <c r="H38" s="50" t="s">
        <v>323</v>
      </c>
      <c r="I38" s="51"/>
      <c r="J38" s="50" t="s">
        <v>207</v>
      </c>
      <c r="K38" s="51" t="s">
        <v>732</v>
      </c>
      <c r="L38" s="50" t="s">
        <v>28</v>
      </c>
      <c r="M38" s="51"/>
      <c r="N38" s="50" t="s">
        <v>33</v>
      </c>
      <c r="O38" s="50" t="s">
        <v>22</v>
      </c>
      <c r="P38" s="51"/>
      <c r="Q38" s="51"/>
      <c r="R38" s="58">
        <v>740</v>
      </c>
      <c r="S38" s="50" t="str">
        <f ca="1">"511,3634"</f>
        <v>511,3634</v>
      </c>
      <c r="T38" s="50"/>
    </row>
    <row r="40" ht="15.6" spans="1:19">
      <c r="A40" s="47" t="s">
        <v>125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1:20">
      <c r="A41" s="48" t="s">
        <v>1335</v>
      </c>
      <c r="B41" s="48" t="s">
        <v>1336</v>
      </c>
      <c r="C41" s="48" t="s">
        <v>128</v>
      </c>
      <c r="D41" s="48" t="str">
        <f ca="1">"0,5409"</f>
        <v>0,5409</v>
      </c>
      <c r="E41" s="48" t="s">
        <v>543</v>
      </c>
      <c r="F41" s="49" t="s">
        <v>1305</v>
      </c>
      <c r="G41" s="49" t="s">
        <v>1072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7">
        <v>0</v>
      </c>
      <c r="S41" s="48" t="str">
        <f ca="1">"0,0000"</f>
        <v>0,0000</v>
      </c>
      <c r="T41" s="48"/>
    </row>
    <row r="42" spans="1:20">
      <c r="A42" s="53" t="s">
        <v>1233</v>
      </c>
      <c r="B42" s="53" t="s">
        <v>1234</v>
      </c>
      <c r="C42" s="53" t="s">
        <v>1337</v>
      </c>
      <c r="D42" s="53" t="str">
        <f ca="1">"0,5365"</f>
        <v>0,5365</v>
      </c>
      <c r="E42" s="53" t="s">
        <v>240</v>
      </c>
      <c r="F42" s="53" t="s">
        <v>1072</v>
      </c>
      <c r="G42" s="53" t="s">
        <v>1338</v>
      </c>
      <c r="H42" s="54" t="s">
        <v>1327</v>
      </c>
      <c r="I42" s="54"/>
      <c r="J42" s="53" t="s">
        <v>118</v>
      </c>
      <c r="K42" s="53" t="s">
        <v>63</v>
      </c>
      <c r="L42" s="54" t="s">
        <v>114</v>
      </c>
      <c r="M42" s="54"/>
      <c r="N42" s="53"/>
      <c r="O42" s="53" t="s">
        <v>394</v>
      </c>
      <c r="P42" s="54" t="s">
        <v>398</v>
      </c>
      <c r="Q42" s="54"/>
      <c r="R42" s="59">
        <v>1080</v>
      </c>
      <c r="S42" s="53" t="str">
        <f ca="1">"579,3876"</f>
        <v>579,3876</v>
      </c>
      <c r="T42" s="53"/>
    </row>
    <row r="43" spans="1:20">
      <c r="A43" s="53" t="s">
        <v>1339</v>
      </c>
      <c r="B43" s="53" t="s">
        <v>1340</v>
      </c>
      <c r="C43" s="53" t="s">
        <v>1341</v>
      </c>
      <c r="D43" s="53" t="str">
        <f ca="1">"0,5410"</f>
        <v>0,5410</v>
      </c>
      <c r="E43" s="53" t="s">
        <v>516</v>
      </c>
      <c r="F43" s="54" t="s">
        <v>1342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9">
        <v>0</v>
      </c>
      <c r="S43" s="53" t="str">
        <f ca="1" t="shared" ref="S43:S44" si="0">"0,0000"</f>
        <v>0,0000</v>
      </c>
      <c r="T43" s="53"/>
    </row>
    <row r="44" spans="1:20">
      <c r="A44" s="50" t="s">
        <v>1343</v>
      </c>
      <c r="B44" s="50" t="s">
        <v>1344</v>
      </c>
      <c r="C44" s="50" t="s">
        <v>1345</v>
      </c>
      <c r="D44" s="50" t="str">
        <f ca="1">"0,6605"</f>
        <v>0,6605</v>
      </c>
      <c r="E44" s="50" t="s">
        <v>98</v>
      </c>
      <c r="F44" s="51" t="s">
        <v>313</v>
      </c>
      <c r="G44" s="51" t="s">
        <v>313</v>
      </c>
      <c r="H44" s="51" t="s">
        <v>313</v>
      </c>
      <c r="I44" s="51"/>
      <c r="J44" s="51"/>
      <c r="K44" s="51"/>
      <c r="L44" s="51"/>
      <c r="M44" s="51"/>
      <c r="N44" s="51"/>
      <c r="O44" s="51"/>
      <c r="P44" s="51"/>
      <c r="Q44" s="51"/>
      <c r="R44" s="58">
        <v>0</v>
      </c>
      <c r="S44" s="50" t="str">
        <f ca="1" t="shared" si="0"/>
        <v>0,0000</v>
      </c>
      <c r="T44" s="50"/>
    </row>
    <row r="46" ht="15.6" spans="1:19">
      <c r="A46" s="47" t="s">
        <v>136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</row>
    <row r="47" spans="1:20">
      <c r="A47" s="46" t="s">
        <v>1133</v>
      </c>
      <c r="B47" s="46" t="s">
        <v>1134</v>
      </c>
      <c r="C47" s="46" t="s">
        <v>1346</v>
      </c>
      <c r="D47" s="46" t="str">
        <f ca="1">"0,5262"</f>
        <v>0,5262</v>
      </c>
      <c r="E47" s="46" t="s">
        <v>240</v>
      </c>
      <c r="F47" s="52" t="s">
        <v>80</v>
      </c>
      <c r="G47" s="52" t="s">
        <v>80</v>
      </c>
      <c r="H47" s="52" t="s">
        <v>80</v>
      </c>
      <c r="I47" s="52"/>
      <c r="J47" s="52" t="s">
        <v>233</v>
      </c>
      <c r="K47" s="52"/>
      <c r="L47" s="52"/>
      <c r="M47" s="52"/>
      <c r="N47" s="52"/>
      <c r="O47" s="52"/>
      <c r="P47" s="52"/>
      <c r="Q47" s="52"/>
      <c r="R47" s="56">
        <v>0</v>
      </c>
      <c r="S47" s="46" t="str">
        <f ca="1">"0,0000"</f>
        <v>0,0000</v>
      </c>
      <c r="T47" s="46"/>
    </row>
    <row r="49" ht="15.6" spans="5:5">
      <c r="E49" s="60" t="s">
        <v>148</v>
      </c>
    </row>
    <row r="50" ht="15.6" spans="5:5">
      <c r="E50" s="60" t="s">
        <v>149</v>
      </c>
    </row>
    <row r="51" ht="15.6" spans="5:5">
      <c r="E51" s="60" t="s">
        <v>150</v>
      </c>
    </row>
    <row r="56" ht="18" spans="1:2">
      <c r="A56" s="61"/>
      <c r="B56" s="61"/>
    </row>
    <row r="57" ht="18" spans="1:2">
      <c r="A57" s="61" t="s">
        <v>154</v>
      </c>
      <c r="B57" s="61"/>
    </row>
    <row r="58" ht="15.6" spans="1:2">
      <c r="A58" s="62" t="s">
        <v>443</v>
      </c>
      <c r="B58" s="62"/>
    </row>
    <row r="59" ht="13.8" spans="1:2">
      <c r="A59" s="63" t="s">
        <v>178</v>
      </c>
      <c r="B59" s="64"/>
    </row>
    <row r="60" ht="13.8" spans="1:5">
      <c r="A60" s="65" t="s">
        <v>1</v>
      </c>
      <c r="B60" s="65" t="s">
        <v>157</v>
      </c>
      <c r="C60" s="65" t="s">
        <v>158</v>
      </c>
      <c r="D60" s="65" t="s">
        <v>7</v>
      </c>
      <c r="E60" s="65" t="s">
        <v>159</v>
      </c>
    </row>
    <row r="61" spans="1:5">
      <c r="A61" s="66" t="s">
        <v>1285</v>
      </c>
      <c r="B61" s="43" t="s">
        <v>460</v>
      </c>
      <c r="C61" s="43" t="s">
        <v>164</v>
      </c>
      <c r="D61" s="43" t="s">
        <v>140</v>
      </c>
      <c r="E61" s="67" t="s">
        <v>1347</v>
      </c>
    </row>
    <row r="64" ht="15.6" spans="1:2">
      <c r="A64" s="62" t="s">
        <v>155</v>
      </c>
      <c r="B64" s="62"/>
    </row>
    <row r="65" ht="13.8" spans="1:2">
      <c r="A65" s="63" t="s">
        <v>156</v>
      </c>
      <c r="B65" s="64"/>
    </row>
    <row r="66" ht="13.8" spans="1:5">
      <c r="A66" s="65" t="s">
        <v>1</v>
      </c>
      <c r="B66" s="65" t="s">
        <v>157</v>
      </c>
      <c r="C66" s="65" t="s">
        <v>158</v>
      </c>
      <c r="D66" s="65" t="s">
        <v>7</v>
      </c>
      <c r="E66" s="65" t="s">
        <v>159</v>
      </c>
    </row>
    <row r="67" spans="1:5">
      <c r="A67" s="66" t="s">
        <v>1233</v>
      </c>
      <c r="B67" s="43" t="s">
        <v>156</v>
      </c>
      <c r="C67" s="43" t="s">
        <v>160</v>
      </c>
      <c r="D67" s="43" t="s">
        <v>1348</v>
      </c>
      <c r="E67" s="67" t="s">
        <v>1349</v>
      </c>
    </row>
    <row r="68" spans="1:5">
      <c r="A68" s="66" t="s">
        <v>1303</v>
      </c>
      <c r="B68" s="43" t="s">
        <v>156</v>
      </c>
      <c r="C68" s="43" t="s">
        <v>172</v>
      </c>
      <c r="D68" s="43" t="s">
        <v>1350</v>
      </c>
      <c r="E68" s="67" t="s">
        <v>1351</v>
      </c>
    </row>
    <row r="69" spans="1:5">
      <c r="A69" s="66" t="s">
        <v>1040</v>
      </c>
      <c r="B69" s="43" t="s">
        <v>156</v>
      </c>
      <c r="C69" s="43" t="s">
        <v>170</v>
      </c>
      <c r="D69" s="43" t="s">
        <v>1352</v>
      </c>
      <c r="E69" s="67" t="s">
        <v>1353</v>
      </c>
    </row>
    <row r="70" spans="1:5">
      <c r="A70" s="66" t="s">
        <v>1312</v>
      </c>
      <c r="B70" s="43" t="s">
        <v>156</v>
      </c>
      <c r="C70" s="43" t="s">
        <v>163</v>
      </c>
      <c r="D70" s="43" t="s">
        <v>1354</v>
      </c>
      <c r="E70" s="67" t="s">
        <v>1355</v>
      </c>
    </row>
    <row r="71" spans="1:5">
      <c r="A71" s="66" t="s">
        <v>1296</v>
      </c>
      <c r="B71" s="43" t="s">
        <v>156</v>
      </c>
      <c r="C71" s="43" t="s">
        <v>164</v>
      </c>
      <c r="D71" s="43" t="s">
        <v>1356</v>
      </c>
      <c r="E71" s="67" t="s">
        <v>1357</v>
      </c>
    </row>
    <row r="72" spans="1:5">
      <c r="A72" s="66" t="s">
        <v>1291</v>
      </c>
      <c r="B72" s="43" t="s">
        <v>156</v>
      </c>
      <c r="C72" s="43" t="s">
        <v>164</v>
      </c>
      <c r="D72" s="43" t="s">
        <v>117</v>
      </c>
      <c r="E72" s="67" t="s">
        <v>1358</v>
      </c>
    </row>
    <row r="74" ht="13.8" spans="1:2">
      <c r="A74" s="63" t="s">
        <v>178</v>
      </c>
      <c r="B74" s="64"/>
    </row>
    <row r="75" ht="13.8" spans="1:5">
      <c r="A75" s="65" t="s">
        <v>1</v>
      </c>
      <c r="B75" s="65" t="s">
        <v>157</v>
      </c>
      <c r="C75" s="65" t="s">
        <v>158</v>
      </c>
      <c r="D75" s="65" t="s">
        <v>7</v>
      </c>
      <c r="E75" s="65" t="s">
        <v>159</v>
      </c>
    </row>
    <row r="76" spans="1:5">
      <c r="A76" s="66" t="s">
        <v>1046</v>
      </c>
      <c r="B76" s="43" t="s">
        <v>460</v>
      </c>
      <c r="C76" s="43" t="s">
        <v>167</v>
      </c>
      <c r="D76" s="43" t="s">
        <v>1359</v>
      </c>
      <c r="E76" s="67" t="s">
        <v>1360</v>
      </c>
    </row>
    <row r="77" spans="1:5">
      <c r="A77" s="66" t="s">
        <v>12</v>
      </c>
      <c r="B77" s="43" t="s">
        <v>1000</v>
      </c>
      <c r="C77" s="43" t="s">
        <v>456</v>
      </c>
      <c r="D77" s="43" t="s">
        <v>1361</v>
      </c>
      <c r="E77" s="67" t="s">
        <v>1362</v>
      </c>
    </row>
    <row r="78" spans="1:5">
      <c r="A78" s="66" t="s">
        <v>1332</v>
      </c>
      <c r="B78" s="43" t="s">
        <v>181</v>
      </c>
      <c r="C78" s="43" t="s">
        <v>167</v>
      </c>
      <c r="D78" s="43" t="s">
        <v>1363</v>
      </c>
      <c r="E78" s="67" t="s">
        <v>1364</v>
      </c>
    </row>
    <row r="79" spans="1:5">
      <c r="A79" s="66" t="s">
        <v>1306</v>
      </c>
      <c r="B79" s="43" t="s">
        <v>460</v>
      </c>
      <c r="C79" s="43" t="s">
        <v>172</v>
      </c>
      <c r="D79" s="43" t="s">
        <v>1365</v>
      </c>
      <c r="E79" s="67" t="s">
        <v>1366</v>
      </c>
    </row>
    <row r="80" spans="1:5">
      <c r="A80" s="66" t="s">
        <v>1316</v>
      </c>
      <c r="B80" s="43" t="s">
        <v>179</v>
      </c>
      <c r="C80" s="43" t="s">
        <v>163</v>
      </c>
      <c r="D80" s="43" t="s">
        <v>1367</v>
      </c>
      <c r="E80" s="67" t="s">
        <v>1368</v>
      </c>
    </row>
    <row r="81" spans="1:5">
      <c r="A81" s="66" t="s">
        <v>25</v>
      </c>
      <c r="B81" s="43" t="s">
        <v>181</v>
      </c>
      <c r="C81" s="43" t="s">
        <v>164</v>
      </c>
      <c r="D81" s="43" t="s">
        <v>129</v>
      </c>
      <c r="E81" s="67" t="s">
        <v>1369</v>
      </c>
    </row>
    <row r="82" spans="1:5">
      <c r="A82" s="66" t="s">
        <v>1124</v>
      </c>
      <c r="B82" s="43" t="s">
        <v>460</v>
      </c>
      <c r="C82" s="43" t="s">
        <v>167</v>
      </c>
      <c r="D82" s="43" t="s">
        <v>347</v>
      </c>
      <c r="E82" s="67" t="s">
        <v>1370</v>
      </c>
    </row>
    <row r="83" spans="1:5">
      <c r="A83" s="66"/>
      <c r="E83" s="67"/>
    </row>
    <row r="84" spans="1:5">
      <c r="A84" s="66"/>
      <c r="E84" s="67"/>
    </row>
    <row r="85" spans="1:5">
      <c r="A85" s="66"/>
      <c r="E85" s="67"/>
    </row>
    <row r="86" spans="1:5">
      <c r="A86" s="66"/>
      <c r="E86" s="67"/>
    </row>
    <row r="87" spans="1:5">
      <c r="A87" s="66"/>
      <c r="E87" s="67"/>
    </row>
    <row r="88" spans="1:5">
      <c r="A88" s="66"/>
      <c r="E88" s="67"/>
    </row>
    <row r="89" spans="1:5">
      <c r="A89" s="66"/>
      <c r="E89" s="67"/>
    </row>
    <row r="91" ht="13.8" spans="1:2">
      <c r="A91" s="63"/>
      <c r="B91" s="64"/>
    </row>
    <row r="92" ht="13.8" spans="1:5">
      <c r="A92" s="65"/>
      <c r="B92" s="65"/>
      <c r="C92" s="65"/>
      <c r="D92" s="65"/>
      <c r="E92" s="65"/>
    </row>
  </sheetData>
  <sheetProtection selectLockedCells="1" selectUnlockedCells="1"/>
  <mergeCells count="22">
    <mergeCell ref="F3:I3"/>
    <mergeCell ref="J3:M3"/>
    <mergeCell ref="N3:Q3"/>
    <mergeCell ref="A5:S5"/>
    <mergeCell ref="A8:S8"/>
    <mergeCell ref="A11:S11"/>
    <mergeCell ref="A14:S14"/>
    <mergeCell ref="A19:S19"/>
    <mergeCell ref="A23:S23"/>
    <mergeCell ref="A28:S28"/>
    <mergeCell ref="A34:S34"/>
    <mergeCell ref="A40:S40"/>
    <mergeCell ref="A46:S46"/>
    <mergeCell ref="A3:A4"/>
    <mergeCell ref="B3:B4"/>
    <mergeCell ref="C3:C4"/>
    <mergeCell ref="D3:D4"/>
    <mergeCell ref="E3:E4"/>
    <mergeCell ref="R3:R4"/>
    <mergeCell ref="S3:S4"/>
    <mergeCell ref="T3:T4"/>
    <mergeCell ref="A1:T2"/>
  </mergeCells>
  <pageMargins left="0.75" right="0.75" top="0.979861111111111" bottom="0.979861111111111" header="0.509722222222222" footer="0.509722222222222"/>
  <pageSetup paperSize="9" fitToWidth="0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07"/>
  <sheetViews>
    <sheetView tabSelected="1" topLeftCell="A73" workbookViewId="0">
      <selection activeCell="A23" sqref="A23:S23"/>
    </sheetView>
  </sheetViews>
  <sheetFormatPr defaultColWidth="8.88888888888889" defaultRowHeight="13.2"/>
  <cols>
    <col min="1" max="1" width="24.8796296296296" style="43"/>
    <col min="2" max="2" width="26.5555555555556" style="43"/>
    <col min="3" max="3" width="7.55555555555556" style="43"/>
    <col min="4" max="4" width="6.55555555555556" style="43"/>
    <col min="5" max="5" width="17" style="43"/>
    <col min="6" max="8" width="5.55555555555556" style="43"/>
    <col min="9" max="9" width="4.55555555555556" style="43"/>
    <col min="10" max="12" width="5.55555555555556" style="43"/>
    <col min="13" max="13" width="4.55555555555556" style="43"/>
    <col min="14" max="17" width="5.55555555555556" style="43"/>
    <col min="18" max="18" width="6.33333333333333" style="44"/>
    <col min="19" max="19" width="8.55555555555556" style="43"/>
    <col min="20" max="20" width="18" style="43"/>
  </cols>
  <sheetData>
    <row r="1" s="5" customFormat="1" ht="15" customHeight="1" spans="1:20">
      <c r="A1" s="6" t="s">
        <v>1371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="5" customFormat="1" ht="61.45" customHeight="1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12.75" customHeight="1" spans="1:20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1280</v>
      </c>
      <c r="G3" s="10"/>
      <c r="H3" s="10"/>
      <c r="I3" s="10"/>
      <c r="J3" s="10" t="s">
        <v>6</v>
      </c>
      <c r="K3" s="10"/>
      <c r="L3" s="10"/>
      <c r="M3" s="10"/>
      <c r="N3" s="10" t="s">
        <v>190</v>
      </c>
      <c r="O3" s="10"/>
      <c r="P3" s="10"/>
      <c r="Q3" s="10"/>
      <c r="R3" s="55" t="s">
        <v>7</v>
      </c>
      <c r="S3" s="9" t="s">
        <v>8</v>
      </c>
      <c r="T3" s="33" t="s">
        <v>9</v>
      </c>
    </row>
    <row r="4" s="1" customFormat="1" ht="23.25" customHeight="1" spans="1:20">
      <c r="A4" s="7"/>
      <c r="B4" s="8"/>
      <c r="C4" s="8"/>
      <c r="D4" s="8"/>
      <c r="E4" s="8"/>
      <c r="F4" s="11">
        <v>1</v>
      </c>
      <c r="G4" s="12">
        <v>2</v>
      </c>
      <c r="H4" s="12">
        <v>3</v>
      </c>
      <c r="I4" s="31" t="s">
        <v>10</v>
      </c>
      <c r="J4" s="11">
        <v>1</v>
      </c>
      <c r="K4" s="12">
        <v>2</v>
      </c>
      <c r="L4" s="12">
        <v>3</v>
      </c>
      <c r="M4" s="31" t="s">
        <v>10</v>
      </c>
      <c r="N4" s="11">
        <v>1</v>
      </c>
      <c r="O4" s="12">
        <v>2</v>
      </c>
      <c r="P4" s="12">
        <v>3</v>
      </c>
      <c r="Q4" s="31" t="s">
        <v>10</v>
      </c>
      <c r="R4" s="55"/>
      <c r="S4" s="9"/>
      <c r="T4" s="33"/>
    </row>
    <row r="5" ht="15.6" spans="1:19">
      <c r="A5" s="45" t="s">
        <v>11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20">
      <c r="A6" s="46" t="s">
        <v>1372</v>
      </c>
      <c r="B6" s="46" t="s">
        <v>1373</v>
      </c>
      <c r="C6" s="46" t="s">
        <v>262</v>
      </c>
      <c r="D6" s="46" t="str">
        <f ca="1">"0,7189"</f>
        <v>0,7189</v>
      </c>
      <c r="E6" s="46" t="s">
        <v>49</v>
      </c>
      <c r="F6" s="46" t="s">
        <v>141</v>
      </c>
      <c r="G6" s="52" t="s">
        <v>28</v>
      </c>
      <c r="H6" s="52" t="s">
        <v>28</v>
      </c>
      <c r="I6" s="52"/>
      <c r="J6" s="46"/>
      <c r="K6" s="46" t="s">
        <v>196</v>
      </c>
      <c r="L6" s="46" t="s">
        <v>605</v>
      </c>
      <c r="M6" s="52"/>
      <c r="N6" s="46" t="s">
        <v>140</v>
      </c>
      <c r="O6" s="46" t="s">
        <v>141</v>
      </c>
      <c r="P6" s="46" t="s">
        <v>28</v>
      </c>
      <c r="Q6" s="52"/>
      <c r="R6" s="56">
        <v>510</v>
      </c>
      <c r="S6" s="46" t="str">
        <f ca="1">"366,6135"</f>
        <v>366,6135</v>
      </c>
      <c r="T6" s="46"/>
    </row>
    <row r="8" ht="15.6" spans="1:19">
      <c r="A8" s="47" t="s">
        <v>17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</row>
    <row r="9" spans="1:20">
      <c r="A9" s="46" t="s">
        <v>1374</v>
      </c>
      <c r="B9" s="46" t="s">
        <v>1131</v>
      </c>
      <c r="C9" s="46" t="s">
        <v>276</v>
      </c>
      <c r="D9" s="46" t="str">
        <f ca="1">"0,7913"</f>
        <v>0,7913</v>
      </c>
      <c r="E9" s="46" t="s">
        <v>516</v>
      </c>
      <c r="F9" s="46" t="s">
        <v>252</v>
      </c>
      <c r="G9" s="52" t="s">
        <v>50</v>
      </c>
      <c r="H9" s="46" t="s">
        <v>50</v>
      </c>
      <c r="I9" s="52"/>
      <c r="J9" s="52" t="s">
        <v>1299</v>
      </c>
      <c r="K9" s="46" t="s">
        <v>1039</v>
      </c>
      <c r="L9" s="52" t="s">
        <v>268</v>
      </c>
      <c r="M9" s="52"/>
      <c r="N9" s="46" t="s">
        <v>213</v>
      </c>
      <c r="O9" s="46" t="s">
        <v>207</v>
      </c>
      <c r="P9" s="46" t="s">
        <v>219</v>
      </c>
      <c r="Q9" s="52" t="s">
        <v>1375</v>
      </c>
      <c r="R9" s="56">
        <v>545</v>
      </c>
      <c r="S9" s="46" t="str">
        <f ca="1">"431,2585"</f>
        <v>431,2585</v>
      </c>
      <c r="T9" s="46"/>
    </row>
    <row r="11" ht="15.6" spans="1:19">
      <c r="A11" s="47" t="s">
        <v>512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20">
      <c r="A12" s="46" t="s">
        <v>1162</v>
      </c>
      <c r="B12" s="46" t="s">
        <v>1163</v>
      </c>
      <c r="C12" s="46" t="s">
        <v>1376</v>
      </c>
      <c r="D12" s="46" t="str">
        <f ca="1">"1,0122"</f>
        <v>1,0122</v>
      </c>
      <c r="E12" s="46" t="s">
        <v>49</v>
      </c>
      <c r="F12" s="52" t="s">
        <v>233</v>
      </c>
      <c r="G12" s="46" t="s">
        <v>140</v>
      </c>
      <c r="H12" s="46" t="s">
        <v>141</v>
      </c>
      <c r="I12" s="52"/>
      <c r="J12" s="46" t="s">
        <v>1377</v>
      </c>
      <c r="K12" s="46" t="s">
        <v>592</v>
      </c>
      <c r="L12" s="46" t="s">
        <v>1299</v>
      </c>
      <c r="M12" s="52"/>
      <c r="N12" s="46" t="s">
        <v>160</v>
      </c>
      <c r="O12" s="46" t="s">
        <v>217</v>
      </c>
      <c r="P12" s="46" t="s">
        <v>770</v>
      </c>
      <c r="Q12" s="52"/>
      <c r="R12" s="56">
        <v>475</v>
      </c>
      <c r="S12" s="46" t="str">
        <f ca="1">"480,7950"</f>
        <v>480,7950</v>
      </c>
      <c r="T12" s="46"/>
    </row>
    <row r="14" ht="15.6" spans="1:19">
      <c r="A14" s="47" t="s">
        <v>197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</row>
    <row r="15" spans="1:20">
      <c r="A15" s="46" t="s">
        <v>1378</v>
      </c>
      <c r="B15" s="46" t="s">
        <v>1379</v>
      </c>
      <c r="C15" s="46" t="s">
        <v>1380</v>
      </c>
      <c r="D15" s="46" t="str">
        <f ca="1">"0,7630"</f>
        <v>0,7630</v>
      </c>
      <c r="E15" s="46" t="s">
        <v>49</v>
      </c>
      <c r="F15" s="46" t="s">
        <v>28</v>
      </c>
      <c r="G15" s="52" t="s">
        <v>227</v>
      </c>
      <c r="H15" s="52" t="s">
        <v>252</v>
      </c>
      <c r="I15" s="52"/>
      <c r="J15" s="46" t="s">
        <v>605</v>
      </c>
      <c r="K15" s="46" t="s">
        <v>123</v>
      </c>
      <c r="L15" s="52" t="s">
        <v>268</v>
      </c>
      <c r="M15" s="52"/>
      <c r="N15" s="46" t="s">
        <v>1381</v>
      </c>
      <c r="O15" s="46" t="s">
        <v>140</v>
      </c>
      <c r="P15" s="46" t="s">
        <v>141</v>
      </c>
      <c r="Q15" s="52"/>
      <c r="R15" s="56">
        <v>315</v>
      </c>
      <c r="S15" s="46" t="str">
        <f ca="1">"240,3450"</f>
        <v>240,3450</v>
      </c>
      <c r="T15" s="46"/>
    </row>
    <row r="17" ht="15.6" spans="1:19">
      <c r="A17" s="47" t="s">
        <v>11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20">
      <c r="A18" s="48" t="s">
        <v>1382</v>
      </c>
      <c r="B18" s="48" t="s">
        <v>1383</v>
      </c>
      <c r="C18" s="48" t="s">
        <v>216</v>
      </c>
      <c r="D18" s="48" t="str">
        <f ca="1">"0,6892"</f>
        <v>0,6892</v>
      </c>
      <c r="E18" s="48" t="s">
        <v>49</v>
      </c>
      <c r="F18" s="49" t="s">
        <v>40</v>
      </c>
      <c r="G18" s="48" t="s">
        <v>40</v>
      </c>
      <c r="H18" s="48" t="s">
        <v>347</v>
      </c>
      <c r="I18" s="49"/>
      <c r="J18" s="48" t="s">
        <v>213</v>
      </c>
      <c r="K18" s="48" t="s">
        <v>147</v>
      </c>
      <c r="L18" s="48" t="s">
        <v>207</v>
      </c>
      <c r="M18" s="49"/>
      <c r="N18" s="48" t="s">
        <v>437</v>
      </c>
      <c r="O18" s="49" t="s">
        <v>40</v>
      </c>
      <c r="P18" s="48" t="s">
        <v>40</v>
      </c>
      <c r="Q18" s="49"/>
      <c r="R18" s="57">
        <v>710</v>
      </c>
      <c r="S18" s="48" t="str">
        <f ca="1">"489,3320"</f>
        <v>489,3320</v>
      </c>
      <c r="T18" s="48"/>
    </row>
    <row r="19" spans="1:20">
      <c r="A19" s="53" t="s">
        <v>1384</v>
      </c>
      <c r="B19" s="53" t="s">
        <v>1385</v>
      </c>
      <c r="C19" s="53" t="s">
        <v>1386</v>
      </c>
      <c r="D19" s="53" t="str">
        <f ca="1">"0,6913"</f>
        <v>0,6913</v>
      </c>
      <c r="E19" s="53" t="s">
        <v>49</v>
      </c>
      <c r="F19" s="50" t="s">
        <v>28</v>
      </c>
      <c r="G19" s="51" t="s">
        <v>44</v>
      </c>
      <c r="H19" s="50" t="s">
        <v>44</v>
      </c>
      <c r="I19" s="51"/>
      <c r="J19" s="50" t="s">
        <v>213</v>
      </c>
      <c r="K19" s="51" t="s">
        <v>45</v>
      </c>
      <c r="L19" s="51"/>
      <c r="M19" s="51"/>
      <c r="N19" s="50" t="s">
        <v>252</v>
      </c>
      <c r="O19" s="50" t="s">
        <v>88</v>
      </c>
      <c r="P19" s="50" t="s">
        <v>33</v>
      </c>
      <c r="Q19" s="51"/>
      <c r="R19" s="58">
        <v>600</v>
      </c>
      <c r="S19" s="53" t="s">
        <v>1387</v>
      </c>
      <c r="T19" s="53"/>
    </row>
    <row r="20" spans="1:20">
      <c r="A20" s="53" t="s">
        <v>1017</v>
      </c>
      <c r="B20" s="53" t="s">
        <v>1018</v>
      </c>
      <c r="C20" s="53" t="s">
        <v>248</v>
      </c>
      <c r="D20" s="53" t="str">
        <f ca="1">"0,6885"</f>
        <v>0,6885</v>
      </c>
      <c r="E20" s="53" t="s">
        <v>49</v>
      </c>
      <c r="F20" s="53" t="s">
        <v>323</v>
      </c>
      <c r="G20" s="54" t="s">
        <v>75</v>
      </c>
      <c r="H20" s="54" t="s">
        <v>84</v>
      </c>
      <c r="I20" s="54"/>
      <c r="J20" s="54" t="s">
        <v>124</v>
      </c>
      <c r="K20" s="54" t="s">
        <v>124</v>
      </c>
      <c r="L20" s="54" t="s">
        <v>124</v>
      </c>
      <c r="M20" s="54"/>
      <c r="N20" s="54"/>
      <c r="O20" s="54"/>
      <c r="P20" s="54"/>
      <c r="Q20" s="54"/>
      <c r="R20" s="59">
        <v>0</v>
      </c>
      <c r="S20" s="53" t="str">
        <f ca="1">"0,0000"</f>
        <v>0,0000</v>
      </c>
      <c r="T20" s="53" t="s">
        <v>1388</v>
      </c>
    </row>
    <row r="21" spans="1:20">
      <c r="A21" s="50" t="s">
        <v>1384</v>
      </c>
      <c r="B21" s="50" t="s">
        <v>1389</v>
      </c>
      <c r="C21" s="50" t="s">
        <v>1386</v>
      </c>
      <c r="D21" s="50" t="str">
        <f ca="1">"0,7479"</f>
        <v>0,7479</v>
      </c>
      <c r="E21" s="50" t="s">
        <v>49</v>
      </c>
      <c r="F21" s="50" t="s">
        <v>28</v>
      </c>
      <c r="G21" s="51" t="s">
        <v>44</v>
      </c>
      <c r="H21" s="50" t="s">
        <v>44</v>
      </c>
      <c r="I21" s="51"/>
      <c r="J21" s="50" t="s">
        <v>213</v>
      </c>
      <c r="K21" s="51" t="s">
        <v>45</v>
      </c>
      <c r="L21" s="51"/>
      <c r="M21" s="51"/>
      <c r="N21" s="50" t="s">
        <v>252</v>
      </c>
      <c r="O21" s="50" t="s">
        <v>88</v>
      </c>
      <c r="P21" s="50" t="s">
        <v>33</v>
      </c>
      <c r="Q21" s="51"/>
      <c r="R21" s="58">
        <v>600</v>
      </c>
      <c r="S21" s="50" t="str">
        <f ca="1">"448,7595"</f>
        <v>448,7595</v>
      </c>
      <c r="T21" s="50"/>
    </row>
    <row r="23" ht="15.6" spans="1:19">
      <c r="A23" s="47" t="s">
        <v>17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20">
      <c r="A24" s="48" t="s">
        <v>1390</v>
      </c>
      <c r="B24" s="48" t="s">
        <v>1391</v>
      </c>
      <c r="C24" s="48" t="s">
        <v>1392</v>
      </c>
      <c r="D24" s="48" t="str">
        <f ca="1">"0,6700"</f>
        <v>0,6700</v>
      </c>
      <c r="E24" s="48" t="s">
        <v>1032</v>
      </c>
      <c r="F24" s="48" t="s">
        <v>28</v>
      </c>
      <c r="G24" s="48" t="s">
        <v>44</v>
      </c>
      <c r="H24" s="48" t="s">
        <v>252</v>
      </c>
      <c r="I24" s="49"/>
      <c r="J24" s="48" t="s">
        <v>605</v>
      </c>
      <c r="K24" s="49"/>
      <c r="L24" s="49"/>
      <c r="M24" s="49"/>
      <c r="N24" s="49" t="s">
        <v>28</v>
      </c>
      <c r="O24" s="49" t="s">
        <v>28</v>
      </c>
      <c r="P24" s="49" t="s">
        <v>28</v>
      </c>
      <c r="Q24" s="49"/>
      <c r="R24" s="57">
        <v>0</v>
      </c>
      <c r="S24" s="48" t="str">
        <f ca="1">"0,0000"</f>
        <v>0,0000</v>
      </c>
      <c r="T24" s="48"/>
    </row>
    <row r="25" spans="1:20">
      <c r="A25" s="50" t="s">
        <v>1393</v>
      </c>
      <c r="B25" s="50" t="s">
        <v>1394</v>
      </c>
      <c r="C25" s="50" t="s">
        <v>20</v>
      </c>
      <c r="D25" s="50" t="str">
        <f ca="1">"0,6456"</f>
        <v>0,6456</v>
      </c>
      <c r="E25" s="50" t="s">
        <v>49</v>
      </c>
      <c r="F25" s="51" t="s">
        <v>1287</v>
      </c>
      <c r="G25" s="51" t="s">
        <v>71</v>
      </c>
      <c r="H25" s="50" t="s">
        <v>71</v>
      </c>
      <c r="I25" s="51"/>
      <c r="J25" s="50" t="s">
        <v>233</v>
      </c>
      <c r="K25" s="51" t="s">
        <v>27</v>
      </c>
      <c r="L25" s="51" t="s">
        <v>27</v>
      </c>
      <c r="M25" s="51"/>
      <c r="N25" s="50" t="s">
        <v>437</v>
      </c>
      <c r="O25" s="50" t="s">
        <v>40</v>
      </c>
      <c r="P25" s="51" t="s">
        <v>407</v>
      </c>
      <c r="Q25" s="51"/>
      <c r="R25" s="58">
        <v>565</v>
      </c>
      <c r="S25" s="50" t="str">
        <f ca="1">"364,7640"</f>
        <v>364,7640</v>
      </c>
      <c r="T25" s="50"/>
    </row>
    <row r="27" ht="15.6" spans="1:19">
      <c r="A27" s="47" t="s">
        <v>35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</row>
    <row r="28" spans="1:20">
      <c r="A28" s="48" t="s">
        <v>1395</v>
      </c>
      <c r="B28" s="48" t="s">
        <v>1396</v>
      </c>
      <c r="C28" s="48" t="s">
        <v>232</v>
      </c>
      <c r="D28" s="48" t="str">
        <f ca="1">"0,6141"</f>
        <v>0,6141</v>
      </c>
      <c r="E28" s="48" t="s">
        <v>1397</v>
      </c>
      <c r="F28" s="49" t="s">
        <v>1398</v>
      </c>
      <c r="G28" s="48" t="s">
        <v>71</v>
      </c>
      <c r="H28" s="49" t="s">
        <v>394</v>
      </c>
      <c r="I28" s="49"/>
      <c r="J28" s="48" t="s">
        <v>1165</v>
      </c>
      <c r="K28" s="48" t="s">
        <v>732</v>
      </c>
      <c r="L28" s="49" t="s">
        <v>226</v>
      </c>
      <c r="M28" s="49"/>
      <c r="N28" s="48" t="s">
        <v>51</v>
      </c>
      <c r="O28" s="48" t="s">
        <v>89</v>
      </c>
      <c r="P28" s="48" t="s">
        <v>40</v>
      </c>
      <c r="Q28" s="49"/>
      <c r="R28" s="57">
        <v>760</v>
      </c>
      <c r="S28" s="48" t="str">
        <f ca="1">"466,7540"</f>
        <v>466,7540</v>
      </c>
      <c r="T28" s="48"/>
    </row>
    <row r="29" spans="1:20">
      <c r="A29" s="53" t="s">
        <v>1399</v>
      </c>
      <c r="B29" s="53" t="s">
        <v>1400</v>
      </c>
      <c r="C29" s="53" t="s">
        <v>38</v>
      </c>
      <c r="D29" s="53" t="str">
        <f ca="1">"0,6145"</f>
        <v>0,6145</v>
      </c>
      <c r="E29" s="53" t="s">
        <v>49</v>
      </c>
      <c r="F29" s="54" t="s">
        <v>347</v>
      </c>
      <c r="G29" s="53" t="s">
        <v>1401</v>
      </c>
      <c r="H29" s="53" t="s">
        <v>71</v>
      </c>
      <c r="I29" s="54"/>
      <c r="J29" s="53" t="s">
        <v>233</v>
      </c>
      <c r="K29" s="54" t="s">
        <v>219</v>
      </c>
      <c r="L29" s="53" t="s">
        <v>219</v>
      </c>
      <c r="M29" s="54"/>
      <c r="N29" s="53" t="s">
        <v>50</v>
      </c>
      <c r="O29" s="53" t="s">
        <v>51</v>
      </c>
      <c r="P29" s="54" t="s">
        <v>323</v>
      </c>
      <c r="Q29" s="54"/>
      <c r="R29" s="59">
        <v>732.5</v>
      </c>
      <c r="S29" s="53" t="str">
        <f ca="1">"450,1579"</f>
        <v>450,1579</v>
      </c>
      <c r="T29" s="53"/>
    </row>
    <row r="30" spans="1:20">
      <c r="A30" s="50" t="s">
        <v>1049</v>
      </c>
      <c r="B30" s="50" t="s">
        <v>1050</v>
      </c>
      <c r="C30" s="50" t="s">
        <v>1402</v>
      </c>
      <c r="D30" s="50" t="str">
        <f ca="1">"0,8101"</f>
        <v>0,8101</v>
      </c>
      <c r="E30" s="50" t="s">
        <v>49</v>
      </c>
      <c r="F30" s="50" t="s">
        <v>89</v>
      </c>
      <c r="G30" s="50" t="s">
        <v>22</v>
      </c>
      <c r="H30" s="51" t="s">
        <v>323</v>
      </c>
      <c r="I30" s="51"/>
      <c r="J30" s="50" t="s">
        <v>206</v>
      </c>
      <c r="K30" s="50" t="s">
        <v>233</v>
      </c>
      <c r="L30" s="51" t="s">
        <v>27</v>
      </c>
      <c r="M30" s="51"/>
      <c r="N30" s="50" t="s">
        <v>44</v>
      </c>
      <c r="O30" s="50" t="s">
        <v>252</v>
      </c>
      <c r="P30" s="50" t="s">
        <v>88</v>
      </c>
      <c r="Q30" s="51"/>
      <c r="R30" s="58">
        <v>670</v>
      </c>
      <c r="S30" s="50" t="str">
        <f ca="1">"542,7708"</f>
        <v>542,7708</v>
      </c>
      <c r="T30" s="50"/>
    </row>
    <row r="32" ht="15.6" spans="1:19">
      <c r="A32" s="47" t="s">
        <v>53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</row>
    <row r="33" spans="1:20">
      <c r="A33" s="48" t="s">
        <v>1403</v>
      </c>
      <c r="B33" s="48" t="s">
        <v>1404</v>
      </c>
      <c r="C33" s="48" t="s">
        <v>326</v>
      </c>
      <c r="D33" s="48" t="str">
        <f ca="1">"0,5958"</f>
        <v>0,5958</v>
      </c>
      <c r="E33" s="48" t="s">
        <v>49</v>
      </c>
      <c r="F33" s="48" t="s">
        <v>1405</v>
      </c>
      <c r="G33" s="48" t="s">
        <v>313</v>
      </c>
      <c r="H33" s="49" t="s">
        <v>45</v>
      </c>
      <c r="I33" s="49"/>
      <c r="J33" s="48" t="s">
        <v>141</v>
      </c>
      <c r="K33" s="48" t="s">
        <v>28</v>
      </c>
      <c r="L33" s="49" t="s">
        <v>44</v>
      </c>
      <c r="M33" s="49"/>
      <c r="N33" s="48" t="s">
        <v>84</v>
      </c>
      <c r="O33" s="49" t="s">
        <v>118</v>
      </c>
      <c r="P33" s="49"/>
      <c r="Q33" s="49"/>
      <c r="R33" s="57">
        <v>825</v>
      </c>
      <c r="S33" s="48" t="str">
        <f ca="1">"491,5762"</f>
        <v>491,5762</v>
      </c>
      <c r="T33" s="48"/>
    </row>
    <row r="34" spans="1:20">
      <c r="A34" s="53" t="s">
        <v>1406</v>
      </c>
      <c r="B34" s="53" t="s">
        <v>1407</v>
      </c>
      <c r="C34" s="53" t="s">
        <v>1408</v>
      </c>
      <c r="D34" s="53" t="str">
        <f ca="1">"0,5831"</f>
        <v>0,5831</v>
      </c>
      <c r="E34" s="53" t="s">
        <v>49</v>
      </c>
      <c r="F34" s="53" t="s">
        <v>40</v>
      </c>
      <c r="G34" s="53" t="s">
        <v>23</v>
      </c>
      <c r="H34" s="53" t="s">
        <v>347</v>
      </c>
      <c r="I34" s="54"/>
      <c r="J34" s="54" t="s">
        <v>141</v>
      </c>
      <c r="K34" s="53" t="s">
        <v>141</v>
      </c>
      <c r="L34" s="53" t="s">
        <v>28</v>
      </c>
      <c r="M34" s="54"/>
      <c r="N34" s="53" t="s">
        <v>80</v>
      </c>
      <c r="O34" s="53" t="s">
        <v>40</v>
      </c>
      <c r="P34" s="53" t="s">
        <v>23</v>
      </c>
      <c r="Q34" s="54"/>
      <c r="R34" s="59">
        <v>750</v>
      </c>
      <c r="S34" s="53" t="str">
        <f ca="1">"437,2875"</f>
        <v>437,2875</v>
      </c>
      <c r="T34" s="53"/>
    </row>
    <row r="35" spans="1:20">
      <c r="A35" s="50" t="s">
        <v>295</v>
      </c>
      <c r="B35" s="50" t="s">
        <v>296</v>
      </c>
      <c r="C35" s="50" t="s">
        <v>1409</v>
      </c>
      <c r="D35" s="50" t="str">
        <f ca="1">"0,6112"</f>
        <v>0,6112</v>
      </c>
      <c r="E35" s="50" t="s">
        <v>256</v>
      </c>
      <c r="F35" s="50" t="s">
        <v>28</v>
      </c>
      <c r="G35" s="50" t="s">
        <v>252</v>
      </c>
      <c r="H35" s="50" t="s">
        <v>50</v>
      </c>
      <c r="I35" s="51"/>
      <c r="J35" s="50" t="s">
        <v>213</v>
      </c>
      <c r="K35" s="50" t="s">
        <v>206</v>
      </c>
      <c r="L35" s="50" t="s">
        <v>207</v>
      </c>
      <c r="M35" s="51"/>
      <c r="N35" s="50" t="s">
        <v>252</v>
      </c>
      <c r="O35" s="50" t="s">
        <v>33</v>
      </c>
      <c r="P35" s="50" t="s">
        <v>89</v>
      </c>
      <c r="Q35" s="51"/>
      <c r="R35" s="58">
        <v>660</v>
      </c>
      <c r="S35" s="50" t="str">
        <f ca="1">"403,3590"</f>
        <v>403,3590</v>
      </c>
      <c r="T35" s="50"/>
    </row>
    <row r="37" ht="15.6" spans="1:19">
      <c r="A37" s="47" t="s">
        <v>57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0">
      <c r="A38" s="48" t="s">
        <v>348</v>
      </c>
      <c r="B38" s="48" t="s">
        <v>349</v>
      </c>
      <c r="C38" s="48" t="s">
        <v>69</v>
      </c>
      <c r="D38" s="48" t="str">
        <f ca="1">"0,5625"</f>
        <v>0,5625</v>
      </c>
      <c r="E38" s="48" t="s">
        <v>49</v>
      </c>
      <c r="F38" s="48" t="s">
        <v>1405</v>
      </c>
      <c r="G38" s="48" t="s">
        <v>386</v>
      </c>
      <c r="H38" s="49" t="s">
        <v>45</v>
      </c>
      <c r="I38" s="49"/>
      <c r="J38" s="48" t="s">
        <v>88</v>
      </c>
      <c r="K38" s="49" t="s">
        <v>45</v>
      </c>
      <c r="L38" s="49"/>
      <c r="M38" s="49"/>
      <c r="N38" s="48" t="s">
        <v>76</v>
      </c>
      <c r="O38" s="48" t="s">
        <v>1410</v>
      </c>
      <c r="P38" s="49" t="s">
        <v>1411</v>
      </c>
      <c r="Q38" s="49"/>
      <c r="R38" s="57">
        <v>865</v>
      </c>
      <c r="S38" s="48" t="str">
        <f ca="1">"486,5625"</f>
        <v>486,5625</v>
      </c>
      <c r="T38" s="48"/>
    </row>
    <row r="39" spans="1:20">
      <c r="A39" s="53" t="s">
        <v>1412</v>
      </c>
      <c r="B39" s="53" t="s">
        <v>1413</v>
      </c>
      <c r="C39" s="53" t="s">
        <v>1201</v>
      </c>
      <c r="D39" s="53" t="str">
        <f ca="1">"0,5650"</f>
        <v>0,5650</v>
      </c>
      <c r="E39" s="53" t="s">
        <v>49</v>
      </c>
      <c r="F39" s="53" t="s">
        <v>84</v>
      </c>
      <c r="G39" s="53" t="s">
        <v>394</v>
      </c>
      <c r="H39" s="54" t="s">
        <v>313</v>
      </c>
      <c r="I39" s="54"/>
      <c r="J39" s="53" t="s">
        <v>50</v>
      </c>
      <c r="K39" s="54" t="s">
        <v>33</v>
      </c>
      <c r="L39" s="53" t="s">
        <v>33</v>
      </c>
      <c r="M39" s="54"/>
      <c r="N39" s="53" t="s">
        <v>313</v>
      </c>
      <c r="O39" s="53" t="s">
        <v>63</v>
      </c>
      <c r="P39" s="54" t="s">
        <v>1414</v>
      </c>
      <c r="Q39" s="54"/>
      <c r="R39" s="59">
        <v>900</v>
      </c>
      <c r="S39" s="53" t="str">
        <f ca="1">"508,5000"</f>
        <v>508,5000</v>
      </c>
      <c r="T39" s="53"/>
    </row>
    <row r="40" spans="1:20">
      <c r="A40" s="53" t="s">
        <v>1415</v>
      </c>
      <c r="B40" s="53" t="s">
        <v>1416</v>
      </c>
      <c r="C40" s="53" t="s">
        <v>1417</v>
      </c>
      <c r="D40" s="53" t="str">
        <f ca="1">"0,5785"</f>
        <v>0,5785</v>
      </c>
      <c r="E40" s="53" t="s">
        <v>49</v>
      </c>
      <c r="F40" s="53" t="s">
        <v>889</v>
      </c>
      <c r="G40" s="54" t="s">
        <v>84</v>
      </c>
      <c r="H40" s="54" t="s">
        <v>117</v>
      </c>
      <c r="I40" s="54"/>
      <c r="J40" s="53" t="s">
        <v>732</v>
      </c>
      <c r="K40" s="53" t="s">
        <v>226</v>
      </c>
      <c r="L40" s="54" t="s">
        <v>44</v>
      </c>
      <c r="M40" s="54"/>
      <c r="N40" s="53" t="s">
        <v>40</v>
      </c>
      <c r="O40" s="54" t="s">
        <v>323</v>
      </c>
      <c r="P40" s="53" t="s">
        <v>347</v>
      </c>
      <c r="Q40" s="54"/>
      <c r="R40" s="59" t="s">
        <v>1418</v>
      </c>
      <c r="S40" s="53" t="str">
        <f ca="1">"280,5725"</f>
        <v>280,5725</v>
      </c>
      <c r="T40" s="53"/>
    </row>
    <row r="41" spans="1:20">
      <c r="A41" s="53" t="s">
        <v>1059</v>
      </c>
      <c r="B41" s="53" t="s">
        <v>1060</v>
      </c>
      <c r="C41" s="53" t="s">
        <v>1419</v>
      </c>
      <c r="D41" s="53" t="str">
        <f ca="1">"0,6267"</f>
        <v>0,6267</v>
      </c>
      <c r="E41" s="53" t="s">
        <v>49</v>
      </c>
      <c r="F41" s="53" t="s">
        <v>141</v>
      </c>
      <c r="G41" s="53" t="s">
        <v>226</v>
      </c>
      <c r="H41" s="54" t="s">
        <v>45</v>
      </c>
      <c r="I41" s="54"/>
      <c r="J41" s="53" t="s">
        <v>195</v>
      </c>
      <c r="K41" s="53" t="s">
        <v>605</v>
      </c>
      <c r="L41" s="54" t="s">
        <v>268</v>
      </c>
      <c r="M41" s="54"/>
      <c r="N41" s="53" t="s">
        <v>290</v>
      </c>
      <c r="O41" s="54"/>
      <c r="P41" s="54"/>
      <c r="Q41" s="54"/>
      <c r="R41" s="59" t="s">
        <v>1420</v>
      </c>
      <c r="S41" s="53" t="str">
        <f ca="1">"203,6873"</f>
        <v>203,6873</v>
      </c>
      <c r="T41" s="53"/>
    </row>
    <row r="42" spans="1:20">
      <c r="A42" s="53" t="s">
        <v>1064</v>
      </c>
      <c r="B42" s="53" t="s">
        <v>1065</v>
      </c>
      <c r="C42" s="53" t="s">
        <v>850</v>
      </c>
      <c r="D42" s="53" t="str">
        <f ca="1">"0,6785"</f>
        <v>0,6785</v>
      </c>
      <c r="E42" s="53" t="s">
        <v>49</v>
      </c>
      <c r="F42" s="53" t="s">
        <v>252</v>
      </c>
      <c r="G42" s="53" t="s">
        <v>33</v>
      </c>
      <c r="H42" s="53" t="s">
        <v>51</v>
      </c>
      <c r="I42" s="54"/>
      <c r="J42" s="53" t="s">
        <v>827</v>
      </c>
      <c r="K42" s="53" t="s">
        <v>227</v>
      </c>
      <c r="L42" s="54" t="s">
        <v>780</v>
      </c>
      <c r="M42" s="54"/>
      <c r="N42" s="53" t="s">
        <v>28</v>
      </c>
      <c r="O42" s="53" t="s">
        <v>88</v>
      </c>
      <c r="P42" s="53" t="s">
        <v>51</v>
      </c>
      <c r="Q42" s="54"/>
      <c r="R42" s="59">
        <v>705</v>
      </c>
      <c r="S42" s="53" t="str">
        <f ca="1">"478,3101"</f>
        <v>478,3101</v>
      </c>
      <c r="T42" s="53"/>
    </row>
    <row r="43" spans="1:20">
      <c r="A43" s="50" t="s">
        <v>95</v>
      </c>
      <c r="B43" s="50" t="s">
        <v>96</v>
      </c>
      <c r="C43" s="50" t="s">
        <v>1421</v>
      </c>
      <c r="D43" s="50" t="str">
        <f ca="1">"1,0544"</f>
        <v>1,0544</v>
      </c>
      <c r="E43" s="50" t="s">
        <v>98</v>
      </c>
      <c r="F43" s="50" t="s">
        <v>456</v>
      </c>
      <c r="G43" s="51" t="s">
        <v>45</v>
      </c>
      <c r="H43" s="51"/>
      <c r="I43" s="51"/>
      <c r="J43" s="50" t="s">
        <v>100</v>
      </c>
      <c r="K43" s="51"/>
      <c r="L43" s="51"/>
      <c r="M43" s="51"/>
      <c r="N43" s="50" t="s">
        <v>374</v>
      </c>
      <c r="O43" s="51"/>
      <c r="P43" s="51"/>
      <c r="Q43" s="51"/>
      <c r="R43" s="58" t="s">
        <v>1398</v>
      </c>
      <c r="S43" s="50" t="s">
        <v>1422</v>
      </c>
      <c r="T43" s="50"/>
    </row>
    <row r="45" ht="15.6" spans="1:19">
      <c r="A45" s="47" t="s">
        <v>102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</row>
    <row r="46" spans="1:20">
      <c r="A46" s="48" t="s">
        <v>1423</v>
      </c>
      <c r="B46" s="48" t="s">
        <v>1424</v>
      </c>
      <c r="C46" s="48" t="s">
        <v>1123</v>
      </c>
      <c r="D46" s="48" t="str">
        <f ca="1">"0,5498"</f>
        <v>0,5498</v>
      </c>
      <c r="E46" s="48" t="s">
        <v>516</v>
      </c>
      <c r="F46" s="48" t="s">
        <v>1425</v>
      </c>
      <c r="G46" s="49"/>
      <c r="H46" s="49"/>
      <c r="I46" s="49"/>
      <c r="J46" s="48" t="s">
        <v>372</v>
      </c>
      <c r="K46" s="49"/>
      <c r="L46" s="49"/>
      <c r="M46" s="49"/>
      <c r="N46" s="48" t="s">
        <v>575</v>
      </c>
      <c r="O46" s="49"/>
      <c r="P46" s="49"/>
      <c r="Q46" s="49"/>
      <c r="R46" s="57" t="s">
        <v>1426</v>
      </c>
      <c r="S46" s="48" t="s">
        <v>1427</v>
      </c>
      <c r="T46" s="48"/>
    </row>
    <row r="47" spans="1:20">
      <c r="A47" s="53" t="s">
        <v>1428</v>
      </c>
      <c r="B47" s="53" t="s">
        <v>1429</v>
      </c>
      <c r="C47" s="53" t="s">
        <v>1430</v>
      </c>
      <c r="D47" s="53" t="str">
        <f ca="1">"0,5476"</f>
        <v>0,5476</v>
      </c>
      <c r="E47" s="53" t="s">
        <v>240</v>
      </c>
      <c r="F47" s="54" t="s">
        <v>1431</v>
      </c>
      <c r="G47" s="53" t="s">
        <v>398</v>
      </c>
      <c r="H47" s="54" t="s">
        <v>64</v>
      </c>
      <c r="I47" s="54"/>
      <c r="J47" s="53" t="s">
        <v>50</v>
      </c>
      <c r="K47" s="54" t="s">
        <v>51</v>
      </c>
      <c r="L47" s="54" t="s">
        <v>51</v>
      </c>
      <c r="M47" s="54"/>
      <c r="N47" s="53" t="s">
        <v>1432</v>
      </c>
      <c r="O47" s="53" t="s">
        <v>1401</v>
      </c>
      <c r="P47" s="54" t="s">
        <v>117</v>
      </c>
      <c r="Q47" s="54"/>
      <c r="R47" s="59">
        <v>865</v>
      </c>
      <c r="S47" s="53" t="str">
        <f ca="1">"473,6308"</f>
        <v>473,6308</v>
      </c>
      <c r="T47" s="53"/>
    </row>
    <row r="48" spans="1:20">
      <c r="A48" s="53" t="s">
        <v>1433</v>
      </c>
      <c r="B48" s="53" t="s">
        <v>1434</v>
      </c>
      <c r="C48" s="53" t="s">
        <v>1222</v>
      </c>
      <c r="D48" s="53" t="str">
        <f ca="1">"0,5480"</f>
        <v>0,5480</v>
      </c>
      <c r="E48" s="53" t="s">
        <v>49</v>
      </c>
      <c r="F48" s="53" t="s">
        <v>347</v>
      </c>
      <c r="G48" s="53" t="s">
        <v>75</v>
      </c>
      <c r="H48" s="54" t="s">
        <v>84</v>
      </c>
      <c r="I48" s="54"/>
      <c r="J48" s="53" t="s">
        <v>754</v>
      </c>
      <c r="K48" s="54" t="s">
        <v>44</v>
      </c>
      <c r="L48" s="54" t="s">
        <v>44</v>
      </c>
      <c r="M48" s="54"/>
      <c r="N48" s="53" t="s">
        <v>1435</v>
      </c>
      <c r="O48" s="54" t="s">
        <v>75</v>
      </c>
      <c r="P48" s="54"/>
      <c r="Q48" s="54"/>
      <c r="R48" s="59" t="s">
        <v>1436</v>
      </c>
      <c r="S48" s="53" t="s">
        <v>1437</v>
      </c>
      <c r="T48" s="53" t="s">
        <v>1438</v>
      </c>
    </row>
    <row r="49" spans="1:20">
      <c r="A49" s="53" t="s">
        <v>1439</v>
      </c>
      <c r="B49" s="53" t="s">
        <v>1440</v>
      </c>
      <c r="C49" s="53" t="s">
        <v>1441</v>
      </c>
      <c r="D49" s="53" t="str">
        <f ca="1">"0,5618"</f>
        <v>0,5618</v>
      </c>
      <c r="E49" s="53" t="s">
        <v>98</v>
      </c>
      <c r="F49" s="54" t="s">
        <v>84</v>
      </c>
      <c r="G49" s="53" t="s">
        <v>84</v>
      </c>
      <c r="H49" s="54" t="s">
        <v>1410</v>
      </c>
      <c r="I49" s="54"/>
      <c r="J49" s="53" t="s">
        <v>732</v>
      </c>
      <c r="K49" s="53" t="s">
        <v>226</v>
      </c>
      <c r="L49" s="54" t="s">
        <v>124</v>
      </c>
      <c r="M49" s="54"/>
      <c r="N49" s="54" t="s">
        <v>50</v>
      </c>
      <c r="O49" s="53" t="s">
        <v>50</v>
      </c>
      <c r="P49" s="54" t="s">
        <v>51</v>
      </c>
      <c r="Q49" s="54"/>
      <c r="R49" s="59">
        <v>740</v>
      </c>
      <c r="S49" s="53" t="str">
        <f ca="1">"415,7320"</f>
        <v>415,7320</v>
      </c>
      <c r="T49" s="53"/>
    </row>
    <row r="50" spans="1:20">
      <c r="A50" s="53" t="s">
        <v>1442</v>
      </c>
      <c r="B50" s="53" t="s">
        <v>1443</v>
      </c>
      <c r="C50" s="53" t="s">
        <v>1444</v>
      </c>
      <c r="D50" s="53" t="str">
        <f ca="1">"0,5518"</f>
        <v>0,5518</v>
      </c>
      <c r="E50" s="53" t="s">
        <v>240</v>
      </c>
      <c r="F50" s="53" t="s">
        <v>80</v>
      </c>
      <c r="G50" s="53" t="s">
        <v>22</v>
      </c>
      <c r="H50" s="54" t="s">
        <v>45</v>
      </c>
      <c r="I50" s="54"/>
      <c r="J50" s="53" t="s">
        <v>1445</v>
      </c>
      <c r="K50" s="53" t="s">
        <v>140</v>
      </c>
      <c r="L50" s="53" t="s">
        <v>732</v>
      </c>
      <c r="M50" s="54"/>
      <c r="N50" s="53" t="s">
        <v>80</v>
      </c>
      <c r="O50" s="53" t="s">
        <v>323</v>
      </c>
      <c r="P50" s="54" t="s">
        <v>407</v>
      </c>
      <c r="Q50" s="54"/>
      <c r="R50" s="59">
        <v>735</v>
      </c>
      <c r="S50" s="53" t="str">
        <f ca="1">"405,5363"</f>
        <v>405,5363</v>
      </c>
      <c r="T50" s="53"/>
    </row>
    <row r="51" spans="1:20">
      <c r="A51" s="53" t="s">
        <v>1446</v>
      </c>
      <c r="B51" s="53" t="s">
        <v>1447</v>
      </c>
      <c r="C51" s="53" t="s">
        <v>1448</v>
      </c>
      <c r="D51" s="53" t="str">
        <f ca="1">"0,5635"</f>
        <v>0,5635</v>
      </c>
      <c r="E51" s="53" t="s">
        <v>49</v>
      </c>
      <c r="F51" s="53" t="s">
        <v>80</v>
      </c>
      <c r="G51" s="53" t="s">
        <v>22</v>
      </c>
      <c r="H51" s="53" t="s">
        <v>323</v>
      </c>
      <c r="I51" s="54"/>
      <c r="J51" s="53" t="s">
        <v>754</v>
      </c>
      <c r="K51" s="53" t="s">
        <v>44</v>
      </c>
      <c r="L51" s="54" t="s">
        <v>252</v>
      </c>
      <c r="M51" s="54"/>
      <c r="N51" s="53" t="s">
        <v>88</v>
      </c>
      <c r="O51" s="53" t="s">
        <v>80</v>
      </c>
      <c r="P51" s="54" t="s">
        <v>40</v>
      </c>
      <c r="Q51" s="54"/>
      <c r="R51" s="59">
        <v>735</v>
      </c>
      <c r="S51" s="53" t="str">
        <f ca="1">"414,1942"</f>
        <v>414,1942</v>
      </c>
      <c r="T51" s="53"/>
    </row>
    <row r="52" spans="1:20">
      <c r="A52" s="53" t="s">
        <v>1449</v>
      </c>
      <c r="B52" s="53" t="s">
        <v>1450</v>
      </c>
      <c r="C52" s="53" t="s">
        <v>1451</v>
      </c>
      <c r="D52" s="53" t="str">
        <f ca="1">"0,5895"</f>
        <v>0,5895</v>
      </c>
      <c r="E52" s="53" t="s">
        <v>21</v>
      </c>
      <c r="F52" s="53" t="s">
        <v>51</v>
      </c>
      <c r="G52" s="54"/>
      <c r="H52" s="54"/>
      <c r="I52" s="54"/>
      <c r="J52" s="53" t="s">
        <v>207</v>
      </c>
      <c r="K52" s="53" t="s">
        <v>140</v>
      </c>
      <c r="L52" s="54"/>
      <c r="M52" s="54"/>
      <c r="N52" s="53" t="s">
        <v>140</v>
      </c>
      <c r="O52" s="53" t="s">
        <v>28</v>
      </c>
      <c r="P52" s="54"/>
      <c r="Q52" s="54"/>
      <c r="R52" s="59">
        <v>625</v>
      </c>
      <c r="S52" s="53" t="str">
        <f ca="1">"368,4600"</f>
        <v>368,4600</v>
      </c>
      <c r="T52" s="53"/>
    </row>
    <row r="53" spans="1:20">
      <c r="A53" s="50" t="s">
        <v>1452</v>
      </c>
      <c r="B53" s="50" t="s">
        <v>1453</v>
      </c>
      <c r="C53" s="50" t="s">
        <v>1454</v>
      </c>
      <c r="D53" s="50" t="str">
        <f ca="1">"0,6313"</f>
        <v>0,6313</v>
      </c>
      <c r="E53" s="50" t="s">
        <v>49</v>
      </c>
      <c r="F53" s="50" t="s">
        <v>360</v>
      </c>
      <c r="G53" s="51" t="s">
        <v>75</v>
      </c>
      <c r="H53" s="50" t="s">
        <v>75</v>
      </c>
      <c r="I53" s="51"/>
      <c r="J53" s="50" t="s">
        <v>142</v>
      </c>
      <c r="K53" s="50" t="s">
        <v>141</v>
      </c>
      <c r="L53" s="50" t="s">
        <v>733</v>
      </c>
      <c r="M53" s="51"/>
      <c r="N53" s="50" t="s">
        <v>40</v>
      </c>
      <c r="O53" s="50" t="s">
        <v>23</v>
      </c>
      <c r="P53" s="51"/>
      <c r="Q53" s="51"/>
      <c r="R53" s="58">
        <v>757.5</v>
      </c>
      <c r="S53" s="50" t="str">
        <f ca="1">"478,1904"</f>
        <v>478,1904</v>
      </c>
      <c r="T53" s="50"/>
    </row>
    <row r="55" ht="15.6" spans="5:5">
      <c r="E55" s="60" t="s">
        <v>148</v>
      </c>
    </row>
    <row r="56" ht="15.6" spans="5:5">
      <c r="E56" s="60" t="s">
        <v>149</v>
      </c>
    </row>
    <row r="57" ht="15.6" spans="5:5">
      <c r="E57" s="60" t="s">
        <v>150</v>
      </c>
    </row>
    <row r="58" spans="5:5">
      <c r="E58" s="43" t="s">
        <v>151</v>
      </c>
    </row>
    <row r="59" spans="5:5">
      <c r="E59" s="43" t="s">
        <v>152</v>
      </c>
    </row>
    <row r="60" spans="5:5">
      <c r="E60" s="43" t="s">
        <v>153</v>
      </c>
    </row>
    <row r="63" ht="18" spans="1:2">
      <c r="A63" s="61" t="s">
        <v>154</v>
      </c>
      <c r="B63" s="61"/>
    </row>
    <row r="64" ht="15.6" spans="1:2">
      <c r="A64" s="62" t="s">
        <v>443</v>
      </c>
      <c r="B64" s="62"/>
    </row>
    <row r="65" ht="13.8" spans="1:2">
      <c r="A65" s="63" t="s">
        <v>156</v>
      </c>
      <c r="B65" s="64"/>
    </row>
    <row r="66" ht="13.8" spans="1:5">
      <c r="A66" s="65" t="s">
        <v>1</v>
      </c>
      <c r="B66" s="65" t="s">
        <v>157</v>
      </c>
      <c r="C66" s="65" t="s">
        <v>158</v>
      </c>
      <c r="D66" s="65" t="s">
        <v>7</v>
      </c>
      <c r="E66" s="65" t="s">
        <v>159</v>
      </c>
    </row>
    <row r="67" spans="1:5">
      <c r="A67" s="66" t="s">
        <v>1374</v>
      </c>
      <c r="B67" s="43" t="s">
        <v>156</v>
      </c>
      <c r="C67" s="43" t="s">
        <v>164</v>
      </c>
      <c r="D67" s="43" t="s">
        <v>1455</v>
      </c>
      <c r="E67" s="67" t="s">
        <v>1456</v>
      </c>
    </row>
    <row r="68" spans="1:5">
      <c r="A68" s="66" t="s">
        <v>1372</v>
      </c>
      <c r="B68" s="43" t="s">
        <v>156</v>
      </c>
      <c r="C68" s="43" t="s">
        <v>456</v>
      </c>
      <c r="D68" s="43" t="s">
        <v>1457</v>
      </c>
      <c r="E68" s="67" t="s">
        <v>1458</v>
      </c>
    </row>
    <row r="71" ht="15.6" spans="1:2">
      <c r="A71" s="62" t="s">
        <v>155</v>
      </c>
      <c r="B71" s="62"/>
    </row>
    <row r="72" ht="13.8" spans="1:2">
      <c r="A72" s="63" t="s">
        <v>444</v>
      </c>
      <c r="B72" s="64"/>
    </row>
    <row r="73" ht="13.8" spans="1:5">
      <c r="A73" s="65" t="s">
        <v>1</v>
      </c>
      <c r="B73" s="65" t="s">
        <v>157</v>
      </c>
      <c r="C73" s="65" t="s">
        <v>158</v>
      </c>
      <c r="D73" s="65" t="s">
        <v>7</v>
      </c>
      <c r="E73" s="65" t="s">
        <v>159</v>
      </c>
    </row>
    <row r="74" spans="1:5">
      <c r="A74" s="66" t="s">
        <v>1382</v>
      </c>
      <c r="B74" s="43" t="s">
        <v>445</v>
      </c>
      <c r="C74" s="43" t="s">
        <v>456</v>
      </c>
      <c r="D74" s="43" t="s">
        <v>1459</v>
      </c>
      <c r="E74" s="67" t="s">
        <v>1460</v>
      </c>
    </row>
    <row r="75" spans="1:5">
      <c r="A75" s="66" t="s">
        <v>348</v>
      </c>
      <c r="B75" s="43" t="s">
        <v>445</v>
      </c>
      <c r="C75" s="43" t="s">
        <v>163</v>
      </c>
      <c r="D75" s="43" t="s">
        <v>1461</v>
      </c>
      <c r="E75" s="67" t="s">
        <v>1462</v>
      </c>
    </row>
    <row r="76" spans="1:5">
      <c r="A76" s="66" t="s">
        <v>1378</v>
      </c>
      <c r="B76" s="43" t="s">
        <v>445</v>
      </c>
      <c r="C76" s="43" t="s">
        <v>446</v>
      </c>
      <c r="D76" s="43" t="s">
        <v>394</v>
      </c>
      <c r="E76" s="67" t="s">
        <v>1463</v>
      </c>
    </row>
    <row r="78" ht="13.8" spans="1:2">
      <c r="A78" s="63" t="s">
        <v>448</v>
      </c>
      <c r="B78" s="64"/>
    </row>
    <row r="79" ht="13.8" spans="1:5">
      <c r="A79" s="65" t="s">
        <v>1</v>
      </c>
      <c r="B79" s="65" t="s">
        <v>157</v>
      </c>
      <c r="C79" s="65" t="s">
        <v>158</v>
      </c>
      <c r="D79" s="65" t="s">
        <v>7</v>
      </c>
      <c r="E79" s="65" t="s">
        <v>159</v>
      </c>
    </row>
    <row r="80" spans="1:5">
      <c r="A80" s="66" t="s">
        <v>1162</v>
      </c>
      <c r="B80" s="43" t="s">
        <v>450</v>
      </c>
      <c r="C80" s="43" t="s">
        <v>537</v>
      </c>
      <c r="D80" s="43" t="s">
        <v>1464</v>
      </c>
      <c r="E80" s="67" t="s">
        <v>1465</v>
      </c>
    </row>
    <row r="81" spans="1:5">
      <c r="A81" s="66" t="s">
        <v>1423</v>
      </c>
      <c r="B81" s="43" t="s">
        <v>450</v>
      </c>
      <c r="C81" s="43" t="s">
        <v>167</v>
      </c>
      <c r="D81" s="68" t="s">
        <v>1426</v>
      </c>
      <c r="E81" s="69" t="s">
        <v>1427</v>
      </c>
    </row>
    <row r="83" ht="13.8" spans="1:2">
      <c r="A83" s="63" t="s">
        <v>156</v>
      </c>
      <c r="B83" s="64"/>
    </row>
    <row r="84" ht="13.8" spans="1:5">
      <c r="A84" s="65" t="s">
        <v>1</v>
      </c>
      <c r="B84" s="65" t="s">
        <v>157</v>
      </c>
      <c r="C84" s="65" t="s">
        <v>158</v>
      </c>
      <c r="D84" s="65" t="s">
        <v>7</v>
      </c>
      <c r="E84" s="65" t="s">
        <v>159</v>
      </c>
    </row>
    <row r="85" spans="1:5">
      <c r="A85" s="66" t="s">
        <v>1412</v>
      </c>
      <c r="B85" s="43" t="s">
        <v>156</v>
      </c>
      <c r="C85" s="43" t="s">
        <v>163</v>
      </c>
      <c r="D85" s="43" t="s">
        <v>1466</v>
      </c>
      <c r="E85" s="67" t="s">
        <v>1467</v>
      </c>
    </row>
    <row r="86" spans="1:5">
      <c r="A86" s="66" t="s">
        <v>1403</v>
      </c>
      <c r="B86" s="43" t="s">
        <v>156</v>
      </c>
      <c r="C86" s="43" t="s">
        <v>172</v>
      </c>
      <c r="D86" s="43" t="s">
        <v>1468</v>
      </c>
      <c r="E86" s="67" t="s">
        <v>1469</v>
      </c>
    </row>
    <row r="87" spans="1:5">
      <c r="A87" s="66" t="s">
        <v>1428</v>
      </c>
      <c r="B87" s="43" t="s">
        <v>156</v>
      </c>
      <c r="C87" s="43" t="s">
        <v>167</v>
      </c>
      <c r="D87" s="43" t="s">
        <v>1461</v>
      </c>
      <c r="E87" s="67" t="s">
        <v>1470</v>
      </c>
    </row>
    <row r="88" spans="1:5">
      <c r="A88" s="66" t="s">
        <v>1395</v>
      </c>
      <c r="B88" s="43" t="s">
        <v>156</v>
      </c>
      <c r="C88" s="43" t="s">
        <v>170</v>
      </c>
      <c r="D88" s="43" t="s">
        <v>1471</v>
      </c>
      <c r="E88" s="67" t="s">
        <v>1472</v>
      </c>
    </row>
    <row r="89" spans="1:5">
      <c r="A89" s="66" t="s">
        <v>1399</v>
      </c>
      <c r="B89" s="43" t="s">
        <v>156</v>
      </c>
      <c r="C89" s="43" t="s">
        <v>170</v>
      </c>
      <c r="D89" s="43" t="s">
        <v>1473</v>
      </c>
      <c r="E89" s="67" t="s">
        <v>1474</v>
      </c>
    </row>
    <row r="90" spans="1:5">
      <c r="A90" s="66" t="s">
        <v>1406</v>
      </c>
      <c r="B90" s="43" t="s">
        <v>156</v>
      </c>
      <c r="C90" s="43" t="s">
        <v>172</v>
      </c>
      <c r="D90" s="43" t="s">
        <v>1367</v>
      </c>
      <c r="E90" s="67" t="s">
        <v>1475</v>
      </c>
    </row>
    <row r="91" spans="1:5">
      <c r="A91" s="66" t="s">
        <v>1439</v>
      </c>
      <c r="B91" s="43" t="s">
        <v>156</v>
      </c>
      <c r="C91" s="43" t="s">
        <v>167</v>
      </c>
      <c r="D91" s="43" t="s">
        <v>1363</v>
      </c>
      <c r="E91" s="67" t="s">
        <v>1476</v>
      </c>
    </row>
    <row r="92" spans="1:5">
      <c r="A92" s="66" t="s">
        <v>1442</v>
      </c>
      <c r="B92" s="43" t="s">
        <v>156</v>
      </c>
      <c r="C92" s="43" t="s">
        <v>167</v>
      </c>
      <c r="D92" s="43" t="s">
        <v>1477</v>
      </c>
      <c r="E92" s="67" t="s">
        <v>1478</v>
      </c>
    </row>
    <row r="93" spans="1:5">
      <c r="A93" s="66" t="s">
        <v>295</v>
      </c>
      <c r="B93" s="43" t="s">
        <v>156</v>
      </c>
      <c r="C93" s="43" t="s">
        <v>172</v>
      </c>
      <c r="D93" s="43" t="s">
        <v>1479</v>
      </c>
      <c r="E93" s="67" t="s">
        <v>1480</v>
      </c>
    </row>
    <row r="94" spans="1:5">
      <c r="A94" s="66" t="s">
        <v>1393</v>
      </c>
      <c r="B94" s="43" t="s">
        <v>156</v>
      </c>
      <c r="C94" s="43" t="s">
        <v>164</v>
      </c>
      <c r="D94" s="43" t="s">
        <v>1481</v>
      </c>
      <c r="E94" s="67" t="s">
        <v>1482</v>
      </c>
    </row>
    <row r="95" spans="1:5">
      <c r="A95" s="66" t="s">
        <v>1415</v>
      </c>
      <c r="B95" s="43" t="s">
        <v>156</v>
      </c>
      <c r="C95" s="43" t="s">
        <v>163</v>
      </c>
      <c r="D95" s="43" t="s">
        <v>1483</v>
      </c>
      <c r="E95" s="67" t="s">
        <v>1484</v>
      </c>
    </row>
    <row r="96" spans="1:5">
      <c r="A96" s="66" t="s">
        <v>1433</v>
      </c>
      <c r="B96" s="43" t="s">
        <v>156</v>
      </c>
      <c r="C96" s="43" t="s">
        <v>167</v>
      </c>
      <c r="D96" s="43" t="s">
        <v>75</v>
      </c>
      <c r="E96" s="67" t="s">
        <v>1485</v>
      </c>
    </row>
    <row r="98" ht="13.8" spans="1:2">
      <c r="A98" s="63" t="s">
        <v>178</v>
      </c>
      <c r="B98" s="64"/>
    </row>
    <row r="99" ht="13.8" spans="1:5">
      <c r="A99" s="65" t="s">
        <v>1</v>
      </c>
      <c r="B99" s="65" t="s">
        <v>157</v>
      </c>
      <c r="C99" s="65" t="s">
        <v>158</v>
      </c>
      <c r="D99" s="65" t="s">
        <v>7</v>
      </c>
      <c r="E99" s="65" t="s">
        <v>159</v>
      </c>
    </row>
    <row r="100" spans="1:5">
      <c r="A100" s="66" t="s">
        <v>1049</v>
      </c>
      <c r="B100" s="43" t="s">
        <v>181</v>
      </c>
      <c r="C100" s="43" t="s">
        <v>170</v>
      </c>
      <c r="D100" s="43" t="s">
        <v>1486</v>
      </c>
      <c r="E100" s="67" t="s">
        <v>1487</v>
      </c>
    </row>
    <row r="101" spans="1:5">
      <c r="A101" s="66" t="s">
        <v>1064</v>
      </c>
      <c r="B101" s="43" t="s">
        <v>187</v>
      </c>
      <c r="C101" s="43" t="s">
        <v>163</v>
      </c>
      <c r="D101" s="43" t="s">
        <v>1488</v>
      </c>
      <c r="E101" s="67" t="s">
        <v>1489</v>
      </c>
    </row>
    <row r="102" spans="1:5">
      <c r="A102" s="66" t="s">
        <v>1452</v>
      </c>
      <c r="B102" s="43" t="s">
        <v>187</v>
      </c>
      <c r="C102" s="43" t="s">
        <v>167</v>
      </c>
      <c r="D102" s="43" t="s">
        <v>1490</v>
      </c>
      <c r="E102" s="67" t="s">
        <v>1491</v>
      </c>
    </row>
    <row r="103" spans="1:5">
      <c r="A103" s="66" t="s">
        <v>1384</v>
      </c>
      <c r="B103" s="43" t="s">
        <v>179</v>
      </c>
      <c r="C103" s="43" t="s">
        <v>456</v>
      </c>
      <c r="D103" s="43" t="s">
        <v>1492</v>
      </c>
      <c r="E103" s="67" t="s">
        <v>1493</v>
      </c>
    </row>
    <row r="104" spans="1:5">
      <c r="A104" s="66" t="s">
        <v>1446</v>
      </c>
      <c r="B104" s="43" t="s">
        <v>460</v>
      </c>
      <c r="C104" s="43" t="s">
        <v>167</v>
      </c>
      <c r="D104" s="43" t="s">
        <v>1477</v>
      </c>
      <c r="E104" s="67" t="s">
        <v>1494</v>
      </c>
    </row>
    <row r="105" spans="1:5">
      <c r="A105" s="66" t="s">
        <v>1449</v>
      </c>
      <c r="B105" s="43" t="s">
        <v>179</v>
      </c>
      <c r="C105" s="43" t="s">
        <v>167</v>
      </c>
      <c r="D105" s="43" t="s">
        <v>1495</v>
      </c>
      <c r="E105" s="67" t="s">
        <v>1496</v>
      </c>
    </row>
    <row r="106" spans="1:5">
      <c r="A106" s="70" t="s">
        <v>1497</v>
      </c>
      <c r="B106" s="43" t="s">
        <v>1003</v>
      </c>
      <c r="C106" s="43" t="s">
        <v>163</v>
      </c>
      <c r="D106" s="71" t="s">
        <v>75</v>
      </c>
      <c r="E106" s="72" t="s">
        <v>1422</v>
      </c>
    </row>
    <row r="107" spans="1:5">
      <c r="A107" s="66" t="s">
        <v>1059</v>
      </c>
      <c r="B107" s="43" t="s">
        <v>179</v>
      </c>
      <c r="C107" s="43" t="s">
        <v>163</v>
      </c>
      <c r="D107" s="71" t="s">
        <v>1420</v>
      </c>
      <c r="E107" s="72" t="str">
        <f ca="1">"203,6873"</f>
        <v>203,6873</v>
      </c>
    </row>
  </sheetData>
  <sheetProtection selectLockedCells="1" selectUnlockedCells="1"/>
  <mergeCells count="22">
    <mergeCell ref="F3:I3"/>
    <mergeCell ref="J3:M3"/>
    <mergeCell ref="N3:Q3"/>
    <mergeCell ref="A5:S5"/>
    <mergeCell ref="A8:S8"/>
    <mergeCell ref="A11:S11"/>
    <mergeCell ref="A14:S14"/>
    <mergeCell ref="A17:S17"/>
    <mergeCell ref="A23:S23"/>
    <mergeCell ref="A27:S27"/>
    <mergeCell ref="A32:S32"/>
    <mergeCell ref="A37:S37"/>
    <mergeCell ref="A45:S45"/>
    <mergeCell ref="A3:A4"/>
    <mergeCell ref="B3:B4"/>
    <mergeCell ref="C3:C4"/>
    <mergeCell ref="D3:D4"/>
    <mergeCell ref="E3:E4"/>
    <mergeCell ref="R3:R4"/>
    <mergeCell ref="S3:S4"/>
    <mergeCell ref="T3:T4"/>
    <mergeCell ref="A1:T2"/>
  </mergeCells>
  <pageMargins left="0.75" right="0.75" top="0.979861111111111" bottom="0.979861111111111" header="0.509722222222222" footer="0.509722222222222"/>
  <pageSetup paperSize="9" fitToWidth="0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WPC multi-ply benchpress</vt:lpstr>
      <vt:lpstr>WPC raw deadlift</vt:lpstr>
      <vt:lpstr>WPC raw benchpress DISABLED</vt:lpstr>
      <vt:lpstr>WPC raw benchpress</vt:lpstr>
      <vt:lpstr>WPC single-ply deadlift</vt:lpstr>
      <vt:lpstr>WPC multy-ply deadlift</vt:lpstr>
      <vt:lpstr>WPC single-ply benchpress</vt:lpstr>
      <vt:lpstr>WPC multi-ply powerlifting</vt:lpstr>
      <vt:lpstr>WPC single-ply powerlifting</vt:lpstr>
      <vt:lpstr>WPC raw powerlifting</vt:lpstr>
      <vt:lpstr>WPC Powerlifting Classic Raw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Michael Hurley</cp:lastModifiedBy>
  <cp:revision>1</cp:revision>
  <dcterms:created xsi:type="dcterms:W3CDTF">2002-06-16T13:36:44Z</dcterms:created>
  <cp:lastPrinted>2008-02-22T21:19:54Z</cp:lastPrinted>
  <dcterms:modified xsi:type="dcterms:W3CDTF">2017-11-16T13:23:41Z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