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WPC raw deadlift" sheetId="1" r:id="rId3"/>
    <sheet state="visible" name="AWPC multi-ply benchpress" sheetId="2" r:id="rId4"/>
    <sheet state="visible" name="AWPC single-ply deadlift" sheetId="3" r:id="rId5"/>
    <sheet state="visible" name="AWPC single-ply benchpress" sheetId="4" r:id="rId6"/>
    <sheet state="visible" name="AWPC raw benchpress" sheetId="5" r:id="rId7"/>
    <sheet state="visible" name="AWPC Powerlifting Classic Raw" sheetId="6" r:id="rId8"/>
    <sheet state="visible" name="AWPC multi-ply powerlifting" sheetId="7" r:id="rId9"/>
    <sheet state="visible" name="AWPC single-ply powerlifting" sheetId="8" r:id="rId10"/>
    <sheet state="visible" name="AWPC raw powerlifting" sheetId="9" r:id="rId11"/>
  </sheets>
  <definedNames/>
  <calcPr/>
</workbook>
</file>

<file path=xl/sharedStrings.xml><?xml version="1.0" encoding="utf-8"?>
<sst xmlns="http://schemas.openxmlformats.org/spreadsheetml/2006/main" count="3477" uniqueCount="1078">
  <si>
    <t>World Champions Cup AWPC raw deadlift
Dolgoprudniy, Russia 03-05 November 2017</t>
  </si>
  <si>
    <t>World Champions Cup AWPC multi-ply benchpress
Dolgoprudniy, Russia 03-05 November 2017</t>
  </si>
  <si>
    <t>World Champions Cup AWPC single-ply deadlift
Dolgoprudniy, Russia 03-05 November 2017</t>
  </si>
  <si>
    <t>Name</t>
  </si>
  <si>
    <t xml:space="preserve">Age Categoty
Bith date/Age
</t>
  </si>
  <si>
    <t>Body
weight</t>
  </si>
  <si>
    <t>Gloss</t>
  </si>
  <si>
    <t>Team</t>
  </si>
  <si>
    <t>Deadlift</t>
  </si>
  <si>
    <t>Benchpress</t>
  </si>
  <si>
    <t>Total</t>
  </si>
  <si>
    <t>Pts</t>
  </si>
  <si>
    <t>Coach</t>
  </si>
  <si>
    <t>Rec</t>
  </si>
  <si>
    <t>Body Weight Category  44</t>
  </si>
  <si>
    <t>Body Weight Category  100</t>
  </si>
  <si>
    <t>Body Weight Category  52</t>
  </si>
  <si>
    <t>Polstyanova Tatiana</t>
  </si>
  <si>
    <t>Akentyev Valeriy</t>
  </si>
  <si>
    <t>Sheveleva Olga</t>
  </si>
  <si>
    <t>Masters 55-59 (13.03.1958)/59</t>
  </si>
  <si>
    <t>Masters 50-54 (20.04.1967)/50</t>
  </si>
  <si>
    <t>98,50</t>
  </si>
  <si>
    <t>Teen 18-19 (21.02.1998)/19</t>
  </si>
  <si>
    <t>41,60</t>
  </si>
  <si>
    <t>52,00</t>
  </si>
  <si>
    <t>Kyrgyzstan</t>
  </si>
  <si>
    <t>Russia</t>
  </si>
  <si>
    <t>225,0</t>
  </si>
  <si>
    <t>230,0</t>
  </si>
  <si>
    <t>90,0</t>
  </si>
  <si>
    <t>100,0</t>
  </si>
  <si>
    <t>110,0</t>
  </si>
  <si>
    <t>Meet director:</t>
  </si>
  <si>
    <t>Body Weight Category  90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</si>
  <si>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</si>
  <si>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</si>
  <si>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</si>
  <si>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</si>
  <si>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</si>
  <si>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</si>
  <si>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Domanskiy Alexandr</t>
  </si>
  <si>
    <t>Man</t>
  </si>
  <si>
    <t>Body Weight Category  48</t>
  </si>
  <si>
    <t>Golovunina Irina</t>
  </si>
  <si>
    <t>Masters</t>
  </si>
  <si>
    <t>Open (21.11.1985)/32</t>
  </si>
  <si>
    <t>88,20</t>
  </si>
  <si>
    <t>Open (01.09.1981)/36</t>
  </si>
  <si>
    <t>47,90</t>
  </si>
  <si>
    <t>135,0</t>
  </si>
  <si>
    <t>140,0</t>
  </si>
  <si>
    <t>180,0</t>
  </si>
  <si>
    <t>142,5</t>
  </si>
  <si>
    <t>200,0</t>
  </si>
  <si>
    <t>220,0</t>
  </si>
  <si>
    <t>Age class</t>
  </si>
  <si>
    <t>WC</t>
  </si>
  <si>
    <t>Coef.</t>
  </si>
  <si>
    <t>Masters 55-59</t>
  </si>
  <si>
    <t>Kutuzova Marina</t>
  </si>
  <si>
    <t>100</t>
  </si>
  <si>
    <t>176,9484</t>
  </si>
  <si>
    <t>Open (06.01.1989)/28</t>
  </si>
  <si>
    <t>47,30</t>
  </si>
  <si>
    <t>125,0</t>
  </si>
  <si>
    <t>Dorodnikh Vladimir</t>
  </si>
  <si>
    <t>Masters 60-64 (28.03.1954)/63</t>
  </si>
  <si>
    <t>86,50</t>
  </si>
  <si>
    <t>150,0</t>
  </si>
  <si>
    <t>160,0</t>
  </si>
  <si>
    <t>172,5</t>
  </si>
  <si>
    <t>130,0</t>
  </si>
  <si>
    <t>Nefedov Evgeniy</t>
  </si>
  <si>
    <t>Masters 40-44 (11.12.1973)/44</t>
  </si>
  <si>
    <t>98,60</t>
  </si>
  <si>
    <t>240,0</t>
  </si>
  <si>
    <t>Gaidina Ekaterina</t>
  </si>
  <si>
    <t>255,0</t>
  </si>
  <si>
    <t>Open (17.04.1986)/31</t>
  </si>
  <si>
    <t>265,0</t>
  </si>
  <si>
    <t>51,40</t>
  </si>
  <si>
    <t>270,0</t>
  </si>
  <si>
    <t>120,0</t>
  </si>
  <si>
    <t>Maligin Yury</t>
  </si>
  <si>
    <t>Masters 50-54 (30.06.1967)/50</t>
  </si>
  <si>
    <t>98,90</t>
  </si>
  <si>
    <t>Ukraine</t>
  </si>
  <si>
    <t>Body Weight Category  56</t>
  </si>
  <si>
    <t>170,0</t>
  </si>
  <si>
    <t>Abdyusheva Ilmira</t>
  </si>
  <si>
    <t>Juniors 20-23 (16.07.1994)/23</t>
  </si>
  <si>
    <t>55,20</t>
  </si>
  <si>
    <t>105,0</t>
  </si>
  <si>
    <t>Levenkova Nataliya</t>
  </si>
  <si>
    <t>Open (16.09.1988)/29</t>
  </si>
  <si>
    <t>52,30</t>
  </si>
  <si>
    <t>Women</t>
  </si>
  <si>
    <t>145,0</t>
  </si>
  <si>
    <t>Teenagers</t>
  </si>
  <si>
    <t>Teen 18-19</t>
  </si>
  <si>
    <t>52</t>
  </si>
  <si>
    <t>110,7600</t>
  </si>
  <si>
    <t>Open</t>
  </si>
  <si>
    <t>Zhdanova Anastasiya</t>
  </si>
  <si>
    <t>Open (11.12.1980)/37</t>
  </si>
  <si>
    <t>55,70</t>
  </si>
  <si>
    <t>117,5</t>
  </si>
  <si>
    <t>90</t>
  </si>
  <si>
    <t>136,1470</t>
  </si>
  <si>
    <t>Sidorkina Natalia</t>
  </si>
  <si>
    <t>Open (13.04.1987)/30</t>
  </si>
  <si>
    <t>54,60</t>
  </si>
  <si>
    <t>115,0</t>
  </si>
  <si>
    <t>122,5</t>
  </si>
  <si>
    <t>Masters 40-44</t>
  </si>
  <si>
    <t>159,7761</t>
  </si>
  <si>
    <t>Levina Diana</t>
  </si>
  <si>
    <t>Open (18.04.1981)/36</t>
  </si>
  <si>
    <t>55,40</t>
  </si>
  <si>
    <t>Masters 60-64</t>
  </si>
  <si>
    <t>153,4344</t>
  </si>
  <si>
    <t>Masters 50-54</t>
  </si>
  <si>
    <t>105,5962</t>
  </si>
  <si>
    <t>Body Weight Category  60</t>
  </si>
  <si>
    <t>Yasinskaya Evgeniya</t>
  </si>
  <si>
    <t>Open (04.01.1988)/29</t>
  </si>
  <si>
    <t>59,50</t>
  </si>
  <si>
    <t>104,3962</t>
  </si>
  <si>
    <t>Porshneva Yuliya</t>
  </si>
  <si>
    <t>Open (17.09.1985)/32</t>
  </si>
  <si>
    <t>58,90</t>
  </si>
  <si>
    <t>127,5</t>
  </si>
  <si>
    <t>Body Weight Category  67.5</t>
  </si>
  <si>
    <t>Saburova Svetlana</t>
  </si>
  <si>
    <t>Open (20.02.1972)/45</t>
  </si>
  <si>
    <t>66,30</t>
  </si>
  <si>
    <t>147,5</t>
  </si>
  <si>
    <t>157,5</t>
  </si>
  <si>
    <t>Pereplesnina Oksana</t>
  </si>
  <si>
    <t>Masters 40-44 (18.08.1974)/43</t>
  </si>
  <si>
    <t>63,20</t>
  </si>
  <si>
    <t>Makarova Yuliya</t>
  </si>
  <si>
    <t>Masters 45-49 (30.06.1969)/48</t>
  </si>
  <si>
    <t>66,40</t>
  </si>
  <si>
    <t>152,5</t>
  </si>
  <si>
    <t>Masters 45-49 (20.02.1972)/45</t>
  </si>
  <si>
    <t>Body Weight Category  75</t>
  </si>
  <si>
    <t>Kornienkova Marina</t>
  </si>
  <si>
    <t>Juniors 20-23 (16.12.1996)/21</t>
  </si>
  <si>
    <t>68,00</t>
  </si>
  <si>
    <t>Snetkova Oksana</t>
  </si>
  <si>
    <t>Open (28.05.1979)/38</t>
  </si>
  <si>
    <t>73,30</t>
  </si>
  <si>
    <t>Shaydullina Nataliya</t>
  </si>
  <si>
    <t>Open (05.12.1984)/33</t>
  </si>
  <si>
    <t>83,40</t>
  </si>
  <si>
    <t>Zolotuev Petr</t>
  </si>
  <si>
    <t>Open (01.08.1992)/25</t>
  </si>
  <si>
    <t>40,00</t>
  </si>
  <si>
    <t>Grigoriev Arian</t>
  </si>
  <si>
    <t>Juniors 20-23 (10.08.1995)/22</t>
  </si>
  <si>
    <t>64,90</t>
  </si>
  <si>
    <t>190,0</t>
  </si>
  <si>
    <t>Pavlov Egor</t>
  </si>
  <si>
    <t>Open (21.10.1984)/33</t>
  </si>
  <si>
    <t>66,70</t>
  </si>
  <si>
    <t>165,0</t>
  </si>
  <si>
    <t>0,0</t>
  </si>
  <si>
    <t>165</t>
  </si>
  <si>
    <t>124,7565</t>
  </si>
  <si>
    <t>Moiseenkov Pavel</t>
  </si>
  <si>
    <t>Juniors 20-23 (16.09.1994)/23</t>
  </si>
  <si>
    <t>73,40</t>
  </si>
  <si>
    <t>232,5</t>
  </si>
  <si>
    <t>Mikhailov Vladimir</t>
  </si>
  <si>
    <t>Juniors 20-23 (13.12.1994)/23</t>
  </si>
  <si>
    <t>74,90</t>
  </si>
  <si>
    <t>202,5</t>
  </si>
  <si>
    <t>210,0</t>
  </si>
  <si>
    <t>215,0</t>
  </si>
  <si>
    <t>139,5630</t>
  </si>
  <si>
    <t>Buyanov Mikhail</t>
  </si>
  <si>
    <t>Masters 40-44 (18.11.1974)/43</t>
  </si>
  <si>
    <t>74,50</t>
  </si>
  <si>
    <t>212,5</t>
  </si>
  <si>
    <t>Shalunov Aleksey</t>
  </si>
  <si>
    <t>Masters 45-49 (24.07.1969)/48</t>
  </si>
  <si>
    <t>73,90</t>
  </si>
  <si>
    <t>185,0</t>
  </si>
  <si>
    <t>Afanyagin S. A.</t>
  </si>
  <si>
    <t>Kopyrin Ivan</t>
  </si>
  <si>
    <t>Masters 50-54 (25.10.1967)/50</t>
  </si>
  <si>
    <t>73,60</t>
  </si>
  <si>
    <t>Schemelev Vladimir</t>
  </si>
  <si>
    <t>Masters 55-59 (02.04.1961)/56</t>
  </si>
  <si>
    <t>74,00</t>
  </si>
  <si>
    <t>177,5</t>
  </si>
  <si>
    <t>Dolmatov Boris</t>
  </si>
  <si>
    <t>Masters 70-74 (04.08.1945)/72</t>
  </si>
  <si>
    <t>68,60</t>
  </si>
  <si>
    <t>162,5</t>
  </si>
  <si>
    <t>Naumov Petr</t>
  </si>
  <si>
    <t>Masters 70-74 (19.06.1946)/71</t>
  </si>
  <si>
    <t>71,10</t>
  </si>
  <si>
    <t>Body Weight Category  82.5</t>
  </si>
  <si>
    <t>Karpachev Vadim</t>
  </si>
  <si>
    <t>Teen 13-15 (10.12.2001)/16</t>
  </si>
  <si>
    <t>80,20</t>
  </si>
  <si>
    <t>185,5</t>
  </si>
  <si>
    <t>186,0</t>
  </si>
  <si>
    <t>Yakubov Emil</t>
  </si>
  <si>
    <t>Teen 16-17 (02.03.2001)/16</t>
  </si>
  <si>
    <t>81,70</t>
  </si>
  <si>
    <t>Kirin Mikhail</t>
  </si>
  <si>
    <t>Teen 18-19 (10.12.1998)/19</t>
  </si>
  <si>
    <t>78,30</t>
  </si>
  <si>
    <t>175,0</t>
  </si>
  <si>
    <t>195,0</t>
  </si>
  <si>
    <t>Konchakov Timofey</t>
  </si>
  <si>
    <t>Juniors 20-23 (14.09.1995)/22</t>
  </si>
  <si>
    <t>78,40</t>
  </si>
  <si>
    <t>205,0</t>
  </si>
  <si>
    <t>207,5</t>
  </si>
  <si>
    <t>Forrest Steven</t>
  </si>
  <si>
    <t>Juniors 20-23 (14.11.1993)/24</t>
  </si>
  <si>
    <t>United Kingdom</t>
  </si>
  <si>
    <t>250,0</t>
  </si>
  <si>
    <t>260,0</t>
  </si>
  <si>
    <t>Donovskiy Pavel</t>
  </si>
  <si>
    <t>Open (23.08.1980)/37</t>
  </si>
  <si>
    <t>235,0</t>
  </si>
  <si>
    <t>87,70</t>
  </si>
  <si>
    <t>Gorbunov Sergey</t>
  </si>
  <si>
    <t>Open (13.11.1991)/26</t>
  </si>
  <si>
    <t>87,40</t>
  </si>
  <si>
    <t>245,0</t>
  </si>
  <si>
    <t>240</t>
  </si>
  <si>
    <t>149,328</t>
  </si>
  <si>
    <t>Leonenko Vasiliy</t>
  </si>
  <si>
    <t>Masters 50-54 (06.04.1967)/50</t>
  </si>
  <si>
    <t>88,80</t>
  </si>
  <si>
    <t>Krym</t>
  </si>
  <si>
    <t>Smyshlyaev Kirill</t>
  </si>
  <si>
    <t>Juniors 20-23 (27.06.1996)/21</t>
  </si>
  <si>
    <t>95,70</t>
  </si>
  <si>
    <t>Baghdagyulyan Vachagan</t>
  </si>
  <si>
    <t>Open (23.02.1988)/29</t>
  </si>
  <si>
    <t>98,80</t>
  </si>
  <si>
    <t>Armenia</t>
  </si>
  <si>
    <t>267,5</t>
  </si>
  <si>
    <t>Volkov Artem</t>
  </si>
  <si>
    <t>Open (02.09.1992)/25</t>
  </si>
  <si>
    <t>92,50</t>
  </si>
  <si>
    <t>Gladchenko Vladlen</t>
  </si>
  <si>
    <t>Masters 45-49 (23.10.1970)/47</t>
  </si>
  <si>
    <t>Sadenov Saidulla</t>
  </si>
  <si>
    <t>Masters 55-59 (28.06.1959)/58</t>
  </si>
  <si>
    <t>97,80</t>
  </si>
  <si>
    <t>Kazakhstan</t>
  </si>
  <si>
    <t>237,5</t>
  </si>
  <si>
    <t>240,5</t>
  </si>
  <si>
    <t>241,0</t>
  </si>
  <si>
    <t>Battakhov Petr</t>
  </si>
  <si>
    <t>Masters 65-69 (21.04.1952)/65</t>
  </si>
  <si>
    <t>96,10</t>
  </si>
  <si>
    <t>Body Weight Category  110</t>
  </si>
  <si>
    <t>Didenko Kirill</t>
  </si>
  <si>
    <t>Open (14.09.1993)/24</t>
  </si>
  <si>
    <t>106,80</t>
  </si>
  <si>
    <t>Smirnov Aleksandr</t>
  </si>
  <si>
    <t>Masters 40-44 (21.04.1974)/43</t>
  </si>
  <si>
    <t>109,60</t>
  </si>
  <si>
    <t>Smyshlyaev Viktor</t>
  </si>
  <si>
    <t>Masters 55-59 (20.05.1962)/55</t>
  </si>
  <si>
    <t>101,60</t>
  </si>
  <si>
    <t>Body Weight Category  125</t>
  </si>
  <si>
    <t>Troshin Andrey</t>
  </si>
  <si>
    <t>Open (08.06.1984)/33</t>
  </si>
  <si>
    <t>120,70</t>
  </si>
  <si>
    <t>215</t>
  </si>
  <si>
    <t>118,293</t>
  </si>
  <si>
    <t>Junior</t>
  </si>
  <si>
    <t>Juniors 20-23</t>
  </si>
  <si>
    <t>56</t>
  </si>
  <si>
    <t>110,8905</t>
  </si>
  <si>
    <t>75</t>
  </si>
  <si>
    <t>107,3400</t>
  </si>
  <si>
    <t>48</t>
  </si>
  <si>
    <t>168,2782</t>
  </si>
  <si>
    <t>160,9470</t>
  </si>
  <si>
    <t>154,3500</t>
  </si>
  <si>
    <t>136,2920</t>
  </si>
  <si>
    <t>67.5</t>
  </si>
  <si>
    <t>134,5716</t>
  </si>
  <si>
    <t>134,1360</t>
  </si>
  <si>
    <t>130,4992</t>
  </si>
  <si>
    <t>121,0950</t>
  </si>
  <si>
    <t>114,6285</t>
  </si>
  <si>
    <t>109,3890</t>
  </si>
  <si>
    <t>Masters 45-49</t>
  </si>
  <si>
    <t>152,4537</t>
  </si>
  <si>
    <t>44</t>
  </si>
  <si>
    <t>147,8831</t>
  </si>
  <si>
    <t>141,9731</t>
  </si>
  <si>
    <t>122,1026</t>
  </si>
  <si>
    <t>82.5</t>
  </si>
  <si>
    <t>123,5060</t>
  </si>
  <si>
    <t>Teen 13-15</t>
  </si>
  <si>
    <t>121,4895</t>
  </si>
  <si>
    <t>167,9400</t>
  </si>
  <si>
    <t>156,4875</t>
  </si>
  <si>
    <t>147,1170</t>
  </si>
  <si>
    <t>138,4025</t>
  </si>
  <si>
    <t>106,7130</t>
  </si>
  <si>
    <t>157,8067</t>
  </si>
  <si>
    <t>151,9180</t>
  </si>
  <si>
    <t>110</t>
  </si>
  <si>
    <t>141,8625</t>
  </si>
  <si>
    <t>139,7025</t>
  </si>
  <si>
    <t>122,0974</t>
  </si>
  <si>
    <t>Masters 70-74</t>
  </si>
  <si>
    <t>206,1289</t>
  </si>
  <si>
    <t>192,9116</t>
  </si>
  <si>
    <t>181,8606</t>
  </si>
  <si>
    <t>Masters 65-69</t>
  </si>
  <si>
    <t>175,1284</t>
  </si>
  <si>
    <t>160,5151</t>
  </si>
  <si>
    <t>160,3082</t>
  </si>
  <si>
    <t>142,8006</t>
  </si>
  <si>
    <t>142,0342</t>
  </si>
  <si>
    <t>141,5120</t>
  </si>
  <si>
    <t>141,2802</t>
  </si>
  <si>
    <t>136,1002</t>
  </si>
  <si>
    <t>World Champions Cup AWPC single-ply benchpress
Dolgoprudniy, Russia 03-05 November 2017</t>
  </si>
  <si>
    <t>Demyanenko Kirill</t>
  </si>
  <si>
    <t>Teen 13-15 (09.02.2002)/15</t>
  </si>
  <si>
    <t>61,60</t>
  </si>
  <si>
    <t>80,0</t>
  </si>
  <si>
    <t>95,0</t>
  </si>
  <si>
    <t>Takutdinov Eldar</t>
  </si>
  <si>
    <t>Teen 18-19 (17.02.1999)/18</t>
  </si>
  <si>
    <t>68,70</t>
  </si>
  <si>
    <t>102,5</t>
  </si>
  <si>
    <t>66,375</t>
  </si>
  <si>
    <t>Kolistratov Dmitriy</t>
  </si>
  <si>
    <t>Masters 40-44 (08.03.1977)/40</t>
  </si>
  <si>
    <t>74,30</t>
  </si>
  <si>
    <t>Nikitin Dmitriy</t>
  </si>
  <si>
    <t>Open (05.09.1988)/29</t>
  </si>
  <si>
    <t>78,50</t>
  </si>
  <si>
    <t>132,5</t>
  </si>
  <si>
    <t>95,50</t>
  </si>
  <si>
    <t>Popov Ivan</t>
  </si>
  <si>
    <t>Open (07.06.1984)/33</t>
  </si>
  <si>
    <t>92,15</t>
  </si>
  <si>
    <t>247,5</t>
  </si>
  <si>
    <t>Cheremysin Artur</t>
  </si>
  <si>
    <t>Open (29.11.1989)/28</t>
  </si>
  <si>
    <t>99,10</t>
  </si>
  <si>
    <t>Huseinov Natig</t>
  </si>
  <si>
    <t>Open (16.01.1979)/38</t>
  </si>
  <si>
    <t>98,70</t>
  </si>
  <si>
    <t>Azerbaidzhan</t>
  </si>
  <si>
    <t>Shadrin Vyacheslav</t>
  </si>
  <si>
    <t>Masters 45-49 (21.02.1968)/49</t>
  </si>
  <si>
    <t>122,70</t>
  </si>
  <si>
    <t>Body Weight Category  140+</t>
  </si>
  <si>
    <t>Bergert Lev</t>
  </si>
  <si>
    <t>Masters 50-54 (13.06.1966)/51</t>
  </si>
  <si>
    <t>148,30</t>
  </si>
  <si>
    <t>280,0</t>
  </si>
  <si>
    <t>290,0</t>
  </si>
  <si>
    <t>64,9760</t>
  </si>
  <si>
    <t>74,1813</t>
  </si>
  <si>
    <t>154,0582</t>
  </si>
  <si>
    <t>144,4286</t>
  </si>
  <si>
    <t>83,3000</t>
  </si>
  <si>
    <t>81,8370</t>
  </si>
  <si>
    <t>140+</t>
  </si>
  <si>
    <t>168,4404</t>
  </si>
  <si>
    <t>125</t>
  </si>
  <si>
    <t>131,1576</t>
  </si>
  <si>
    <t>109,2026</t>
  </si>
  <si>
    <t>World Champions Cup AWPC raw benchpress
Dolgoprudniy, Russia 03-05 November 2017</t>
  </si>
  <si>
    <t>Mansurova Sabina</t>
  </si>
  <si>
    <t>Teen 13-15 (03.09.2005)/12</t>
  </si>
  <si>
    <t>27,5</t>
  </si>
  <si>
    <t>30,0</t>
  </si>
  <si>
    <t>32,5</t>
  </si>
  <si>
    <t>Dobriyan Viktoriya</t>
  </si>
  <si>
    <t>Juniors 20-23 (08.05.1995)/22</t>
  </si>
  <si>
    <t>42,30</t>
  </si>
  <si>
    <t>35,0</t>
  </si>
  <si>
    <t>37,5</t>
  </si>
  <si>
    <t>35</t>
  </si>
  <si>
    <t>45,2760</t>
  </si>
  <si>
    <t>Puhach Alena</t>
  </si>
  <si>
    <t>Masters 40-44 (19.07.1975)/42</t>
  </si>
  <si>
    <t>47,00</t>
  </si>
  <si>
    <t>Belarus</t>
  </si>
  <si>
    <t>52,5</t>
  </si>
  <si>
    <t>55,0</t>
  </si>
  <si>
    <t>64,1529</t>
  </si>
  <si>
    <t>Ushakova Valeriya</t>
  </si>
  <si>
    <t>Teen 13-15 (20.02.2004)/13</t>
  </si>
  <si>
    <t>51,60</t>
  </si>
  <si>
    <t>30</t>
  </si>
  <si>
    <t>33,4320</t>
  </si>
  <si>
    <t>Kozlova Ekaterina</t>
  </si>
  <si>
    <t>Open (10.03.1988)/29</t>
  </si>
  <si>
    <t>51,80</t>
  </si>
  <si>
    <t>65,0</t>
  </si>
  <si>
    <t>70,0</t>
  </si>
  <si>
    <t>72,5</t>
  </si>
  <si>
    <t>Evdokimova Elena</t>
  </si>
  <si>
    <t>Masters 45-49 (06.05.1970)/47</t>
  </si>
  <si>
    <t>50,60</t>
  </si>
  <si>
    <t>42,5</t>
  </si>
  <si>
    <t>45,0</t>
  </si>
  <si>
    <t>47,5</t>
  </si>
  <si>
    <t>Makhamatullina Yuliya</t>
  </si>
  <si>
    <t>Open (29.06.1989)/28</t>
  </si>
  <si>
    <t>55,90</t>
  </si>
  <si>
    <t>50,0</t>
  </si>
  <si>
    <t>Gadzhieva Aida</t>
  </si>
  <si>
    <t>Open (26.09.1991)/26</t>
  </si>
  <si>
    <t>Potapova Natalia</t>
  </si>
  <si>
    <t>Open (23.01.1972)/45</t>
  </si>
  <si>
    <t>59,10</t>
  </si>
  <si>
    <t>62,5</t>
  </si>
  <si>
    <t>67,5</t>
  </si>
  <si>
    <t>Kuznetsova Anna</t>
  </si>
  <si>
    <t>Open (21.10.1987)/30</t>
  </si>
  <si>
    <t>59,70</t>
  </si>
  <si>
    <t>60,0</t>
  </si>
  <si>
    <t>Masters 45-49 (23.01.1972)/45</t>
  </si>
  <si>
    <t>Luchnikova Elena</t>
  </si>
  <si>
    <t>Open (22.09.1990)/27</t>
  </si>
  <si>
    <t>61,10</t>
  </si>
  <si>
    <t>Kuzmina Polina</t>
  </si>
  <si>
    <t>Masters 40-44 (04.11.1976)/41</t>
  </si>
  <si>
    <t>67,50</t>
  </si>
  <si>
    <t>77,5</t>
  </si>
  <si>
    <t>82,5</t>
  </si>
  <si>
    <t>85,0</t>
  </si>
  <si>
    <t>70,4436</t>
  </si>
  <si>
    <t>Nefedova Elena</t>
  </si>
  <si>
    <t>Masters 45-49 (04.05.1972)/45</t>
  </si>
  <si>
    <t>75,0</t>
  </si>
  <si>
    <t>Bogdanov Gleb</t>
  </si>
  <si>
    <t>Teen 13-15 (29.05.2005)/12</t>
  </si>
  <si>
    <t>50,10</t>
  </si>
  <si>
    <t>Estonia</t>
  </si>
  <si>
    <t>Kolisnichenko Aleksey</t>
  </si>
  <si>
    <t>Juniors 20-23 (14.07.1994)/23</t>
  </si>
  <si>
    <t>47,70</t>
  </si>
  <si>
    <t>97,5</t>
  </si>
  <si>
    <t>Anisimova Ludmila</t>
  </si>
  <si>
    <t>Masters 50-54 (06.09.1965)/52</t>
  </si>
  <si>
    <t>49,80</t>
  </si>
  <si>
    <t>World Champions Cup AWPC Powerlifting Classic Raw
Dolgoprudniy, Russia 03-05 November 2017</t>
  </si>
  <si>
    <t>Murzin Yuriy</t>
  </si>
  <si>
    <t>Teen 16-17 (15.06.2000)/17</t>
  </si>
  <si>
    <t>60,00</t>
  </si>
  <si>
    <t>Fokin Nikolay</t>
  </si>
  <si>
    <t>Teen 18-19 (26.06.1998)/19</t>
  </si>
  <si>
    <t>80</t>
  </si>
  <si>
    <t>67,624</t>
  </si>
  <si>
    <t>Kofanov Andriy</t>
  </si>
  <si>
    <t>Open (27.11.1985)/32</t>
  </si>
  <si>
    <t>Squat</t>
  </si>
  <si>
    <t>Salosalov Sergey</t>
  </si>
  <si>
    <t>Teen 13-15 (11.09.2004)/13</t>
  </si>
  <si>
    <t>67,30</t>
  </si>
  <si>
    <t>Yastrebov Aleksandr</t>
  </si>
  <si>
    <t>Teen 13-15 (21.12.2002)/15</t>
  </si>
  <si>
    <t>64,70</t>
  </si>
  <si>
    <t>Valiakhmetov Ildar</t>
  </si>
  <si>
    <t>Teen 16-17 (25.10.2001)/16</t>
  </si>
  <si>
    <t>60,60</t>
  </si>
  <si>
    <t>Mkhitaryan Vagram</t>
  </si>
  <si>
    <t>Open (31.03.1992)/25</t>
  </si>
  <si>
    <t>65,50</t>
  </si>
  <si>
    <t>107,5</t>
  </si>
  <si>
    <t>Shah Bhavna</t>
  </si>
  <si>
    <t>Open (16.04.1976)/41</t>
  </si>
  <si>
    <t>40,60</t>
  </si>
  <si>
    <t>Khan Vladimir</t>
  </si>
  <si>
    <t>Masters 55-59 (18.04.1962)/55</t>
  </si>
  <si>
    <t>66,80</t>
  </si>
  <si>
    <t>India</t>
  </si>
  <si>
    <t>25,0</t>
  </si>
  <si>
    <t>Masters 40-44 (16.04.1976)/41</t>
  </si>
  <si>
    <t>Verzhanovskiy Artem</t>
  </si>
  <si>
    <t>Teen 13-15 (24.10.2002)/15</t>
  </si>
  <si>
    <t>Moldovanov Ivan</t>
  </si>
  <si>
    <t>Teen 13-15 (13.03.2002)/15</t>
  </si>
  <si>
    <t>41,00</t>
  </si>
  <si>
    <t>Chekmazov Danila</t>
  </si>
  <si>
    <t>40,0</t>
  </si>
  <si>
    <t>Teen 16-17 (11.06.2001)/16</t>
  </si>
  <si>
    <t>Rapoport Mikhail</t>
  </si>
  <si>
    <t>Teen 18-19 (07.04.1999)/18</t>
  </si>
  <si>
    <t>McKernan Karen</t>
  </si>
  <si>
    <t>74,60</t>
  </si>
  <si>
    <t>Masters 40-44 (07.08.1977)/40</t>
  </si>
  <si>
    <t>Latvia</t>
  </si>
  <si>
    <t>Ireland</t>
  </si>
  <si>
    <t>Los Ivan</t>
  </si>
  <si>
    <t>Juniors 20-23 (03.12.1996)/21</t>
  </si>
  <si>
    <t>Smith Naomi</t>
  </si>
  <si>
    <t>Juniors 20-23 (18.11.1993)/24</t>
  </si>
  <si>
    <t>81,00</t>
  </si>
  <si>
    <t>Bukalov Roman</t>
  </si>
  <si>
    <t>Juniors 20-23 (07.05.1994)/23</t>
  </si>
  <si>
    <t>73,10</t>
  </si>
  <si>
    <t>155,0</t>
  </si>
  <si>
    <t>73,6995</t>
  </si>
  <si>
    <t>Kopichnikov Valeriy</t>
  </si>
  <si>
    <t>Open (04.02.1989)/28</t>
  </si>
  <si>
    <t>81,8035</t>
  </si>
  <si>
    <t>Kungurtsev Pavel</t>
  </si>
  <si>
    <t>Masters 40-44 (01.10.1976)/41</t>
  </si>
  <si>
    <t>73,70</t>
  </si>
  <si>
    <t>Afonin Maksim</t>
  </si>
  <si>
    <t>Masters 40-44 (22.07.1975)/42</t>
  </si>
  <si>
    <t>93,55325</t>
  </si>
  <si>
    <t>Nagy Akos</t>
  </si>
  <si>
    <t>Open (29.07.1993)/24</t>
  </si>
  <si>
    <t>80,70</t>
  </si>
  <si>
    <t>Hungary</t>
  </si>
  <si>
    <t>167,5</t>
  </si>
  <si>
    <t>Kozlov Igor</t>
  </si>
  <si>
    <t>Lykhin Gennadiy</t>
  </si>
  <si>
    <t>Open (24.08.1990)/27</t>
  </si>
  <si>
    <t>81,80</t>
  </si>
  <si>
    <t>Masters 60-64 (08.10.1954)/63</t>
  </si>
  <si>
    <t>137,5</t>
  </si>
  <si>
    <t>Vorobyov Sergey</t>
  </si>
  <si>
    <t>Open (26.04.1980)/37</t>
  </si>
  <si>
    <t>105,5</t>
  </si>
  <si>
    <t>81,30</t>
  </si>
  <si>
    <t>90,5</t>
  </si>
  <si>
    <t>115,5</t>
  </si>
  <si>
    <t>Kharkov Vladislav</t>
  </si>
  <si>
    <t>Masters 40-44 (15.03.1975)/42</t>
  </si>
  <si>
    <t>82,10</t>
  </si>
  <si>
    <t>Borisov Igor</t>
  </si>
  <si>
    <t>Masters 40-44 (13.01.1974)/43</t>
  </si>
  <si>
    <t>79,30</t>
  </si>
  <si>
    <t>Yashin Viktor</t>
  </si>
  <si>
    <t>Open (29.10.1989)/28</t>
  </si>
  <si>
    <t>82,00</t>
  </si>
  <si>
    <t>187,5</t>
  </si>
  <si>
    <t>Potapov Eduard</t>
  </si>
  <si>
    <t>Masters 45-49 (21.01.1968)/49</t>
  </si>
  <si>
    <t>112,5</t>
  </si>
  <si>
    <t>81,20</t>
  </si>
  <si>
    <t>182,5</t>
  </si>
  <si>
    <t>Yatskovskiy Andrey</t>
  </si>
  <si>
    <t>Masters 45-49 (14.08.1969)/48</t>
  </si>
  <si>
    <t>78,80</t>
  </si>
  <si>
    <t>Singh Daljeet</t>
  </si>
  <si>
    <t>Open (01.10.1979)/38</t>
  </si>
  <si>
    <t>85,00</t>
  </si>
  <si>
    <t>Zhemchuzhnikov Oleg</t>
  </si>
  <si>
    <t>Masters 50-54 (27.09.1965)/52</t>
  </si>
  <si>
    <t>80,30</t>
  </si>
  <si>
    <t>86,80</t>
  </si>
  <si>
    <t>Fateev Vladimir</t>
  </si>
  <si>
    <t>Masters 50-54 (01.08.1964)/53</t>
  </si>
  <si>
    <t>78,90</t>
  </si>
  <si>
    <t>Kapuza Vladimir</t>
  </si>
  <si>
    <t>Masters 55-59 (04.08.1962)/55</t>
  </si>
  <si>
    <t>81,60</t>
  </si>
  <si>
    <t>Baasandorj Munkhbaatar</t>
  </si>
  <si>
    <t>Open (28.01.1981)/36</t>
  </si>
  <si>
    <t>94,30</t>
  </si>
  <si>
    <t>Riso Salgado</t>
  </si>
  <si>
    <t>Masters 65-69 (13.07.1952)/65</t>
  </si>
  <si>
    <t>Mongolia</t>
  </si>
  <si>
    <t>Uruguay</t>
  </si>
  <si>
    <t>115</t>
  </si>
  <si>
    <t>111,6767</t>
  </si>
  <si>
    <t>Tkachuk Aleksandr</t>
  </si>
  <si>
    <t>Masters 75-79 (19.03.1940)/77</t>
  </si>
  <si>
    <t>76,30</t>
  </si>
  <si>
    <t>Gerun Andrey</t>
  </si>
  <si>
    <t>Masters 45-49 (02.02.1971)/46</t>
  </si>
  <si>
    <t>99,70</t>
  </si>
  <si>
    <t>95,60</t>
  </si>
  <si>
    <t>Evteev Aleksey</t>
  </si>
  <si>
    <t>Juniors 20-23 (08.08.1994)/23</t>
  </si>
  <si>
    <t>88,50</t>
  </si>
  <si>
    <t>180</t>
  </si>
  <si>
    <t>117,8190</t>
  </si>
  <si>
    <t>Lapin Gennadiy</t>
  </si>
  <si>
    <t>Juniors 20-23 (13.07.1995)/22</t>
  </si>
  <si>
    <t>87,10</t>
  </si>
  <si>
    <t>Bespalenko Artem</t>
  </si>
  <si>
    <t>Open (21.03.1990)/27</t>
  </si>
  <si>
    <t>105,80</t>
  </si>
  <si>
    <t>Ward Matthew</t>
  </si>
  <si>
    <t>Open (13.03.1992)/25</t>
  </si>
  <si>
    <t>113,60</t>
  </si>
  <si>
    <t>Galayda Andrey</t>
  </si>
  <si>
    <t>Open (07.02.1972)/45</t>
  </si>
  <si>
    <t>89,40</t>
  </si>
  <si>
    <t>197,5</t>
  </si>
  <si>
    <t>Bekhtemirov Ramil</t>
  </si>
  <si>
    <t>Open (08.09.1987)/30</t>
  </si>
  <si>
    <t>87,90</t>
  </si>
  <si>
    <t>190</t>
  </si>
  <si>
    <t>Suluev Khamid</t>
  </si>
  <si>
    <t>Open (20.08.1974)/43</t>
  </si>
  <si>
    <t>Kirin Ilya</t>
  </si>
  <si>
    <t>Open (15.04.1988)/29</t>
  </si>
  <si>
    <t>87,00</t>
  </si>
  <si>
    <t>Oleynik Sergey</t>
  </si>
  <si>
    <t>Open (05.12.1985)/32</t>
  </si>
  <si>
    <t>88,40</t>
  </si>
  <si>
    <t>Degtyar Pavel</t>
  </si>
  <si>
    <t>Open (25.06.1992)/25</t>
  </si>
  <si>
    <t>87,60</t>
  </si>
  <si>
    <t>Kalachev Nikita</t>
  </si>
  <si>
    <t>Open (02.09.1986)/31</t>
  </si>
  <si>
    <t>Minin Andrey</t>
  </si>
  <si>
    <t>332,5</t>
  </si>
  <si>
    <t>264,5204</t>
  </si>
  <si>
    <t>89,20</t>
  </si>
  <si>
    <t>117,99</t>
  </si>
  <si>
    <t>Masters 40-44 (20.08.1974)/43</t>
  </si>
  <si>
    <t>216,2063</t>
  </si>
  <si>
    <t>Masters 45-49 (07.02.1972)/45</t>
  </si>
  <si>
    <t>343,5098</t>
  </si>
  <si>
    <t>Volkov Vyacheslav</t>
  </si>
  <si>
    <t>Masters 45-49 (13.11.1971)/46</t>
  </si>
  <si>
    <t>60</t>
  </si>
  <si>
    <t>89,70</t>
  </si>
  <si>
    <t>320,0</t>
  </si>
  <si>
    <t>320,7680</t>
  </si>
  <si>
    <t>218,3683</t>
  </si>
  <si>
    <t>Ivanov Igor</t>
  </si>
  <si>
    <t>Masters 45-49 (03.09.1969)/48</t>
  </si>
  <si>
    <t>Chepurnoy Mikhail</t>
  </si>
  <si>
    <t>Masters 45-49 (26.02.1970)/47</t>
  </si>
  <si>
    <t>660,0</t>
  </si>
  <si>
    <t>394,0860</t>
  </si>
  <si>
    <t>670,0</t>
  </si>
  <si>
    <t>381,3640</t>
  </si>
  <si>
    <t>Kozlov Vladimir</t>
  </si>
  <si>
    <t>Masters 60-64 (15.06.1954)/63</t>
  </si>
  <si>
    <t>557,5</t>
  </si>
  <si>
    <t>352,6745</t>
  </si>
  <si>
    <t>612,5</t>
  </si>
  <si>
    <t>341,6831</t>
  </si>
  <si>
    <t>475,0</t>
  </si>
  <si>
    <t>307,3962</t>
  </si>
  <si>
    <t>296,7088</t>
  </si>
  <si>
    <t>Filyaev Vladislav</t>
  </si>
  <si>
    <t>Teen 16-17 (09.11.2000)/17</t>
  </si>
  <si>
    <t>97,00</t>
  </si>
  <si>
    <t>Laptev Ilya</t>
  </si>
  <si>
    <t>562,5</t>
  </si>
  <si>
    <t>430,7381</t>
  </si>
  <si>
    <t>Teen 18-19 (03.12.1998)/19</t>
  </si>
  <si>
    <t>97,60</t>
  </si>
  <si>
    <t>550,0</t>
  </si>
  <si>
    <t>341,8962</t>
  </si>
  <si>
    <t>310,0</t>
  </si>
  <si>
    <t>338,3337</t>
  </si>
  <si>
    <t>Gabuev Andrey</t>
  </si>
  <si>
    <t>Juniors 20-23 (30.10.1996)/21</t>
  </si>
  <si>
    <t>Orlov Ilya</t>
  </si>
  <si>
    <t>Open (23.06.1982)/35</t>
  </si>
  <si>
    <t>Petrykin Vladimir</t>
  </si>
  <si>
    <t>Open (25.09.1981)/36</t>
  </si>
  <si>
    <t>Mardoyan Avetik</t>
  </si>
  <si>
    <t>Open (02.03.1992)/25</t>
  </si>
  <si>
    <t>93,90</t>
  </si>
  <si>
    <t>Sergeev Oler</t>
  </si>
  <si>
    <t>Open (26.04.1986)/31</t>
  </si>
  <si>
    <t>98,20</t>
  </si>
  <si>
    <t>0</t>
  </si>
  <si>
    <t>95,2006</t>
  </si>
  <si>
    <t>150</t>
  </si>
  <si>
    <t>87,6825</t>
  </si>
  <si>
    <t>Trubachev Andrey</t>
  </si>
  <si>
    <t>Open (26.02.1986)/31</t>
  </si>
  <si>
    <t>97,40</t>
  </si>
  <si>
    <t>Emelyanov Sergey</t>
  </si>
  <si>
    <t>Masters 40-44 (07.04.1975)/42</t>
  </si>
  <si>
    <t>96,00</t>
  </si>
  <si>
    <t>Shabanov Vadim</t>
  </si>
  <si>
    <t>Masters 45-49 (03.02.1972)/45</t>
  </si>
  <si>
    <t>92,60</t>
  </si>
  <si>
    <t>Verzhanovskiy Sergey</t>
  </si>
  <si>
    <t>Masters 50-54 (02.07.1967)/50</t>
  </si>
  <si>
    <t>Alekseev Vladimir</t>
  </si>
  <si>
    <t>Masters 50-54 (21.05.1963)/54</t>
  </si>
  <si>
    <t>Sorokin Gennadiy</t>
  </si>
  <si>
    <t>Masters 55-59 (08.09.1959)/58</t>
  </si>
  <si>
    <t>93,30</t>
  </si>
  <si>
    <t>Matvejev Valeri</t>
  </si>
  <si>
    <t>Masters 55-59 (12.06.1960)/57</t>
  </si>
  <si>
    <t>91,90</t>
  </si>
  <si>
    <t>Hamid Rashidi</t>
  </si>
  <si>
    <t>Open (28.07.1984)/33</t>
  </si>
  <si>
    <t>107,10</t>
  </si>
  <si>
    <t>Iran</t>
  </si>
  <si>
    <t>Shlyagun Ruslan</t>
  </si>
  <si>
    <t>Open (11.03.1979)/38</t>
  </si>
  <si>
    <t>102,10</t>
  </si>
  <si>
    <t>Usynin Konstantin</t>
  </si>
  <si>
    <t>Open (13.05.1988)/29</t>
  </si>
  <si>
    <t>110,00</t>
  </si>
  <si>
    <t>Sergeev Roman</t>
  </si>
  <si>
    <t>Open (19.06.1982)/35</t>
  </si>
  <si>
    <t>108,40</t>
  </si>
  <si>
    <t>Lipovskiy Sergey</t>
  </si>
  <si>
    <t>Masters 40-44 (17.08.1975)/42</t>
  </si>
  <si>
    <t>103,80</t>
  </si>
  <si>
    <t>Sazonov Vadim</t>
  </si>
  <si>
    <t>Masters 40-44 (06.07.1975)/42</t>
  </si>
  <si>
    <t>100,90</t>
  </si>
  <si>
    <t>Kovalskiy Aleksey</t>
  </si>
  <si>
    <t>Masters 40-44 (25.12.1975)/42</t>
  </si>
  <si>
    <t>106,20</t>
  </si>
  <si>
    <t>Kireev Dmitriy</t>
  </si>
  <si>
    <t>Masters 45-49 (28.08.1969)/48</t>
  </si>
  <si>
    <t>109,10</t>
  </si>
  <si>
    <t>102,0506</t>
  </si>
  <si>
    <t>Masters 50-54 (15.02.1966)/51</t>
  </si>
  <si>
    <t>104,00</t>
  </si>
  <si>
    <t>Kolesnikov Sergey</t>
  </si>
  <si>
    <t>Masters 55-59 (20.08.1961)/56</t>
  </si>
  <si>
    <t>105,50</t>
  </si>
  <si>
    <t>Vashkin Oleg</t>
  </si>
  <si>
    <t>Juniors 20-23 (04.04.1994)/23</t>
  </si>
  <si>
    <t>118,80</t>
  </si>
  <si>
    <t>Zhdanov Pavel</t>
  </si>
  <si>
    <t>Open (03.12.1980)/37</t>
  </si>
  <si>
    <t>118,40</t>
  </si>
  <si>
    <t>102,2310</t>
  </si>
  <si>
    <t>Sukhomlin Viktor</t>
  </si>
  <si>
    <t>Open (18.11.1991)/26</t>
  </si>
  <si>
    <t>115,40</t>
  </si>
  <si>
    <t>Shalnov Arseniy</t>
  </si>
  <si>
    <t>Open (22.05.1989)/28</t>
  </si>
  <si>
    <t>125,00</t>
  </si>
  <si>
    <t>Zakharov Sergey</t>
  </si>
  <si>
    <t>Masters 40-44 (27.09.1974)/43</t>
  </si>
  <si>
    <t>121,20</t>
  </si>
  <si>
    <t>192,5</t>
  </si>
  <si>
    <t>Raskhodchikov Dobrogor</t>
  </si>
  <si>
    <t>Masters 40-44 (14.02.1977)/40</t>
  </si>
  <si>
    <t>121,50</t>
  </si>
  <si>
    <t>Belov Dmitriy</t>
  </si>
  <si>
    <t>Masters 45-49 (15.02.1972)/45</t>
  </si>
  <si>
    <t>124,80</t>
  </si>
  <si>
    <t>Bogdanov Igor</t>
  </si>
  <si>
    <t>Masters 45-49 (11.02.1972)/45</t>
  </si>
  <si>
    <t>115,80</t>
  </si>
  <si>
    <t>Bychkov Igor</t>
  </si>
  <si>
    <t>Masters 45-49 (18.06.1970)/47</t>
  </si>
  <si>
    <t>114,60</t>
  </si>
  <si>
    <t>Chubarov Vladimir</t>
  </si>
  <si>
    <t>Masters 50-54 (03.04.1964)/53</t>
  </si>
  <si>
    <t>124,90</t>
  </si>
  <si>
    <t>Body Weight Category  140</t>
  </si>
  <si>
    <t>Seleznev Vladimir</t>
  </si>
  <si>
    <t>Open (09.05.1977)/40</t>
  </si>
  <si>
    <t>126,50</t>
  </si>
  <si>
    <t>Kuritsin Artem</t>
  </si>
  <si>
    <t>Open (03.05.1993)/24</t>
  </si>
  <si>
    <t>127,00</t>
  </si>
  <si>
    <t>Masters 40-44 (09.05.1977)/40</t>
  </si>
  <si>
    <t>Lyubtsov Aleksandr</t>
  </si>
  <si>
    <t>Open (30.11.1984)/33</t>
  </si>
  <si>
    <t>161,40</t>
  </si>
  <si>
    <t>Trofimov Boris</t>
  </si>
  <si>
    <t>Masters 45-49 (21.03.1972)/45</t>
  </si>
  <si>
    <t>146,80</t>
  </si>
  <si>
    <t>220</t>
  </si>
  <si>
    <t>121,9976</t>
  </si>
  <si>
    <t>40,3110</t>
  </si>
  <si>
    <t>80,5475</t>
  </si>
  <si>
    <t>69,9790</t>
  </si>
  <si>
    <t>61,9750</t>
  </si>
  <si>
    <t>54,8835</t>
  </si>
  <si>
    <t>50,1648</t>
  </si>
  <si>
    <t>48,6675</t>
  </si>
  <si>
    <t>74,5102</t>
  </si>
  <si>
    <t>71,1911</t>
  </si>
  <si>
    <t>55,1025</t>
  </si>
  <si>
    <t>Teen 16-17</t>
  </si>
  <si>
    <t>99,9420</t>
  </si>
  <si>
    <t>98,5031</t>
  </si>
  <si>
    <t>80,4277</t>
  </si>
  <si>
    <t>78,7867</t>
  </si>
  <si>
    <t>73,7450</t>
  </si>
  <si>
    <t>70,6920</t>
  </si>
  <si>
    <t>70,0450</t>
  </si>
  <si>
    <t>63,1509</t>
  </si>
  <si>
    <t>62,4015</t>
  </si>
  <si>
    <t>57,4324</t>
  </si>
  <si>
    <t>56,2926</t>
  </si>
  <si>
    <t>35,2660</t>
  </si>
  <si>
    <t>107,6790</t>
  </si>
  <si>
    <t>106,6450</t>
  </si>
  <si>
    <t>91,9879</t>
  </si>
  <si>
    <t>91,9515</t>
  </si>
  <si>
    <t>76,9725</t>
  </si>
  <si>
    <t>134,3890</t>
  </si>
  <si>
    <t>124,3654</t>
  </si>
  <si>
    <t>119,0595</t>
  </si>
  <si>
    <t>117,1660</t>
  </si>
  <si>
    <t>114,0360</t>
  </si>
  <si>
    <t>113,6960</t>
  </si>
  <si>
    <t>107,9100</t>
  </si>
  <si>
    <t>103,7700</t>
  </si>
  <si>
    <t>100,1731</t>
  </si>
  <si>
    <t>98,4375</t>
  </si>
  <si>
    <t>140</t>
  </si>
  <si>
    <t>95,1772</t>
  </si>
  <si>
    <t>91,7881</t>
  </si>
  <si>
    <t>88,9200</t>
  </si>
  <si>
    <t>87,5070</t>
  </si>
  <si>
    <t>85,7794</t>
  </si>
  <si>
    <t>84,4855</t>
  </si>
  <si>
    <t>83,6704</t>
  </si>
  <si>
    <t>83,4435</t>
  </si>
  <si>
    <t>82,3289</t>
  </si>
  <si>
    <t>81,8452</t>
  </si>
  <si>
    <t>81,8100</t>
  </si>
  <si>
    <t>78,0960</t>
  </si>
  <si>
    <t>77,4302</t>
  </si>
  <si>
    <t>131,2055</t>
  </si>
  <si>
    <t>125,8494</t>
  </si>
  <si>
    <t>119,5945</t>
  </si>
  <si>
    <t>119,2997</t>
  </si>
  <si>
    <t>117,3245</t>
  </si>
  <si>
    <t>116,2570</t>
  </si>
  <si>
    <t>115,9835</t>
  </si>
  <si>
    <t>115,6247</t>
  </si>
  <si>
    <t>115,3970</t>
  </si>
  <si>
    <t>112,3732</t>
  </si>
  <si>
    <t>112,2538</t>
  </si>
  <si>
    <t>111,2963</t>
  </si>
  <si>
    <t>Masters 75-79</t>
  </si>
  <si>
    <t>110,8522</t>
  </si>
  <si>
    <t>109,0976</t>
  </si>
  <si>
    <t>107,3996</t>
  </si>
  <si>
    <t>105,6788</t>
  </si>
  <si>
    <t>105,1936</t>
  </si>
  <si>
    <t>103,8959</t>
  </si>
  <si>
    <t>103,2785</t>
  </si>
  <si>
    <t>102,5962</t>
  </si>
  <si>
    <t>102,5315</t>
  </si>
  <si>
    <t>102,2354</t>
  </si>
  <si>
    <t>101,9014</t>
  </si>
  <si>
    <t>101,7273</t>
  </si>
  <si>
    <t>World Champions Cup AWPC multi-ply powerlifting
Dolgoprudniy, Russia 03-05 November 2017</t>
  </si>
  <si>
    <t>Lubaev Igor</t>
  </si>
  <si>
    <t>Open (30.04.1979)/38</t>
  </si>
  <si>
    <t>65,60</t>
  </si>
  <si>
    <t>590</t>
  </si>
  <si>
    <t>452,5595</t>
  </si>
  <si>
    <t>460,0</t>
  </si>
  <si>
    <t>352,8430</t>
  </si>
  <si>
    <t>World Champions Cup AWPC single-ply powerlifting
Dolgoprudniy, Russia 03-05 November 2017</t>
  </si>
  <si>
    <t>Bondarenko Tatiana</t>
  </si>
  <si>
    <t>Open (12.09.1991)/26</t>
  </si>
  <si>
    <t>392,6492</t>
  </si>
  <si>
    <t>Polfuntikov Aleksandr</t>
  </si>
  <si>
    <t>Open (06.12.1982)/35</t>
  </si>
  <si>
    <t>89,90</t>
  </si>
  <si>
    <t>300,0</t>
  </si>
  <si>
    <t>315,0</t>
  </si>
  <si>
    <t>450</t>
  </si>
  <si>
    <t>266,2425</t>
  </si>
  <si>
    <t>770,0</t>
  </si>
  <si>
    <t>471,4325</t>
  </si>
  <si>
    <t>World Champions Cup AWPC raw powerlifting
Dolgoprudniy, Russia 03-05 November 2017</t>
  </si>
  <si>
    <t>Savchuk Anna</t>
  </si>
  <si>
    <t>Open (20.08.1984)/33</t>
  </si>
  <si>
    <t>43,10</t>
  </si>
  <si>
    <t>50</t>
  </si>
  <si>
    <t>145</t>
  </si>
  <si>
    <t>192,9225</t>
  </si>
  <si>
    <t>194,8517</t>
  </si>
  <si>
    <t>Gavrilova Aurika</t>
  </si>
  <si>
    <t>Open (21.06.1988)/29</t>
  </si>
  <si>
    <t>46,80</t>
  </si>
  <si>
    <t>87,5</t>
  </si>
  <si>
    <t>Kuznetsova Kseniya</t>
  </si>
  <si>
    <t>Open (01.11.1989)/28</t>
  </si>
  <si>
    <t>48,00</t>
  </si>
  <si>
    <t>Morozova Anna</t>
  </si>
  <si>
    <t>Open (13.04.1984)/33</t>
  </si>
  <si>
    <t>Smirnova Anna</t>
  </si>
  <si>
    <t>Open (09.03.1983)/34</t>
  </si>
  <si>
    <t>85</t>
  </si>
  <si>
    <t>238,1340</t>
  </si>
  <si>
    <t>Budkina Tatiana</t>
  </si>
  <si>
    <t>Open (02.04.1979)/38</t>
  </si>
  <si>
    <t>Melnik Anastasiya</t>
  </si>
  <si>
    <t>Juniors 20-23 (16.06.1996)/21</t>
  </si>
  <si>
    <t>Penkova Polina</t>
  </si>
  <si>
    <t>Teen 13-15 (14.08.2002)/15</t>
  </si>
  <si>
    <t>64,50</t>
  </si>
  <si>
    <t>Kalugina Daria</t>
  </si>
  <si>
    <t>Open (17.07.1983)/34</t>
  </si>
  <si>
    <t>67,20</t>
  </si>
  <si>
    <t>Laur Elena</t>
  </si>
  <si>
    <t>Open (02.01.1983)/34</t>
  </si>
  <si>
    <t>67,65</t>
  </si>
  <si>
    <t>Nikitina Elena</t>
  </si>
  <si>
    <t>Open (12.08.1984)/33</t>
  </si>
  <si>
    <t>Alibaeva Gulnara</t>
  </si>
  <si>
    <t>Masters 40-44 (30.10.1977)/40</t>
  </si>
  <si>
    <t>81,10</t>
  </si>
  <si>
    <t>Leahy Conor</t>
  </si>
  <si>
    <t>Teen 16-17 (22.12.1999)/18</t>
  </si>
  <si>
    <t>317,5</t>
  </si>
  <si>
    <t>268,3669</t>
  </si>
  <si>
    <t>Dambinov Aleksandr</t>
  </si>
  <si>
    <t>Masters 80up (12.03.1936)/81</t>
  </si>
  <si>
    <t>Elista/Kalmykiya</t>
  </si>
  <si>
    <t>Davidyan Ruben</t>
  </si>
  <si>
    <t>Open (24.03.1992)/25</t>
  </si>
  <si>
    <t>71,20</t>
  </si>
  <si>
    <t>Kameshkovo/Vladimirskaya oblast</t>
  </si>
  <si>
    <t>Lukianov Dmitriy</t>
  </si>
  <si>
    <t>Open (29.07.1980)/37</t>
  </si>
  <si>
    <t>80,10</t>
  </si>
  <si>
    <t>Dutov Anton</t>
  </si>
  <si>
    <t>Teen 18-19 (27.04.1999)/18</t>
  </si>
  <si>
    <t>82,40</t>
  </si>
  <si>
    <t>Klimanov Yaroslav</t>
  </si>
  <si>
    <t>Open (04.03.1991)/26</t>
  </si>
  <si>
    <t>81,90</t>
  </si>
  <si>
    <t>227,5</t>
  </si>
  <si>
    <t>Gvozdev Aleksey</t>
  </si>
  <si>
    <t>Masters 45-49 (27.03.1972)/45</t>
  </si>
  <si>
    <t>82,50</t>
  </si>
  <si>
    <t>Bokarev Saveliy</t>
  </si>
  <si>
    <t>Teen 18-19 (30.10.1998)/19</t>
  </si>
  <si>
    <t>88,70</t>
  </si>
  <si>
    <t>242,5</t>
  </si>
  <si>
    <t>Ansimov Andrey</t>
  </si>
  <si>
    <t>Open (22.12.1987)/30</t>
  </si>
  <si>
    <t>Pauyesov A.I.</t>
  </si>
  <si>
    <t>Zabelin Nikolay</t>
  </si>
  <si>
    <t>Open (23.05.1985)/32</t>
  </si>
  <si>
    <t>89,50</t>
  </si>
  <si>
    <t>257,5</t>
  </si>
  <si>
    <t>Vladimirov Evgeniy</t>
  </si>
  <si>
    <t>Open (22.08.1964)/53</t>
  </si>
  <si>
    <t>Balabin Denis</t>
  </si>
  <si>
    <t>Open (06.11.1978)/39</t>
  </si>
  <si>
    <t>87,50</t>
  </si>
  <si>
    <t>Seleznev Mikhail</t>
  </si>
  <si>
    <t>Open (29.10.1984)/33</t>
  </si>
  <si>
    <t>83,20</t>
  </si>
  <si>
    <t>Masters 50-54 (22.08.1964)/53</t>
  </si>
  <si>
    <t>Kovalenko Viktor</t>
  </si>
  <si>
    <t>Masters 55-59 (10.09.1959)/58</t>
  </si>
  <si>
    <t>92,5</t>
  </si>
  <si>
    <t>Magamedkhanov Selimkhan</t>
  </si>
  <si>
    <t>Juniors 20-23 (26.04.1997)/20</t>
  </si>
  <si>
    <t>Sgibnev Anton</t>
  </si>
  <si>
    <t>97,20</t>
  </si>
  <si>
    <t>275,0</t>
  </si>
  <si>
    <t>Martin Yanek</t>
  </si>
  <si>
    <t>Open (14.04.1986)/31</t>
  </si>
  <si>
    <t>Kolesnikov Yuriy</t>
  </si>
  <si>
    <t>Open (22.01.1984)/33</t>
  </si>
  <si>
    <t>99,00</t>
  </si>
  <si>
    <t>Andreev Andrey</t>
  </si>
  <si>
    <t>Open (08.03.1979)/38</t>
  </si>
  <si>
    <t>97,70</t>
  </si>
  <si>
    <t>Seregin Konstantin</t>
  </si>
  <si>
    <t>Open (19.01.1978)/39</t>
  </si>
  <si>
    <t>Vasiliev Aleksey</t>
  </si>
  <si>
    <t>Open (24.03.1989)/28</t>
  </si>
  <si>
    <t>510</t>
  </si>
  <si>
    <t>305,1840</t>
  </si>
  <si>
    <t>Nefedov Ilya</t>
  </si>
  <si>
    <t>Masters 45-49 (25.05.1972)/45</t>
  </si>
  <si>
    <t>99,20</t>
  </si>
  <si>
    <t>Sobachkin Kirill</t>
  </si>
  <si>
    <t>Teen 13-15 (27.05.2003)/14</t>
  </si>
  <si>
    <t>106,10</t>
  </si>
  <si>
    <t>Kriulenko Pavel</t>
  </si>
  <si>
    <t>Teen 18-19 (20.11.1997)/20</t>
  </si>
  <si>
    <t>102,90</t>
  </si>
  <si>
    <t>222,5</t>
  </si>
  <si>
    <t>273,0</t>
  </si>
  <si>
    <t>Pereskokov Sergey</t>
  </si>
  <si>
    <t>Open (14.10.1987)/30</t>
  </si>
  <si>
    <t>108,30</t>
  </si>
  <si>
    <t>Lileev Alexey</t>
  </si>
  <si>
    <t>Masters 45-49 (03.09.1972)/45</t>
  </si>
  <si>
    <t>102,70</t>
  </si>
  <si>
    <t>119,50</t>
  </si>
  <si>
    <t>Alferov Igor</t>
  </si>
  <si>
    <t>Masters 40-44 (02.04.1976)/41</t>
  </si>
  <si>
    <t>233,0750</t>
  </si>
  <si>
    <t>309,4893</t>
  </si>
  <si>
    <t>277,5</t>
  </si>
  <si>
    <t>290,0985</t>
  </si>
  <si>
    <t>284,0658</t>
  </si>
  <si>
    <t>277,0650</t>
  </si>
  <si>
    <t>307,5</t>
  </si>
  <si>
    <t>276,0581</t>
  </si>
  <si>
    <t>270,8400</t>
  </si>
  <si>
    <t>239,1322</t>
  </si>
  <si>
    <t>188,2920</t>
  </si>
  <si>
    <t>177,7298</t>
  </si>
  <si>
    <t>162,9648</t>
  </si>
  <si>
    <t>642,5</t>
  </si>
  <si>
    <t>369,3090</t>
  </si>
  <si>
    <t>575,0</t>
  </si>
  <si>
    <t>354,6888</t>
  </si>
  <si>
    <t>505,0</t>
  </si>
  <si>
    <t>325,7755</t>
  </si>
  <si>
    <t>412,5</t>
  </si>
  <si>
    <t>271,1362</t>
  </si>
  <si>
    <t>390,0</t>
  </si>
  <si>
    <t>221,7735</t>
  </si>
  <si>
    <t>192,2944</t>
  </si>
  <si>
    <t>405,0</t>
  </si>
  <si>
    <t>239,6183</t>
  </si>
  <si>
    <t>345,0</t>
  </si>
  <si>
    <t>201,3247</t>
  </si>
  <si>
    <t>605,0</t>
  </si>
  <si>
    <t>433,4522</t>
  </si>
  <si>
    <t>715,0</t>
  </si>
  <si>
    <t>420,8132</t>
  </si>
  <si>
    <t>710,0</t>
  </si>
  <si>
    <t>391,5295</t>
  </si>
  <si>
    <t>665,0</t>
  </si>
  <si>
    <t>391,3857</t>
  </si>
  <si>
    <t>645,0</t>
  </si>
  <si>
    <t>376,5510</t>
  </si>
  <si>
    <t>615,0</t>
  </si>
  <si>
    <t>376,5337</t>
  </si>
  <si>
    <t>607,5</t>
  </si>
  <si>
    <t>372,8531</t>
  </si>
  <si>
    <t>635,0</t>
  </si>
  <si>
    <t>372,8402</t>
  </si>
  <si>
    <t>567,5</t>
  </si>
  <si>
    <t>367,5414</t>
  </si>
  <si>
    <t>590,0</t>
  </si>
  <si>
    <t>365,1215</t>
  </si>
  <si>
    <t>359,4983</t>
  </si>
  <si>
    <t>560,0</t>
  </si>
  <si>
    <t>348,1800</t>
  </si>
  <si>
    <t>565,0</t>
  </si>
  <si>
    <t>319,2250</t>
  </si>
  <si>
    <t>455,0</t>
  </si>
  <si>
    <t>291,7005</t>
  </si>
  <si>
    <t>600,0</t>
  </si>
  <si>
    <t>439,6310</t>
  </si>
  <si>
    <t>630,0</t>
  </si>
  <si>
    <t>387,6903</t>
  </si>
  <si>
    <t>617,5</t>
  </si>
  <si>
    <t>340,2147</t>
  </si>
  <si>
    <t>395,0</t>
  </si>
  <si>
    <t>314,3556</t>
  </si>
  <si>
    <t>500,0</t>
  </si>
  <si>
    <t>303,4444</t>
  </si>
  <si>
    <t>387,5</t>
  </si>
  <si>
    <t>263,5205</t>
  </si>
  <si>
    <t>Masters 80up</t>
  </si>
  <si>
    <t>218,0080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</si>
</sst>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sz val="24.0"/>
      <name val="Arimo"/>
    </font>
    <font/>
    <font>
      <sz val="10.0"/>
      <name val="Arial"/>
    </font>
    <font>
      <b/>
      <sz val="11.0"/>
      <name val="Arimo"/>
    </font>
    <font>
      <sz val="11.0"/>
      <name val="Arimo"/>
    </font>
    <font>
      <i/>
      <sz val="12.0"/>
      <name val="Arimo"/>
    </font>
    <font>
      <sz val="10.0"/>
      <name val="Arimo"/>
    </font>
    <font>
      <strike/>
      <sz val="10.0"/>
      <name val="Arimo"/>
    </font>
    <font>
      <sz val="12.0"/>
      <name val="Arimo"/>
    </font>
    <font>
      <sz val="14.0"/>
      <name val="Arimo"/>
    </font>
    <font>
      <i/>
      <sz val="11.0"/>
      <name val="Arimo"/>
    </font>
    <font>
      <b/>
      <sz val="10.0"/>
      <name val="Arimo"/>
    </font>
  </fonts>
  <fills count="2">
    <fill>
      <patternFill patternType="none"/>
    </fill>
    <fill>
      <patternFill patternType="lightGray"/>
    </fill>
  </fills>
  <borders count="2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shrinkToFit="0" vertical="bottom" wrapText="0"/>
    </xf>
    <xf borderId="4" fillId="0" fontId="2" numFmtId="0" xfId="0" applyBorder="1" applyFont="1"/>
    <xf borderId="5" fillId="0" fontId="2" numFmtId="0" xfId="0" applyBorder="1" applyFont="1"/>
    <xf borderId="6" fillId="0" fontId="4" numFmtId="49" xfId="0" applyAlignment="1" applyBorder="1" applyFont="1" applyNumberFormat="1">
      <alignment horizontal="center" shrinkToFit="0" vertical="center" wrapText="0"/>
    </xf>
    <xf borderId="7" fillId="0" fontId="4" numFmtId="49" xfId="0" applyAlignment="1" applyBorder="1" applyFont="1" applyNumberFormat="1">
      <alignment horizontal="center" shrinkToFit="0" vertical="center" wrapText="1"/>
    </xf>
    <xf borderId="7" fillId="0" fontId="4" numFmtId="49" xfId="0" applyAlignment="1" applyBorder="1" applyFont="1" applyNumberFormat="1">
      <alignment horizontal="center" shrinkToFit="0" vertical="center" wrapText="0"/>
    </xf>
    <xf borderId="8" fillId="0" fontId="4" numFmtId="49" xfId="0" applyAlignment="1" applyBorder="1" applyFont="1" applyNumberFormat="1">
      <alignment horizontal="center" shrinkToFit="0" vertical="center" wrapText="0"/>
    </xf>
    <xf borderId="9" fillId="0" fontId="2" numFmtId="0" xfId="0" applyBorder="1" applyFont="1"/>
    <xf borderId="10" fillId="0" fontId="2" numFmtId="0" xfId="0" applyBorder="1" applyFont="1"/>
    <xf borderId="11" fillId="0" fontId="4" numFmtId="49" xfId="0" applyAlignment="1" applyBorder="1" applyFont="1" applyNumberFormat="1">
      <alignment horizontal="right" shrinkToFit="0" vertical="center" wrapText="0"/>
    </xf>
    <xf borderId="11" fillId="0" fontId="4" numFmtId="49" xfId="0" applyAlignment="1" applyBorder="1" applyFont="1" applyNumberFormat="1">
      <alignment horizontal="center" shrinkToFit="0" vertical="center" wrapText="0"/>
    </xf>
    <xf borderId="12" fillId="0" fontId="4" numFmtId="49" xfId="0" applyAlignment="1" applyBorder="1" applyFont="1" applyNumberFormat="1">
      <alignment horizontal="center" shrinkToFit="0" vertical="center" wrapText="0"/>
    </xf>
    <xf borderId="0" fillId="0" fontId="4" numFmtId="49" xfId="0" applyAlignment="1" applyFont="1" applyNumberFormat="1">
      <alignment horizontal="center" shrinkToFit="0" vertical="center" wrapText="0"/>
    </xf>
    <xf borderId="13" fillId="0" fontId="2" numFmtId="0" xfId="0" applyBorder="1" applyFont="1"/>
    <xf borderId="14" fillId="0" fontId="2" numFmtId="0" xfId="0" applyBorder="1" applyFont="1"/>
    <xf borderId="15" fillId="0" fontId="5" numFmtId="49" xfId="0" applyAlignment="1" applyBorder="1" applyFont="1" applyNumberFormat="1">
      <alignment horizontal="center" shrinkToFit="0" vertical="center" wrapText="0"/>
    </xf>
    <xf borderId="16" fillId="0" fontId="5" numFmtId="49" xfId="0" applyAlignment="1" applyBorder="1" applyFont="1" applyNumberFormat="1">
      <alignment horizontal="center" shrinkToFit="0" vertical="center" wrapText="0"/>
    </xf>
    <xf borderId="17" fillId="0" fontId="5" numFmtId="49" xfId="0" applyAlignment="1" applyBorder="1" applyFont="1" applyNumberFormat="1">
      <alignment horizontal="center" shrinkToFit="0" vertical="center" wrapText="0"/>
    </xf>
    <xf borderId="18" fillId="0" fontId="2" numFmtId="0" xfId="0" applyBorder="1" applyFont="1"/>
    <xf borderId="19" fillId="0" fontId="2" numFmtId="0" xfId="0" applyBorder="1" applyFont="1"/>
    <xf borderId="2" fillId="0" fontId="6" numFmtId="49" xfId="0" applyAlignment="1" applyBorder="1" applyFont="1" applyNumberFormat="1">
      <alignment horizontal="center" shrinkToFit="0" vertical="bottom" wrapText="0"/>
    </xf>
    <xf borderId="0" fillId="0" fontId="3" numFmtId="49" xfId="0" applyAlignment="1" applyFont="1" applyNumberFormat="1">
      <alignment shrinkToFit="0" vertical="bottom" wrapText="0"/>
    </xf>
    <xf borderId="20" fillId="0" fontId="7" numFmtId="49" xfId="0" applyAlignment="1" applyBorder="1" applyFont="1" applyNumberFormat="1">
      <alignment shrinkToFit="0" vertical="bottom" wrapText="0"/>
    </xf>
    <xf borderId="20" fillId="0" fontId="8" numFmtId="49" xfId="0" applyAlignment="1" applyBorder="1" applyFont="1" applyNumberFormat="1">
      <alignment shrinkToFit="0" vertical="bottom" wrapText="0"/>
    </xf>
    <xf borderId="20" fillId="0" fontId="7" numFmtId="49" xfId="0" applyAlignment="1" applyBorder="1" applyFont="1" applyNumberFormat="1">
      <alignment horizontal="right" shrinkToFit="0" vertical="bottom" wrapText="0"/>
    </xf>
    <xf borderId="0" fillId="0" fontId="9" numFmtId="49" xfId="0" applyAlignment="1" applyFont="1" applyNumberFormat="1">
      <alignment horizontal="left" shrinkToFit="0" vertical="bottom" wrapText="0"/>
    </xf>
    <xf borderId="0" fillId="0" fontId="6" numFmtId="49" xfId="0" applyAlignment="1" applyFont="1" applyNumberFormat="1">
      <alignment horizontal="center" shrinkToFit="0" vertical="bottom" wrapText="0"/>
    </xf>
    <xf borderId="0" fillId="0" fontId="10" numFmtId="49" xfId="0" applyAlignment="1" applyFont="1" applyNumberFormat="1">
      <alignment shrinkToFit="0" vertical="bottom" wrapText="0"/>
    </xf>
    <xf borderId="0" fillId="0" fontId="3" numFmtId="49" xfId="0" applyAlignment="1" applyFont="1" applyNumberFormat="1">
      <alignment horizontal="right" shrinkToFit="0" vertical="bottom" wrapText="0"/>
    </xf>
    <xf borderId="0" fillId="0" fontId="6" numFmtId="49" xfId="0" applyAlignment="1" applyFont="1" applyNumberFormat="1">
      <alignment shrinkToFit="0" vertical="bottom" wrapText="0"/>
    </xf>
    <xf borderId="21" fillId="0" fontId="7" numFmtId="49" xfId="0" applyAlignment="1" applyBorder="1" applyFont="1" applyNumberFormat="1">
      <alignment shrinkToFit="0" vertical="bottom" wrapText="0"/>
    </xf>
    <xf borderId="0" fillId="0" fontId="11" numFmtId="49" xfId="0" applyAlignment="1" applyFont="1" applyNumberFormat="1">
      <alignment horizontal="left" shrinkToFit="0" vertical="bottom" wrapText="0"/>
    </xf>
    <xf borderId="0" fillId="0" fontId="11" numFmtId="49" xfId="0" applyAlignment="1" applyFont="1" applyNumberFormat="1">
      <alignment shrinkToFit="0" vertical="bottom" wrapText="0"/>
    </xf>
    <xf borderId="21" fillId="0" fontId="8" numFmtId="49" xfId="0" applyAlignment="1" applyBorder="1" applyFont="1" applyNumberFormat="1">
      <alignment shrinkToFit="0" vertical="bottom" wrapText="0"/>
    </xf>
    <xf borderId="20" fillId="0" fontId="4" numFmtId="49" xfId="0" applyAlignment="1" applyBorder="1" applyFont="1" applyNumberFormat="1">
      <alignment horizontal="center" shrinkToFit="0" vertical="center" wrapText="0"/>
    </xf>
    <xf borderId="21" fillId="0" fontId="7" numFmtId="49" xfId="0" applyAlignment="1" applyBorder="1" applyFont="1" applyNumberFormat="1">
      <alignment horizontal="right" shrinkToFit="0" vertical="bottom" wrapText="0"/>
    </xf>
    <xf borderId="0" fillId="0" fontId="7" numFmtId="49" xfId="0" applyAlignment="1" applyFont="1" applyNumberFormat="1">
      <alignment horizontal="left" shrinkToFit="0" vertical="bottom" wrapText="0"/>
    </xf>
    <xf borderId="22" fillId="0" fontId="7" numFmtId="49" xfId="0" applyAlignment="1" applyBorder="1" applyFont="1" applyNumberFormat="1">
      <alignment shrinkToFit="0" vertical="bottom" wrapText="0"/>
    </xf>
    <xf borderId="0" fillId="0" fontId="12" numFmtId="49" xfId="0" applyAlignment="1" applyFont="1" applyNumberFormat="1">
      <alignment shrinkToFit="0" vertical="bottom" wrapText="0"/>
    </xf>
    <xf borderId="22" fillId="0" fontId="8" numFmtId="49" xfId="0" applyAlignment="1" applyBorder="1" applyFont="1" applyNumberFormat="1">
      <alignment shrinkToFit="0" vertical="bottom" wrapText="0"/>
    </xf>
    <xf borderId="22" fillId="0" fontId="7" numFmtId="49" xfId="0" applyAlignment="1" applyBorder="1" applyFont="1" applyNumberFormat="1">
      <alignment horizontal="right" shrinkToFit="0" vertical="bottom" wrapText="0"/>
    </xf>
    <xf borderId="23" fillId="0" fontId="7" numFmtId="49" xfId="0" applyAlignment="1" applyBorder="1" applyFont="1" applyNumberFormat="1">
      <alignment shrinkToFit="0" vertical="bottom" wrapText="0"/>
    </xf>
    <xf borderId="23" fillId="0" fontId="8" numFmtId="49" xfId="0" applyAlignment="1" applyBorder="1" applyFont="1" applyNumberFormat="1">
      <alignment shrinkToFit="0" vertical="bottom" wrapText="0"/>
    </xf>
    <xf borderId="23" fillId="0" fontId="7" numFmtId="49" xfId="0" applyAlignment="1" applyBorder="1" applyFont="1" applyNumberFormat="1">
      <alignment horizontal="right" shrinkToFit="0" vertical="bottom" wrapText="0"/>
    </xf>
    <xf borderId="21" fillId="0" fontId="7" numFmtId="49" xfId="0" applyAlignment="1" applyBorder="1" applyFont="1" applyNumberFormat="1">
      <alignment horizontal="left" shrinkToFit="0" vertical="bottom" wrapText="0"/>
    </xf>
    <xf borderId="21" fillId="0" fontId="12" numFmtId="49" xfId="0" applyAlignment="1" applyBorder="1" applyFont="1" applyNumberFormat="1">
      <alignment horizontal="left" shrinkToFit="0" vertical="bottom" wrapText="0"/>
    </xf>
    <xf borderId="20" fillId="0" fontId="7" numFmtId="49" xfId="0" applyAlignment="1" applyBorder="1" applyFont="1" applyNumberFormat="1">
      <alignment readingOrder="0" shrinkToFit="0" vertical="bottom" wrapText="0"/>
    </xf>
    <xf borderId="20" fillId="0" fontId="12" numFmtId="49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3.43"/>
    <col customWidth="1" min="2" max="2" width="25.0"/>
    <col customWidth="1" min="3" max="3" width="7.14"/>
    <col customWidth="1" min="4" max="4" width="6.14"/>
    <col customWidth="1" min="5" max="5" width="16.0"/>
    <col customWidth="1" min="6" max="9" width="5.29"/>
    <col customWidth="1" min="10" max="10" width="6.0"/>
    <col customWidth="1" min="11" max="11" width="8.0"/>
    <col customWidth="1" min="12" max="12" width="13.14"/>
    <col customWidth="1" min="13" max="26" width="8.71"/>
  </cols>
  <sheetData>
    <row r="1" ht="15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2.25" customHeight="1">
      <c r="A2" s="5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1"/>
      <c r="H3" s="11"/>
      <c r="I3" s="12"/>
      <c r="J3" s="13" t="s">
        <v>10</v>
      </c>
      <c r="K3" s="9" t="s">
        <v>11</v>
      </c>
      <c r="L3" s="15" t="s">
        <v>12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>
        <v>1.0</v>
      </c>
      <c r="G4" s="20">
        <v>2.0</v>
      </c>
      <c r="H4" s="20">
        <v>3.0</v>
      </c>
      <c r="I4" s="21" t="s">
        <v>13</v>
      </c>
      <c r="J4" s="22"/>
      <c r="K4" s="18"/>
      <c r="L4" s="23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4.25" customHeight="1">
      <c r="A5" s="24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  <c r="L5" s="25"/>
    </row>
    <row r="6" ht="14.25" customHeight="1">
      <c r="A6" s="26" t="s">
        <v>17</v>
      </c>
      <c r="B6" s="26" t="s">
        <v>21</v>
      </c>
      <c r="C6" s="26" t="s">
        <v>24</v>
      </c>
      <c r="D6" s="26" t="str">
        <f>"1,4788"</f>
        <v>1,4788</v>
      </c>
      <c r="E6" s="26" t="s">
        <v>26</v>
      </c>
      <c r="F6" s="26" t="s">
        <v>30</v>
      </c>
      <c r="G6" s="26" t="s">
        <v>31</v>
      </c>
      <c r="H6" s="27" t="s">
        <v>32</v>
      </c>
      <c r="I6" s="27"/>
      <c r="J6" s="28">
        <v>100.0</v>
      </c>
      <c r="K6" s="26" t="str">
        <f>"147,8831"</f>
        <v>147,8831</v>
      </c>
      <c r="L6" s="26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32"/>
      <c r="K7" s="25"/>
      <c r="L7" s="25"/>
    </row>
    <row r="8" ht="14.25" customHeight="1">
      <c r="A8" s="30" t="s">
        <v>43</v>
      </c>
      <c r="L8" s="25"/>
    </row>
    <row r="9" ht="14.25" customHeight="1">
      <c r="A9" s="34" t="s">
        <v>44</v>
      </c>
      <c r="B9" s="34" t="s">
        <v>48</v>
      </c>
      <c r="C9" s="34" t="s">
        <v>49</v>
      </c>
      <c r="D9" s="34" t="str">
        <f>"1,1809"</f>
        <v>1,1809</v>
      </c>
      <c r="E9" s="34" t="s">
        <v>27</v>
      </c>
      <c r="F9" s="34" t="s">
        <v>50</v>
      </c>
      <c r="G9" s="34" t="s">
        <v>51</v>
      </c>
      <c r="H9" s="34" t="s">
        <v>53</v>
      </c>
      <c r="I9" s="37"/>
      <c r="J9" s="39">
        <v>142.5</v>
      </c>
      <c r="K9" s="34" t="str">
        <f>"168,2782"</f>
        <v>168,2782</v>
      </c>
      <c r="L9" s="34"/>
    </row>
    <row r="10" ht="14.25" customHeight="1">
      <c r="A10" s="41" t="s">
        <v>60</v>
      </c>
      <c r="B10" s="41" t="s">
        <v>63</v>
      </c>
      <c r="C10" s="41" t="s">
        <v>64</v>
      </c>
      <c r="D10" s="41" t="str">
        <f>"1,1922"</f>
        <v>1,1922</v>
      </c>
      <c r="E10" s="41" t="s">
        <v>27</v>
      </c>
      <c r="F10" s="43" t="s">
        <v>65</v>
      </c>
      <c r="G10" s="41" t="s">
        <v>72</v>
      </c>
      <c r="H10" s="41" t="s">
        <v>50</v>
      </c>
      <c r="I10" s="43"/>
      <c r="J10" s="44">
        <v>135.0</v>
      </c>
      <c r="K10" s="41" t="str">
        <f>"160,9470"</f>
        <v>160,9470</v>
      </c>
      <c r="L10" s="41"/>
    </row>
    <row r="1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32"/>
      <c r="K11" s="25"/>
      <c r="L11" s="25"/>
    </row>
    <row r="12" ht="14.25" customHeight="1">
      <c r="A12" s="30" t="s">
        <v>16</v>
      </c>
      <c r="L12" s="25"/>
    </row>
    <row r="13" ht="14.25" customHeight="1">
      <c r="A13" s="26" t="s">
        <v>77</v>
      </c>
      <c r="B13" s="26" t="s">
        <v>79</v>
      </c>
      <c r="C13" s="26" t="s">
        <v>81</v>
      </c>
      <c r="D13" s="26" t="str">
        <f>"1,1178"</f>
        <v>1,1178</v>
      </c>
      <c r="E13" s="26" t="s">
        <v>27</v>
      </c>
      <c r="F13" s="26" t="s">
        <v>32</v>
      </c>
      <c r="G13" s="26" t="s">
        <v>83</v>
      </c>
      <c r="H13" s="27" t="s">
        <v>65</v>
      </c>
      <c r="I13" s="27"/>
      <c r="J13" s="28">
        <v>120.0</v>
      </c>
      <c r="K13" s="26" t="str">
        <f>"134,1360"</f>
        <v>134,1360</v>
      </c>
      <c r="L13" s="26"/>
    </row>
    <row r="14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32"/>
      <c r="K14" s="25"/>
      <c r="L14" s="25"/>
    </row>
    <row r="15" ht="14.25" customHeight="1">
      <c r="A15" s="30" t="s">
        <v>88</v>
      </c>
      <c r="L15" s="25"/>
    </row>
    <row r="16" ht="14.25" customHeight="1">
      <c r="A16" s="34" t="s">
        <v>90</v>
      </c>
      <c r="B16" s="34" t="s">
        <v>91</v>
      </c>
      <c r="C16" s="34" t="s">
        <v>92</v>
      </c>
      <c r="D16" s="34" t="str">
        <f>"1,0561"</f>
        <v>1,0561</v>
      </c>
      <c r="E16" s="34" t="s">
        <v>27</v>
      </c>
      <c r="F16" s="34" t="s">
        <v>31</v>
      </c>
      <c r="G16" s="34" t="s">
        <v>93</v>
      </c>
      <c r="H16" s="37" t="s">
        <v>32</v>
      </c>
      <c r="I16" s="37"/>
      <c r="J16" s="39">
        <v>105.0</v>
      </c>
      <c r="K16" s="34" t="str">
        <f>"110,8905"</f>
        <v>110,8905</v>
      </c>
      <c r="L16" s="34"/>
    </row>
    <row r="17" ht="14.25" customHeight="1">
      <c r="A17" s="45" t="s">
        <v>94</v>
      </c>
      <c r="B17" s="45" t="s">
        <v>95</v>
      </c>
      <c r="C17" s="45" t="s">
        <v>96</v>
      </c>
      <c r="D17" s="45" t="str">
        <f>"1,1025"</f>
        <v>1,1025</v>
      </c>
      <c r="E17" s="45" t="s">
        <v>27</v>
      </c>
      <c r="F17" s="45" t="s">
        <v>50</v>
      </c>
      <c r="G17" s="45" t="s">
        <v>51</v>
      </c>
      <c r="H17" s="46" t="s">
        <v>98</v>
      </c>
      <c r="I17" s="46"/>
      <c r="J17" s="47">
        <v>140.0</v>
      </c>
      <c r="K17" s="45" t="str">
        <f>"154,3500"</f>
        <v>154,3500</v>
      </c>
      <c r="L17" s="45"/>
    </row>
    <row r="18" ht="14.25" customHeight="1">
      <c r="A18" s="45" t="s">
        <v>104</v>
      </c>
      <c r="B18" s="45" t="s">
        <v>105</v>
      </c>
      <c r="C18" s="45" t="s">
        <v>106</v>
      </c>
      <c r="D18" s="45" t="str">
        <f>"1,0484"</f>
        <v>1,0484</v>
      </c>
      <c r="E18" s="45" t="s">
        <v>27</v>
      </c>
      <c r="F18" s="45" t="s">
        <v>107</v>
      </c>
      <c r="G18" s="45" t="s">
        <v>65</v>
      </c>
      <c r="H18" s="45" t="s">
        <v>72</v>
      </c>
      <c r="I18" s="46"/>
      <c r="J18" s="47">
        <v>130.0</v>
      </c>
      <c r="K18" s="45" t="str">
        <f>"136,2920"</f>
        <v>136,2920</v>
      </c>
      <c r="L18" s="45"/>
    </row>
    <row r="19" ht="14.25" customHeight="1">
      <c r="A19" s="45" t="s">
        <v>110</v>
      </c>
      <c r="B19" s="45" t="s">
        <v>111</v>
      </c>
      <c r="C19" s="45" t="s">
        <v>112</v>
      </c>
      <c r="D19" s="45" t="str">
        <f>"1,0653"</f>
        <v>1,0653</v>
      </c>
      <c r="E19" s="45" t="s">
        <v>27</v>
      </c>
      <c r="F19" s="46" t="s">
        <v>113</v>
      </c>
      <c r="G19" s="46" t="s">
        <v>83</v>
      </c>
      <c r="H19" s="45" t="s">
        <v>114</v>
      </c>
      <c r="I19" s="46"/>
      <c r="J19" s="47">
        <v>122.5</v>
      </c>
      <c r="K19" s="45" t="str">
        <f>"130,4992"</f>
        <v>130,4992</v>
      </c>
      <c r="L19" s="45"/>
    </row>
    <row r="20" ht="14.25" customHeight="1">
      <c r="A20" s="41" t="s">
        <v>117</v>
      </c>
      <c r="B20" s="41" t="s">
        <v>118</v>
      </c>
      <c r="C20" s="41" t="s">
        <v>119</v>
      </c>
      <c r="D20" s="41" t="str">
        <f>"1,0530"</f>
        <v>1,0530</v>
      </c>
      <c r="E20" s="41" t="s">
        <v>27</v>
      </c>
      <c r="F20" s="41" t="s">
        <v>93</v>
      </c>
      <c r="G20" s="43" t="s">
        <v>113</v>
      </c>
      <c r="H20" s="41" t="s">
        <v>113</v>
      </c>
      <c r="I20" s="43"/>
      <c r="J20" s="44">
        <v>115.0</v>
      </c>
      <c r="K20" s="41" t="str">
        <f>"121,0950"</f>
        <v>121,0950</v>
      </c>
      <c r="L20" s="41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32"/>
      <c r="K21" s="25"/>
      <c r="L21" s="25"/>
    </row>
    <row r="22" ht="14.25" customHeight="1">
      <c r="A22" s="30" t="s">
        <v>124</v>
      </c>
      <c r="L22" s="25"/>
    </row>
    <row r="23" ht="14.25" customHeight="1">
      <c r="A23" s="41" t="s">
        <v>125</v>
      </c>
      <c r="B23" s="41" t="s">
        <v>126</v>
      </c>
      <c r="C23" s="41" t="s">
        <v>127</v>
      </c>
      <c r="D23" s="41" t="str">
        <f>"0,9942"</f>
        <v>0,9942</v>
      </c>
      <c r="E23" s="41" t="s">
        <v>27</v>
      </c>
      <c r="F23" s="41" t="s">
        <v>93</v>
      </c>
      <c r="G23" s="43" t="s">
        <v>32</v>
      </c>
      <c r="H23" s="43" t="s">
        <v>32</v>
      </c>
      <c r="I23" s="43"/>
      <c r="J23" s="44" t="s">
        <v>93</v>
      </c>
      <c r="K23" s="41" t="s">
        <v>128</v>
      </c>
      <c r="L23" s="41"/>
    </row>
    <row r="24" ht="14.25" customHeight="1">
      <c r="A24" s="34" t="s">
        <v>129</v>
      </c>
      <c r="B24" s="34" t="s">
        <v>130</v>
      </c>
      <c r="C24" s="34" t="s">
        <v>131</v>
      </c>
      <c r="D24" s="34" t="str">
        <f>"1,0024"</f>
        <v>1,0024</v>
      </c>
      <c r="E24" s="34" t="s">
        <v>27</v>
      </c>
      <c r="F24" s="37" t="s">
        <v>107</v>
      </c>
      <c r="G24" s="37" t="s">
        <v>132</v>
      </c>
      <c r="H24" s="37" t="s">
        <v>132</v>
      </c>
      <c r="I24" s="37"/>
      <c r="J24" s="39">
        <v>0.0</v>
      </c>
      <c r="K24" s="34" t="str">
        <f>"0,0000"</f>
        <v>0,0000</v>
      </c>
      <c r="L24" s="34"/>
    </row>
    <row r="25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32"/>
      <c r="K25" s="25"/>
      <c r="L25" s="25"/>
    </row>
    <row r="26" ht="14.25" customHeight="1">
      <c r="A26" s="30" t="s">
        <v>133</v>
      </c>
      <c r="L26" s="25"/>
    </row>
    <row r="27" ht="14.25" customHeight="1">
      <c r="A27" s="34" t="s">
        <v>134</v>
      </c>
      <c r="B27" s="34" t="s">
        <v>135</v>
      </c>
      <c r="C27" s="34" t="s">
        <v>136</v>
      </c>
      <c r="D27" s="34" t="str">
        <f>"0,9123"</f>
        <v>0,9123</v>
      </c>
      <c r="E27" s="34" t="s">
        <v>27</v>
      </c>
      <c r="F27" s="34" t="s">
        <v>51</v>
      </c>
      <c r="G27" s="34" t="s">
        <v>137</v>
      </c>
      <c r="H27" s="37" t="s">
        <v>138</v>
      </c>
      <c r="I27" s="37"/>
      <c r="J27" s="39">
        <v>147.5</v>
      </c>
      <c r="K27" s="34" t="str">
        <f>"134,5716"</f>
        <v>134,5716</v>
      </c>
      <c r="L27" s="34"/>
    </row>
    <row r="28" ht="14.25" customHeight="1">
      <c r="A28" s="45" t="s">
        <v>139</v>
      </c>
      <c r="B28" s="45" t="s">
        <v>140</v>
      </c>
      <c r="C28" s="45" t="s">
        <v>141</v>
      </c>
      <c r="D28" s="45" t="str">
        <f>"0,9768"</f>
        <v>0,9768</v>
      </c>
      <c r="E28" s="45" t="s">
        <v>27</v>
      </c>
      <c r="F28" s="46" t="s">
        <v>65</v>
      </c>
      <c r="G28" s="45" t="s">
        <v>65</v>
      </c>
      <c r="H28" s="46" t="s">
        <v>50</v>
      </c>
      <c r="I28" s="46"/>
      <c r="J28" s="47">
        <v>125.0</v>
      </c>
      <c r="K28" s="45" t="str">
        <f>"122,1026"</f>
        <v>122,1026</v>
      </c>
      <c r="L28" s="45"/>
    </row>
    <row r="29" ht="14.25" customHeight="1">
      <c r="A29" s="45" t="s">
        <v>142</v>
      </c>
      <c r="B29" s="45" t="s">
        <v>143</v>
      </c>
      <c r="C29" s="45" t="s">
        <v>144</v>
      </c>
      <c r="D29" s="45" t="str">
        <f>"0,9997"</f>
        <v>0,9997</v>
      </c>
      <c r="E29" s="45" t="s">
        <v>27</v>
      </c>
      <c r="F29" s="45" t="s">
        <v>98</v>
      </c>
      <c r="G29" s="45" t="s">
        <v>145</v>
      </c>
      <c r="H29" s="46" t="s">
        <v>138</v>
      </c>
      <c r="I29" s="46"/>
      <c r="J29" s="47">
        <v>152.5</v>
      </c>
      <c r="K29" s="45" t="str">
        <f>"152,4537"</f>
        <v>152,4537</v>
      </c>
      <c r="L29" s="45"/>
    </row>
    <row r="30" ht="14.25" customHeight="1">
      <c r="A30" s="41" t="s">
        <v>134</v>
      </c>
      <c r="B30" s="41" t="s">
        <v>146</v>
      </c>
      <c r="C30" s="41" t="s">
        <v>136</v>
      </c>
      <c r="D30" s="41" t="str">
        <f>"0,9625"</f>
        <v>0,9625</v>
      </c>
      <c r="E30" s="41" t="s">
        <v>27</v>
      </c>
      <c r="F30" s="41" t="s">
        <v>51</v>
      </c>
      <c r="G30" s="41" t="s">
        <v>137</v>
      </c>
      <c r="H30" s="43" t="s">
        <v>138</v>
      </c>
      <c r="I30" s="43"/>
      <c r="J30" s="44">
        <v>147.5</v>
      </c>
      <c r="K30" s="41" t="str">
        <f>"141,9731"</f>
        <v>141,9731</v>
      </c>
      <c r="L30" s="41"/>
    </row>
    <row r="3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32"/>
      <c r="K31" s="25"/>
      <c r="L31" s="25"/>
    </row>
    <row r="32" ht="14.25" customHeight="1">
      <c r="A32" s="30" t="s">
        <v>147</v>
      </c>
      <c r="L32" s="25"/>
    </row>
    <row r="33" ht="14.25" customHeight="1">
      <c r="A33" s="34" t="s">
        <v>148</v>
      </c>
      <c r="B33" s="34" t="s">
        <v>149</v>
      </c>
      <c r="C33" s="34" t="s">
        <v>150</v>
      </c>
      <c r="D33" s="34" t="str">
        <f>"0,8945"</f>
        <v>0,8945</v>
      </c>
      <c r="E33" s="34" t="s">
        <v>27</v>
      </c>
      <c r="F33" s="37" t="s">
        <v>32</v>
      </c>
      <c r="G33" s="34" t="s">
        <v>83</v>
      </c>
      <c r="H33" s="37" t="s">
        <v>72</v>
      </c>
      <c r="I33" s="37"/>
      <c r="J33" s="39">
        <v>120.0</v>
      </c>
      <c r="K33" s="34" t="str">
        <f>"107,3400"</f>
        <v>107,3400</v>
      </c>
      <c r="L33" s="34"/>
    </row>
    <row r="34" ht="14.25" customHeight="1">
      <c r="A34" s="41" t="s">
        <v>151</v>
      </c>
      <c r="B34" s="41" t="s">
        <v>152</v>
      </c>
      <c r="C34" s="41" t="s">
        <v>153</v>
      </c>
      <c r="D34" s="41" t="str">
        <f>"0,8491"</f>
        <v>0,8491</v>
      </c>
      <c r="E34" s="41" t="s">
        <v>27</v>
      </c>
      <c r="F34" s="41" t="s">
        <v>65</v>
      </c>
      <c r="G34" s="43" t="s">
        <v>50</v>
      </c>
      <c r="H34" s="41" t="s">
        <v>50</v>
      </c>
      <c r="I34" s="43"/>
      <c r="J34" s="44">
        <v>135.0</v>
      </c>
      <c r="K34" s="41" t="str">
        <f>"114,6285"</f>
        <v>114,6285</v>
      </c>
      <c r="L34" s="41"/>
    </row>
    <row r="35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32"/>
      <c r="K35" s="25"/>
      <c r="L35" s="25"/>
    </row>
    <row r="36" ht="14.25" customHeight="1">
      <c r="A36" s="30" t="s">
        <v>34</v>
      </c>
      <c r="L36" s="25"/>
    </row>
    <row r="37" ht="14.25" customHeight="1">
      <c r="A37" s="26" t="s">
        <v>154</v>
      </c>
      <c r="B37" s="26" t="s">
        <v>155</v>
      </c>
      <c r="C37" s="26" t="s">
        <v>156</v>
      </c>
      <c r="D37" s="26" t="str">
        <f>"0,7814"</f>
        <v>0,7814</v>
      </c>
      <c r="E37" s="26" t="s">
        <v>27</v>
      </c>
      <c r="F37" s="26" t="s">
        <v>72</v>
      </c>
      <c r="G37" s="26" t="s">
        <v>50</v>
      </c>
      <c r="H37" s="26" t="s">
        <v>51</v>
      </c>
      <c r="I37" s="27"/>
      <c r="J37" s="28">
        <v>140.0</v>
      </c>
      <c r="K37" s="26" t="str">
        <f>"109,3890"</f>
        <v>109,3890</v>
      </c>
      <c r="L37" s="26"/>
    </row>
    <row r="38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32"/>
      <c r="K38" s="25"/>
      <c r="L38" s="25"/>
    </row>
    <row r="39" ht="14.25" customHeight="1">
      <c r="A39" s="30" t="s">
        <v>16</v>
      </c>
      <c r="L39" s="25"/>
    </row>
    <row r="40" ht="14.25" customHeight="1">
      <c r="A40" s="26" t="s">
        <v>157</v>
      </c>
      <c r="B40" s="26" t="s">
        <v>158</v>
      </c>
      <c r="C40" s="26" t="s">
        <v>159</v>
      </c>
      <c r="D40" s="26" t="str">
        <f>"1,3243"</f>
        <v>1,3243</v>
      </c>
      <c r="E40" s="26" t="s">
        <v>27</v>
      </c>
      <c r="F40" s="27" t="s">
        <v>55</v>
      </c>
      <c r="G40" s="27"/>
      <c r="H40" s="27"/>
      <c r="I40" s="27"/>
      <c r="J40" s="28">
        <v>0.0</v>
      </c>
      <c r="K40" s="26" t="str">
        <f>"0,0000"</f>
        <v>0,0000</v>
      </c>
      <c r="L40" s="26"/>
    </row>
    <row r="4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32"/>
      <c r="K41" s="25"/>
      <c r="L41" s="25"/>
    </row>
    <row r="42" ht="14.25" customHeight="1">
      <c r="A42" s="30" t="s">
        <v>133</v>
      </c>
      <c r="L42" s="25"/>
    </row>
    <row r="43" ht="14.25" customHeight="1">
      <c r="A43" s="34" t="s">
        <v>160</v>
      </c>
      <c r="B43" s="34" t="s">
        <v>161</v>
      </c>
      <c r="C43" s="34" t="s">
        <v>162</v>
      </c>
      <c r="D43" s="34" t="str">
        <f>"0,7743"</f>
        <v>0,7743</v>
      </c>
      <c r="E43" s="34" t="s">
        <v>27</v>
      </c>
      <c r="F43" s="34" t="s">
        <v>52</v>
      </c>
      <c r="G43" s="34" t="s">
        <v>163</v>
      </c>
      <c r="H43" s="37" t="s">
        <v>54</v>
      </c>
      <c r="I43" s="37"/>
      <c r="J43" s="39">
        <v>190.0</v>
      </c>
      <c r="K43" s="34" t="str">
        <f>"147,1170"</f>
        <v>147,1170</v>
      </c>
      <c r="L43" s="34"/>
    </row>
    <row r="44" ht="14.25" customHeight="1">
      <c r="A44" s="41" t="s">
        <v>164</v>
      </c>
      <c r="B44" s="41" t="s">
        <v>165</v>
      </c>
      <c r="C44" s="41" t="s">
        <v>166</v>
      </c>
      <c r="D44" s="41" t="str">
        <f>"0,7561"</f>
        <v>0,7561</v>
      </c>
      <c r="E44" s="41" t="s">
        <v>27</v>
      </c>
      <c r="F44" s="41" t="s">
        <v>167</v>
      </c>
      <c r="G44" s="43" t="s">
        <v>71</v>
      </c>
      <c r="H44" s="43" t="s">
        <v>168</v>
      </c>
      <c r="I44" s="43"/>
      <c r="J44" s="44" t="s">
        <v>169</v>
      </c>
      <c r="K44" s="41" t="s">
        <v>170</v>
      </c>
      <c r="L44" s="41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32"/>
      <c r="K45" s="25"/>
      <c r="L45" s="25"/>
    </row>
    <row r="46" ht="14.25" customHeight="1">
      <c r="A46" s="30" t="s">
        <v>147</v>
      </c>
      <c r="L46" s="25"/>
    </row>
    <row r="47" ht="14.25" customHeight="1">
      <c r="A47" s="34" t="s">
        <v>171</v>
      </c>
      <c r="B47" s="34" t="s">
        <v>172</v>
      </c>
      <c r="C47" s="34" t="s">
        <v>173</v>
      </c>
      <c r="D47" s="34" t="str">
        <f>"0,6998"</f>
        <v>0,6998</v>
      </c>
      <c r="E47" s="34" t="s">
        <v>27</v>
      </c>
      <c r="F47" s="37" t="s">
        <v>55</v>
      </c>
      <c r="G47" s="34" t="s">
        <v>174</v>
      </c>
      <c r="H47" s="34" t="s">
        <v>76</v>
      </c>
      <c r="I47" s="37"/>
      <c r="J47" s="39">
        <v>240.0</v>
      </c>
      <c r="K47" s="34" t="str">
        <f>"167,9400"</f>
        <v>167,9400</v>
      </c>
      <c r="L47" s="34"/>
    </row>
    <row r="48" ht="14.25" customHeight="1">
      <c r="A48" s="45" t="s">
        <v>175</v>
      </c>
      <c r="B48" s="45" t="s">
        <v>176</v>
      </c>
      <c r="C48" s="45" t="s">
        <v>177</v>
      </c>
      <c r="D48" s="45" t="str">
        <f>"0,6892"</f>
        <v>0,6892</v>
      </c>
      <c r="E48" s="45" t="s">
        <v>27</v>
      </c>
      <c r="F48" s="45" t="s">
        <v>178</v>
      </c>
      <c r="G48" s="46" t="s">
        <v>179</v>
      </c>
      <c r="H48" s="46" t="s">
        <v>180</v>
      </c>
      <c r="I48" s="46"/>
      <c r="J48" s="47" t="s">
        <v>178</v>
      </c>
      <c r="K48" s="45" t="s">
        <v>181</v>
      </c>
      <c r="L48" s="45"/>
    </row>
    <row r="49" ht="14.25" customHeight="1">
      <c r="A49" s="45" t="s">
        <v>182</v>
      </c>
      <c r="B49" s="45" t="s">
        <v>183</v>
      </c>
      <c r="C49" s="45" t="s">
        <v>184</v>
      </c>
      <c r="D49" s="45" t="str">
        <f>"0,7134"</f>
        <v>0,7134</v>
      </c>
      <c r="E49" s="45" t="s">
        <v>27</v>
      </c>
      <c r="F49" s="45" t="s">
        <v>54</v>
      </c>
      <c r="G49" s="45" t="s">
        <v>185</v>
      </c>
      <c r="H49" s="45" t="s">
        <v>28</v>
      </c>
      <c r="I49" s="46"/>
      <c r="J49" s="47">
        <v>225.0</v>
      </c>
      <c r="K49" s="45" t="str">
        <f>"160,5151"</f>
        <v>160,5151</v>
      </c>
      <c r="L49" s="45"/>
    </row>
    <row r="50" ht="14.25" customHeight="1">
      <c r="A50" s="45" t="s">
        <v>186</v>
      </c>
      <c r="B50" s="45" t="s">
        <v>187</v>
      </c>
      <c r="C50" s="45" t="s">
        <v>188</v>
      </c>
      <c r="D50" s="45" t="str">
        <f>"0,7637"</f>
        <v>0,7637</v>
      </c>
      <c r="E50" s="45" t="s">
        <v>27</v>
      </c>
      <c r="F50" s="45" t="s">
        <v>52</v>
      </c>
      <c r="G50" s="45" t="s">
        <v>189</v>
      </c>
      <c r="H50" s="46" t="s">
        <v>163</v>
      </c>
      <c r="I50" s="46"/>
      <c r="J50" s="47">
        <v>185.0</v>
      </c>
      <c r="K50" s="45" t="str">
        <f>"141,2802"</f>
        <v>141,2802</v>
      </c>
      <c r="L50" s="45" t="s">
        <v>190</v>
      </c>
    </row>
    <row r="51" ht="14.25" customHeight="1">
      <c r="A51" s="45" t="s">
        <v>191</v>
      </c>
      <c r="B51" s="45" t="s">
        <v>192</v>
      </c>
      <c r="C51" s="45" t="s">
        <v>193</v>
      </c>
      <c r="D51" s="45" t="str">
        <f>"0,7891"</f>
        <v>0,7891</v>
      </c>
      <c r="E51" s="45" t="s">
        <v>27</v>
      </c>
      <c r="F51" s="45" t="s">
        <v>89</v>
      </c>
      <c r="G51" s="45" t="s">
        <v>52</v>
      </c>
      <c r="H51" s="46" t="s">
        <v>163</v>
      </c>
      <c r="I51" s="46"/>
      <c r="J51" s="47">
        <v>180.0</v>
      </c>
      <c r="K51" s="45" t="str">
        <f>"142,0342"</f>
        <v>142,0342</v>
      </c>
      <c r="L51" s="45"/>
    </row>
    <row r="52" ht="14.25" customHeight="1">
      <c r="A52" s="45" t="s">
        <v>194</v>
      </c>
      <c r="B52" s="45" t="s">
        <v>195</v>
      </c>
      <c r="C52" s="45" t="s">
        <v>196</v>
      </c>
      <c r="D52" s="45" t="str">
        <f>"0,8665"</f>
        <v>0,8665</v>
      </c>
      <c r="E52" s="45" t="s">
        <v>27</v>
      </c>
      <c r="F52" s="45" t="s">
        <v>197</v>
      </c>
      <c r="G52" s="45" t="s">
        <v>189</v>
      </c>
      <c r="H52" s="46" t="s">
        <v>178</v>
      </c>
      <c r="I52" s="46"/>
      <c r="J52" s="47">
        <v>185.0</v>
      </c>
      <c r="K52" s="45" t="str">
        <f>"160,3082"</f>
        <v>160,3082</v>
      </c>
      <c r="L52" s="45"/>
    </row>
    <row r="53" ht="14.25" customHeight="1">
      <c r="A53" s="45" t="s">
        <v>198</v>
      </c>
      <c r="B53" s="45" t="s">
        <v>199</v>
      </c>
      <c r="C53" s="45" t="s">
        <v>200</v>
      </c>
      <c r="D53" s="45" t="str">
        <f>"1,2685"</f>
        <v>1,2685</v>
      </c>
      <c r="E53" s="45" t="s">
        <v>27</v>
      </c>
      <c r="F53" s="45" t="s">
        <v>69</v>
      </c>
      <c r="G53" s="45" t="s">
        <v>138</v>
      </c>
      <c r="H53" s="45" t="s">
        <v>201</v>
      </c>
      <c r="I53" s="46"/>
      <c r="J53" s="47">
        <v>162.5</v>
      </c>
      <c r="K53" s="45" t="str">
        <f>"206,1289"</f>
        <v>206,1289</v>
      </c>
      <c r="L53" s="45"/>
    </row>
    <row r="54" ht="14.25" customHeight="1">
      <c r="A54" s="41" t="s">
        <v>202</v>
      </c>
      <c r="B54" s="41" t="s">
        <v>203</v>
      </c>
      <c r="C54" s="41" t="s">
        <v>204</v>
      </c>
      <c r="D54" s="41" t="str">
        <f>"1,2057"</f>
        <v>1,2057</v>
      </c>
      <c r="E54" s="41" t="s">
        <v>27</v>
      </c>
      <c r="F54" s="41" t="s">
        <v>51</v>
      </c>
      <c r="G54" s="43" t="s">
        <v>69</v>
      </c>
      <c r="H54" s="41" t="s">
        <v>70</v>
      </c>
      <c r="I54" s="43"/>
      <c r="J54" s="44">
        <v>160.0</v>
      </c>
      <c r="K54" s="41" t="str">
        <f>"192,9115"</f>
        <v>192,9115</v>
      </c>
      <c r="L54" s="41"/>
    </row>
    <row r="55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32"/>
      <c r="K55" s="25"/>
      <c r="L55" s="25"/>
    </row>
    <row r="56" ht="14.25" customHeight="1">
      <c r="A56" s="30" t="s">
        <v>205</v>
      </c>
      <c r="L56" s="25"/>
    </row>
    <row r="57" ht="14.25" customHeight="1">
      <c r="A57" s="34" t="s">
        <v>206</v>
      </c>
      <c r="B57" s="34" t="s">
        <v>207</v>
      </c>
      <c r="C57" s="34" t="s">
        <v>208</v>
      </c>
      <c r="D57" s="34" t="str">
        <f>"0,6567"</f>
        <v>0,6567</v>
      </c>
      <c r="E57" s="34" t="s">
        <v>27</v>
      </c>
      <c r="F57" s="37" t="s">
        <v>167</v>
      </c>
      <c r="G57" s="34" t="s">
        <v>71</v>
      </c>
      <c r="H57" s="34" t="s">
        <v>209</v>
      </c>
      <c r="I57" s="34" t="s">
        <v>210</v>
      </c>
      <c r="J57" s="39">
        <v>185.0</v>
      </c>
      <c r="K57" s="34" t="str">
        <f>"121,4895"</f>
        <v>121,4895</v>
      </c>
      <c r="L57" s="34"/>
    </row>
    <row r="58" ht="14.25" customHeight="1">
      <c r="A58" s="45" t="s">
        <v>211</v>
      </c>
      <c r="B58" s="45" t="s">
        <v>212</v>
      </c>
      <c r="C58" s="45" t="s">
        <v>213</v>
      </c>
      <c r="D58" s="45" t="str">
        <f>"0,6487"</f>
        <v>0,6487</v>
      </c>
      <c r="E58" s="45" t="s">
        <v>27</v>
      </c>
      <c r="F58" s="46" t="s">
        <v>29</v>
      </c>
      <c r="G58" s="46" t="s">
        <v>29</v>
      </c>
      <c r="H58" s="46" t="s">
        <v>29</v>
      </c>
      <c r="I58" s="46"/>
      <c r="J58" s="47">
        <v>0.0</v>
      </c>
      <c r="K58" s="45" t="str">
        <f>"0,0000"</f>
        <v>0,0000</v>
      </c>
      <c r="L58" s="45"/>
    </row>
    <row r="59" ht="14.25" customHeight="1">
      <c r="A59" s="45" t="s">
        <v>214</v>
      </c>
      <c r="B59" s="45" t="s">
        <v>215</v>
      </c>
      <c r="C59" s="45" t="s">
        <v>216</v>
      </c>
      <c r="D59" s="45" t="str">
        <f>"0,6676"</f>
        <v>0,6676</v>
      </c>
      <c r="E59" s="45" t="s">
        <v>27</v>
      </c>
      <c r="F59" s="45" t="s">
        <v>217</v>
      </c>
      <c r="G59" s="45" t="s">
        <v>189</v>
      </c>
      <c r="H59" s="46" t="s">
        <v>218</v>
      </c>
      <c r="I59" s="46"/>
      <c r="J59" s="47">
        <v>185.0</v>
      </c>
      <c r="K59" s="45" t="str">
        <f>"123,5060"</f>
        <v>123,5060</v>
      </c>
      <c r="L59" s="45"/>
    </row>
    <row r="60" ht="14.25" customHeight="1">
      <c r="A60" s="41" t="s">
        <v>219</v>
      </c>
      <c r="B60" s="41" t="s">
        <v>220</v>
      </c>
      <c r="C60" s="41" t="s">
        <v>221</v>
      </c>
      <c r="D60" s="41" t="str">
        <f>"0,6670"</f>
        <v>0,6670</v>
      </c>
      <c r="E60" s="41" t="s">
        <v>27</v>
      </c>
      <c r="F60" s="41" t="s">
        <v>54</v>
      </c>
      <c r="G60" s="41" t="s">
        <v>222</v>
      </c>
      <c r="H60" s="41" t="s">
        <v>223</v>
      </c>
      <c r="I60" s="43"/>
      <c r="J60" s="44">
        <v>207.5</v>
      </c>
      <c r="K60" s="41" t="str">
        <f>"138,4025"</f>
        <v>138,4025</v>
      </c>
      <c r="L60" s="41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32"/>
      <c r="K61" s="25"/>
      <c r="L61" s="25"/>
    </row>
    <row r="62" ht="14.25" customHeight="1">
      <c r="A62" s="30" t="s">
        <v>34</v>
      </c>
      <c r="L62" s="25"/>
    </row>
    <row r="63" ht="14.25" customHeight="1">
      <c r="A63" s="34" t="s">
        <v>224</v>
      </c>
      <c r="B63" s="34" t="s">
        <v>225</v>
      </c>
      <c r="C63" s="34" t="s">
        <v>68</v>
      </c>
      <c r="D63" s="34" t="str">
        <f>"0,6259"</f>
        <v>0,6259</v>
      </c>
      <c r="E63" s="34" t="s">
        <v>226</v>
      </c>
      <c r="F63" s="34" t="s">
        <v>76</v>
      </c>
      <c r="G63" s="34" t="s">
        <v>227</v>
      </c>
      <c r="H63" s="37" t="s">
        <v>228</v>
      </c>
      <c r="I63" s="37"/>
      <c r="J63" s="39">
        <v>250.0</v>
      </c>
      <c r="K63" s="34" t="str">
        <f>"156,4875"</f>
        <v>156,4875</v>
      </c>
      <c r="L63" s="34"/>
    </row>
    <row r="64" ht="14.25" customHeight="1">
      <c r="A64" s="45" t="s">
        <v>229</v>
      </c>
      <c r="B64" s="45" t="s">
        <v>230</v>
      </c>
      <c r="C64" s="45" t="s">
        <v>47</v>
      </c>
      <c r="D64" s="45" t="str">
        <f>"0,6188"</f>
        <v>0,6188</v>
      </c>
      <c r="E64" s="45" t="s">
        <v>27</v>
      </c>
      <c r="F64" s="45" t="s">
        <v>231</v>
      </c>
      <c r="G64" s="45" t="s">
        <v>78</v>
      </c>
      <c r="H64" s="46" t="s">
        <v>80</v>
      </c>
      <c r="I64" s="46"/>
      <c r="J64" s="47">
        <v>255.0</v>
      </c>
      <c r="K64" s="45" t="str">
        <f>"157,8067"</f>
        <v>157,8067</v>
      </c>
      <c r="L64" s="45"/>
    </row>
    <row r="65" ht="14.25" customHeight="1">
      <c r="A65" s="45" t="s">
        <v>41</v>
      </c>
      <c r="B65" s="45" t="s">
        <v>46</v>
      </c>
      <c r="C65" s="45" t="s">
        <v>232</v>
      </c>
      <c r="D65" s="45" t="str">
        <f>"0,6209"</f>
        <v>0,6209</v>
      </c>
      <c r="E65" s="45" t="s">
        <v>27</v>
      </c>
      <c r="F65" s="45" t="s">
        <v>163</v>
      </c>
      <c r="G65" s="45" t="s">
        <v>180</v>
      </c>
      <c r="H65" s="45" t="s">
        <v>28</v>
      </c>
      <c r="I65" s="46"/>
      <c r="J65" s="47">
        <v>225.0</v>
      </c>
      <c r="K65" s="45" t="str">
        <f>"139,7025"</f>
        <v>139,7025</v>
      </c>
      <c r="L65" s="45"/>
    </row>
    <row r="66" ht="14.25" customHeight="1">
      <c r="A66" s="45" t="s">
        <v>233</v>
      </c>
      <c r="B66" s="45" t="s">
        <v>234</v>
      </c>
      <c r="C66" s="45" t="s">
        <v>235</v>
      </c>
      <c r="D66" s="45" t="str">
        <f>"0,6222"</f>
        <v>0,6222</v>
      </c>
      <c r="E66" s="45" t="s">
        <v>27</v>
      </c>
      <c r="F66" s="45" t="s">
        <v>76</v>
      </c>
      <c r="G66" s="46" t="s">
        <v>236</v>
      </c>
      <c r="H66" s="46" t="s">
        <v>78</v>
      </c>
      <c r="I66" s="46"/>
      <c r="J66" s="47" t="s">
        <v>237</v>
      </c>
      <c r="K66" s="45" t="s">
        <v>238</v>
      </c>
      <c r="L66" s="45"/>
    </row>
    <row r="67" ht="14.25" customHeight="1">
      <c r="A67" s="41" t="s">
        <v>239</v>
      </c>
      <c r="B67" s="41" t="s">
        <v>240</v>
      </c>
      <c r="C67" s="41" t="s">
        <v>241</v>
      </c>
      <c r="D67" s="41" t="str">
        <f>"0,6966"</f>
        <v>0,6966</v>
      </c>
      <c r="E67" s="41" t="s">
        <v>242</v>
      </c>
      <c r="F67" s="41" t="s">
        <v>222</v>
      </c>
      <c r="G67" s="43" t="s">
        <v>180</v>
      </c>
      <c r="H67" s="43" t="s">
        <v>180</v>
      </c>
      <c r="I67" s="43"/>
      <c r="J67" s="44">
        <v>205.0</v>
      </c>
      <c r="K67" s="41" t="str">
        <f>"142,8006"</f>
        <v>142,8006</v>
      </c>
      <c r="L67" s="41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32"/>
      <c r="K68" s="25"/>
      <c r="L68" s="25"/>
    </row>
    <row r="69" ht="14.25" customHeight="1">
      <c r="A69" s="30" t="s">
        <v>15</v>
      </c>
      <c r="L69" s="25"/>
    </row>
    <row r="70" ht="14.25" customHeight="1">
      <c r="A70" s="34" t="s">
        <v>243</v>
      </c>
      <c r="B70" s="34" t="s">
        <v>244</v>
      </c>
      <c r="C70" s="34" t="s">
        <v>245</v>
      </c>
      <c r="D70" s="34" t="str">
        <f>"0,5929"</f>
        <v>0,5929</v>
      </c>
      <c r="E70" s="34" t="s">
        <v>27</v>
      </c>
      <c r="F70" s="34" t="s">
        <v>70</v>
      </c>
      <c r="G70" s="34" t="s">
        <v>89</v>
      </c>
      <c r="H70" s="34" t="s">
        <v>52</v>
      </c>
      <c r="I70" s="37"/>
      <c r="J70" s="39">
        <v>180.0</v>
      </c>
      <c r="K70" s="34" t="str">
        <f>"106,7130"</f>
        <v>106,7130</v>
      </c>
      <c r="L70" s="34"/>
    </row>
    <row r="71" ht="14.25" customHeight="1">
      <c r="A71" s="45" t="s">
        <v>246</v>
      </c>
      <c r="B71" s="45" t="s">
        <v>247</v>
      </c>
      <c r="C71" s="45" t="s">
        <v>248</v>
      </c>
      <c r="D71" s="45" t="str">
        <f>"0,5843"</f>
        <v>0,5843</v>
      </c>
      <c r="E71" s="45" t="s">
        <v>249</v>
      </c>
      <c r="F71" s="45" t="s">
        <v>227</v>
      </c>
      <c r="G71" s="45" t="s">
        <v>228</v>
      </c>
      <c r="H71" s="46" t="s">
        <v>250</v>
      </c>
      <c r="I71" s="46"/>
      <c r="J71" s="47">
        <v>260.0</v>
      </c>
      <c r="K71" s="45" t="str">
        <f>"151,9180"</f>
        <v>151,9180</v>
      </c>
      <c r="L71" s="45"/>
    </row>
    <row r="72" ht="14.25" customHeight="1">
      <c r="A72" s="45" t="s">
        <v>251</v>
      </c>
      <c r="B72" s="45" t="s">
        <v>252</v>
      </c>
      <c r="C72" s="45" t="s">
        <v>253</v>
      </c>
      <c r="D72" s="45" t="str">
        <f>"0,6029"</f>
        <v>0,6029</v>
      </c>
      <c r="E72" s="45" t="s">
        <v>27</v>
      </c>
      <c r="F72" s="45" t="s">
        <v>218</v>
      </c>
      <c r="G72" s="45" t="s">
        <v>178</v>
      </c>
      <c r="H72" s="46" t="s">
        <v>179</v>
      </c>
      <c r="I72" s="46"/>
      <c r="J72" s="47">
        <v>202.5</v>
      </c>
      <c r="K72" s="45" t="str">
        <f>"122,0974"</f>
        <v>122,0974</v>
      </c>
      <c r="L72" s="45"/>
    </row>
    <row r="73" ht="14.25" customHeight="1">
      <c r="A73" s="45" t="s">
        <v>254</v>
      </c>
      <c r="B73" s="45" t="s">
        <v>255</v>
      </c>
      <c r="C73" s="45" t="s">
        <v>22</v>
      </c>
      <c r="D73" s="45" t="str">
        <f>"0,6330"</f>
        <v>0,6330</v>
      </c>
      <c r="E73" s="45" t="s">
        <v>27</v>
      </c>
      <c r="F73" s="46" t="s">
        <v>179</v>
      </c>
      <c r="G73" s="45" t="s">
        <v>179</v>
      </c>
      <c r="H73" s="45" t="s">
        <v>180</v>
      </c>
      <c r="I73" s="46"/>
      <c r="J73" s="47">
        <v>215.0</v>
      </c>
      <c r="K73" s="45" t="str">
        <f>"136,1002"</f>
        <v>136,1002</v>
      </c>
      <c r="L73" s="45"/>
    </row>
    <row r="74" ht="14.25" customHeight="1">
      <c r="A74" s="45" t="s">
        <v>256</v>
      </c>
      <c r="B74" s="45" t="s">
        <v>257</v>
      </c>
      <c r="C74" s="45" t="s">
        <v>258</v>
      </c>
      <c r="D74" s="45" t="str">
        <f>"0,7578"</f>
        <v>0,7578</v>
      </c>
      <c r="E74" s="45" t="s">
        <v>259</v>
      </c>
      <c r="F74" s="45" t="s">
        <v>174</v>
      </c>
      <c r="G74" s="45" t="s">
        <v>260</v>
      </c>
      <c r="H74" s="45" t="s">
        <v>261</v>
      </c>
      <c r="I74" s="45" t="s">
        <v>262</v>
      </c>
      <c r="J74" s="47">
        <v>240.0</v>
      </c>
      <c r="K74" s="45" t="str">
        <f>"181,8606"</f>
        <v>181,8606</v>
      </c>
      <c r="L74" s="45"/>
    </row>
    <row r="75" ht="14.25" customHeight="1">
      <c r="A75" s="41" t="s">
        <v>263</v>
      </c>
      <c r="B75" s="41" t="s">
        <v>264</v>
      </c>
      <c r="C75" s="41" t="s">
        <v>265</v>
      </c>
      <c r="D75" s="41" t="str">
        <f>"0,8756"</f>
        <v>0,8756</v>
      </c>
      <c r="E75" s="41" t="s">
        <v>27</v>
      </c>
      <c r="F75" s="41" t="s">
        <v>69</v>
      </c>
      <c r="G75" s="41" t="s">
        <v>54</v>
      </c>
      <c r="H75" s="43"/>
      <c r="I75" s="43"/>
      <c r="J75" s="44">
        <v>200.0</v>
      </c>
      <c r="K75" s="41" t="str">
        <f>"175,1284"</f>
        <v>175,1284</v>
      </c>
      <c r="L75" s="41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32"/>
      <c r="K76" s="25"/>
      <c r="L76" s="25"/>
    </row>
    <row r="77" ht="14.25" customHeight="1">
      <c r="A77" s="30" t="s">
        <v>266</v>
      </c>
      <c r="L77" s="25"/>
    </row>
    <row r="78" ht="14.25" customHeight="1">
      <c r="A78" s="34" t="s">
        <v>267</v>
      </c>
      <c r="B78" s="34" t="s">
        <v>268</v>
      </c>
      <c r="C78" s="34" t="s">
        <v>269</v>
      </c>
      <c r="D78" s="34" t="str">
        <f>"0,5674"</f>
        <v>0,5674</v>
      </c>
      <c r="E78" s="34" t="s">
        <v>27</v>
      </c>
      <c r="F78" s="34" t="s">
        <v>76</v>
      </c>
      <c r="G78" s="34" t="s">
        <v>227</v>
      </c>
      <c r="H78" s="37" t="s">
        <v>78</v>
      </c>
      <c r="I78" s="37"/>
      <c r="J78" s="39">
        <v>250.0</v>
      </c>
      <c r="K78" s="34" t="str">
        <f>"141,8625"</f>
        <v>141,8625</v>
      </c>
      <c r="L78" s="34"/>
    </row>
    <row r="79" ht="14.25" customHeight="1">
      <c r="A79" s="45" t="s">
        <v>270</v>
      </c>
      <c r="B79" s="45" t="s">
        <v>271</v>
      </c>
      <c r="C79" s="45" t="s">
        <v>272</v>
      </c>
      <c r="D79" s="45" t="str">
        <f>"0,5806"</f>
        <v>0,5806</v>
      </c>
      <c r="E79" s="45" t="s">
        <v>27</v>
      </c>
      <c r="F79" s="46" t="s">
        <v>55</v>
      </c>
      <c r="G79" s="46"/>
      <c r="H79" s="46"/>
      <c r="I79" s="46"/>
      <c r="J79" s="47">
        <v>0.0</v>
      </c>
      <c r="K79" s="45" t="str">
        <f>"0,0000"</f>
        <v>0,0000</v>
      </c>
      <c r="L79" s="45"/>
    </row>
    <row r="80" ht="14.25" customHeight="1">
      <c r="A80" s="41" t="s">
        <v>273</v>
      </c>
      <c r="B80" s="41" t="s">
        <v>274</v>
      </c>
      <c r="C80" s="41" t="s">
        <v>275</v>
      </c>
      <c r="D80" s="41" t="str">
        <f>"0,7076"</f>
        <v>0,7076</v>
      </c>
      <c r="E80" s="41" t="s">
        <v>27</v>
      </c>
      <c r="F80" s="43" t="s">
        <v>89</v>
      </c>
      <c r="G80" s="41" t="s">
        <v>52</v>
      </c>
      <c r="H80" s="41" t="s">
        <v>54</v>
      </c>
      <c r="I80" s="43"/>
      <c r="J80" s="44">
        <v>200.0</v>
      </c>
      <c r="K80" s="41" t="str">
        <f>"141,5120"</f>
        <v>141,5120</v>
      </c>
      <c r="L80" s="41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32"/>
      <c r="K81" s="25"/>
      <c r="L81" s="25"/>
    </row>
    <row r="82" ht="14.25" customHeight="1">
      <c r="A82" s="30" t="s">
        <v>276</v>
      </c>
      <c r="L82" s="25"/>
    </row>
    <row r="83" ht="14.25" customHeight="1">
      <c r="A83" s="26" t="s">
        <v>277</v>
      </c>
      <c r="B83" s="26" t="s">
        <v>278</v>
      </c>
      <c r="C83" s="26" t="s">
        <v>279</v>
      </c>
      <c r="D83" s="26" t="str">
        <f>"0,5502"</f>
        <v>0,5502</v>
      </c>
      <c r="E83" s="26" t="s">
        <v>27</v>
      </c>
      <c r="F83" s="26" t="s">
        <v>180</v>
      </c>
      <c r="G83" s="27" t="s">
        <v>231</v>
      </c>
      <c r="H83" s="27" t="s">
        <v>231</v>
      </c>
      <c r="I83" s="27"/>
      <c r="J83" s="28" t="s">
        <v>280</v>
      </c>
      <c r="K83" s="26" t="s">
        <v>281</v>
      </c>
      <c r="L83" s="26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32"/>
      <c r="K84" s="25"/>
      <c r="L84" s="25"/>
    </row>
    <row r="85" ht="14.25" customHeight="1">
      <c r="A85" s="25"/>
      <c r="B85" s="25"/>
      <c r="C85" s="25"/>
      <c r="D85" s="25"/>
      <c r="E85" s="29" t="s">
        <v>33</v>
      </c>
      <c r="F85" s="25"/>
      <c r="G85" s="25"/>
      <c r="H85" s="25"/>
      <c r="I85" s="25"/>
      <c r="J85" s="32"/>
      <c r="K85" s="25"/>
      <c r="L85" s="25"/>
    </row>
    <row r="86" ht="14.25" customHeight="1">
      <c r="A86" s="25"/>
      <c r="B86" s="25"/>
      <c r="C86" s="25"/>
      <c r="D86" s="25"/>
      <c r="E86" s="29" t="s">
        <v>35</v>
      </c>
      <c r="F86" s="25"/>
      <c r="G86" s="25"/>
      <c r="H86" s="25"/>
      <c r="I86" s="25"/>
      <c r="J86" s="32"/>
      <c r="K86" s="25"/>
      <c r="L86" s="25"/>
    </row>
    <row r="87" ht="14.25" customHeight="1">
      <c r="A87" s="25"/>
      <c r="B87" s="25"/>
      <c r="C87" s="25"/>
      <c r="D87" s="25"/>
      <c r="E87" s="29" t="s">
        <v>36</v>
      </c>
      <c r="F87" s="25"/>
      <c r="G87" s="25"/>
      <c r="H87" s="25"/>
      <c r="I87" s="25"/>
      <c r="J87" s="32"/>
      <c r="K87" s="25"/>
      <c r="L87" s="25"/>
    </row>
    <row r="88" ht="14.25" customHeight="1">
      <c r="A88" s="25"/>
      <c r="B88" s="25"/>
      <c r="C88" s="25"/>
      <c r="D88" s="25"/>
      <c r="E88" s="25" t="s">
        <v>37</v>
      </c>
      <c r="F88" s="25"/>
      <c r="G88" s="25"/>
      <c r="H88" s="25"/>
      <c r="I88" s="25"/>
      <c r="J88" s="32"/>
      <c r="K88" s="25"/>
      <c r="L88" s="25"/>
    </row>
    <row r="89" ht="14.25" customHeight="1">
      <c r="A89" s="25"/>
      <c r="B89" s="25"/>
      <c r="C89" s="25"/>
      <c r="D89" s="25"/>
      <c r="E89" s="25" t="s">
        <v>38</v>
      </c>
      <c r="F89" s="25"/>
      <c r="G89" s="25"/>
      <c r="H89" s="25"/>
      <c r="I89" s="25"/>
      <c r="J89" s="32"/>
      <c r="K89" s="25"/>
      <c r="L89" s="25"/>
    </row>
    <row r="90" ht="14.25" customHeight="1">
      <c r="A90" s="25"/>
      <c r="B90" s="25"/>
      <c r="C90" s="25"/>
      <c r="D90" s="25"/>
      <c r="E90" s="25" t="s">
        <v>39</v>
      </c>
      <c r="F90" s="25"/>
      <c r="G90" s="25"/>
      <c r="H90" s="25"/>
      <c r="I90" s="25"/>
      <c r="J90" s="32"/>
      <c r="K90" s="25"/>
      <c r="L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32"/>
      <c r="K91" s="25"/>
      <c r="L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32"/>
      <c r="K92" s="25"/>
      <c r="L92" s="25"/>
    </row>
    <row r="93" ht="14.25" customHeight="1">
      <c r="A93" s="31" t="s">
        <v>40</v>
      </c>
      <c r="B93" s="31"/>
      <c r="C93" s="25"/>
      <c r="D93" s="25"/>
      <c r="E93" s="25"/>
      <c r="F93" s="25"/>
      <c r="G93" s="25"/>
      <c r="H93" s="25"/>
      <c r="I93" s="25"/>
      <c r="J93" s="32"/>
      <c r="K93" s="25"/>
      <c r="L93" s="25"/>
    </row>
    <row r="94" ht="14.25" customHeight="1">
      <c r="A94" s="33" t="s">
        <v>97</v>
      </c>
      <c r="B94" s="33"/>
      <c r="C94" s="25"/>
      <c r="D94" s="25"/>
      <c r="E94" s="25"/>
      <c r="F94" s="25"/>
      <c r="G94" s="25"/>
      <c r="H94" s="25"/>
      <c r="I94" s="25"/>
      <c r="J94" s="32"/>
      <c r="K94" s="25"/>
      <c r="L94" s="25"/>
    </row>
    <row r="95" ht="14.25" customHeight="1">
      <c r="A95" s="35" t="s">
        <v>282</v>
      </c>
      <c r="B95" s="36"/>
      <c r="C95" s="25"/>
      <c r="D95" s="25"/>
      <c r="E95" s="25"/>
      <c r="F95" s="25"/>
      <c r="G95" s="25"/>
      <c r="H95" s="25"/>
      <c r="I95" s="25"/>
      <c r="J95" s="32"/>
      <c r="K95" s="25"/>
      <c r="L95" s="25"/>
    </row>
    <row r="96" ht="14.25" customHeight="1">
      <c r="A96" s="38" t="s">
        <v>3</v>
      </c>
      <c r="B96" s="38" t="s">
        <v>56</v>
      </c>
      <c r="C96" s="38" t="s">
        <v>57</v>
      </c>
      <c r="D96" s="38" t="s">
        <v>10</v>
      </c>
      <c r="E96" s="38" t="s">
        <v>58</v>
      </c>
      <c r="F96" s="25"/>
      <c r="G96" s="25"/>
      <c r="H96" s="25"/>
      <c r="I96" s="25"/>
      <c r="J96" s="32"/>
      <c r="K96" s="25"/>
      <c r="L96" s="25"/>
    </row>
    <row r="97" ht="14.25" customHeight="1">
      <c r="A97" s="40" t="s">
        <v>90</v>
      </c>
      <c r="B97" s="25" t="s">
        <v>283</v>
      </c>
      <c r="C97" s="25" t="s">
        <v>284</v>
      </c>
      <c r="D97" s="25" t="s">
        <v>93</v>
      </c>
      <c r="E97" s="42" t="s">
        <v>285</v>
      </c>
      <c r="F97" s="25"/>
      <c r="G97" s="25"/>
      <c r="H97" s="25"/>
      <c r="I97" s="25"/>
      <c r="J97" s="32"/>
      <c r="K97" s="25"/>
      <c r="L97" s="25"/>
    </row>
    <row r="98" ht="14.25" customHeight="1">
      <c r="A98" s="40" t="s">
        <v>148</v>
      </c>
      <c r="B98" s="25" t="s">
        <v>283</v>
      </c>
      <c r="C98" s="25" t="s">
        <v>286</v>
      </c>
      <c r="D98" s="25" t="s">
        <v>83</v>
      </c>
      <c r="E98" s="42" t="s">
        <v>287</v>
      </c>
      <c r="F98" s="25"/>
      <c r="G98" s="25"/>
      <c r="H98" s="25"/>
      <c r="I98" s="25"/>
      <c r="J98" s="32"/>
      <c r="K98" s="25"/>
      <c r="L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32"/>
      <c r="K99" s="25"/>
      <c r="L99" s="25"/>
    </row>
    <row r="100" ht="14.25" customHeight="1">
      <c r="A100" s="35" t="s">
        <v>103</v>
      </c>
      <c r="B100" s="36"/>
      <c r="C100" s="25"/>
      <c r="D100" s="25"/>
      <c r="E100" s="25"/>
      <c r="F100" s="25"/>
      <c r="G100" s="25"/>
      <c r="H100" s="25"/>
      <c r="I100" s="25"/>
      <c r="J100" s="32"/>
      <c r="K100" s="25"/>
      <c r="L100" s="25"/>
    </row>
    <row r="101" ht="14.25" customHeight="1">
      <c r="A101" s="38" t="s">
        <v>3</v>
      </c>
      <c r="B101" s="38" t="s">
        <v>56</v>
      </c>
      <c r="C101" s="38" t="s">
        <v>57</v>
      </c>
      <c r="D101" s="38" t="s">
        <v>10</v>
      </c>
      <c r="E101" s="38" t="s">
        <v>58</v>
      </c>
      <c r="F101" s="25"/>
      <c r="G101" s="25"/>
      <c r="H101" s="25"/>
      <c r="I101" s="25"/>
      <c r="J101" s="32"/>
      <c r="K101" s="25"/>
      <c r="L101" s="25"/>
    </row>
    <row r="102" ht="14.25" customHeight="1">
      <c r="A102" s="40" t="s">
        <v>44</v>
      </c>
      <c r="B102" s="25" t="s">
        <v>103</v>
      </c>
      <c r="C102" s="25" t="s">
        <v>288</v>
      </c>
      <c r="D102" s="25" t="s">
        <v>53</v>
      </c>
      <c r="E102" s="42" t="s">
        <v>289</v>
      </c>
      <c r="F102" s="25"/>
      <c r="G102" s="25"/>
      <c r="H102" s="25"/>
      <c r="I102" s="25"/>
      <c r="J102" s="32"/>
      <c r="K102" s="25"/>
      <c r="L102" s="25"/>
    </row>
    <row r="103" ht="14.25" customHeight="1">
      <c r="A103" s="40" t="s">
        <v>60</v>
      </c>
      <c r="B103" s="25" t="s">
        <v>103</v>
      </c>
      <c r="C103" s="25" t="s">
        <v>288</v>
      </c>
      <c r="D103" s="25" t="s">
        <v>50</v>
      </c>
      <c r="E103" s="42" t="s">
        <v>290</v>
      </c>
      <c r="F103" s="25"/>
      <c r="G103" s="25"/>
      <c r="H103" s="25"/>
      <c r="I103" s="25"/>
      <c r="J103" s="32"/>
      <c r="K103" s="25"/>
      <c r="L103" s="25"/>
    </row>
    <row r="104" ht="14.25" customHeight="1">
      <c r="A104" s="40" t="s">
        <v>94</v>
      </c>
      <c r="B104" s="25" t="s">
        <v>103</v>
      </c>
      <c r="C104" s="25" t="s">
        <v>284</v>
      </c>
      <c r="D104" s="25" t="s">
        <v>51</v>
      </c>
      <c r="E104" s="42" t="s">
        <v>291</v>
      </c>
      <c r="F104" s="25"/>
      <c r="G104" s="25"/>
      <c r="H104" s="25"/>
      <c r="I104" s="25"/>
      <c r="J104" s="32"/>
      <c r="K104" s="25"/>
      <c r="L104" s="25"/>
    </row>
    <row r="105" ht="14.25" customHeight="1">
      <c r="A105" s="40" t="s">
        <v>104</v>
      </c>
      <c r="B105" s="25" t="s">
        <v>103</v>
      </c>
      <c r="C105" s="25" t="s">
        <v>284</v>
      </c>
      <c r="D105" s="25" t="s">
        <v>72</v>
      </c>
      <c r="E105" s="42" t="s">
        <v>292</v>
      </c>
      <c r="F105" s="25"/>
      <c r="G105" s="25"/>
      <c r="H105" s="25"/>
      <c r="I105" s="25"/>
      <c r="J105" s="32"/>
      <c r="K105" s="25"/>
      <c r="L105" s="25"/>
    </row>
    <row r="106" ht="14.25" customHeight="1">
      <c r="A106" s="40" t="s">
        <v>134</v>
      </c>
      <c r="B106" s="25" t="s">
        <v>103</v>
      </c>
      <c r="C106" s="25" t="s">
        <v>293</v>
      </c>
      <c r="D106" s="25" t="s">
        <v>137</v>
      </c>
      <c r="E106" s="42" t="s">
        <v>294</v>
      </c>
      <c r="F106" s="25"/>
      <c r="G106" s="25"/>
      <c r="H106" s="25"/>
      <c r="I106" s="25"/>
      <c r="J106" s="32"/>
      <c r="K106" s="25"/>
      <c r="L106" s="25"/>
    </row>
    <row r="107" ht="14.25" customHeight="1">
      <c r="A107" s="40" t="s">
        <v>77</v>
      </c>
      <c r="B107" s="25" t="s">
        <v>103</v>
      </c>
      <c r="C107" s="25" t="s">
        <v>101</v>
      </c>
      <c r="D107" s="25" t="s">
        <v>83</v>
      </c>
      <c r="E107" s="42" t="s">
        <v>295</v>
      </c>
      <c r="F107" s="25"/>
      <c r="G107" s="25"/>
      <c r="H107" s="25"/>
      <c r="I107" s="25"/>
      <c r="J107" s="32"/>
      <c r="K107" s="25"/>
      <c r="L107" s="25"/>
    </row>
    <row r="108" ht="14.25" customHeight="1">
      <c r="A108" s="40" t="s">
        <v>110</v>
      </c>
      <c r="B108" s="25" t="s">
        <v>103</v>
      </c>
      <c r="C108" s="25" t="s">
        <v>284</v>
      </c>
      <c r="D108" s="25" t="s">
        <v>114</v>
      </c>
      <c r="E108" s="42" t="s">
        <v>296</v>
      </c>
      <c r="F108" s="25"/>
      <c r="G108" s="25"/>
      <c r="H108" s="25"/>
      <c r="I108" s="25"/>
      <c r="J108" s="32"/>
      <c r="K108" s="25"/>
      <c r="L108" s="25"/>
    </row>
    <row r="109" ht="14.25" customHeight="1">
      <c r="A109" s="40" t="s">
        <v>117</v>
      </c>
      <c r="B109" s="25" t="s">
        <v>103</v>
      </c>
      <c r="C109" s="25" t="s">
        <v>284</v>
      </c>
      <c r="D109" s="25" t="s">
        <v>113</v>
      </c>
      <c r="E109" s="42" t="s">
        <v>297</v>
      </c>
      <c r="F109" s="25"/>
      <c r="G109" s="25"/>
      <c r="H109" s="25"/>
      <c r="I109" s="25"/>
      <c r="J109" s="32"/>
      <c r="K109" s="25"/>
      <c r="L109" s="25"/>
    </row>
    <row r="110" ht="14.25" customHeight="1">
      <c r="A110" s="40" t="s">
        <v>151</v>
      </c>
      <c r="B110" s="25" t="s">
        <v>103</v>
      </c>
      <c r="C110" s="25" t="s">
        <v>286</v>
      </c>
      <c r="D110" s="25" t="s">
        <v>50</v>
      </c>
      <c r="E110" s="42" t="s">
        <v>298</v>
      </c>
      <c r="F110" s="25"/>
      <c r="G110" s="25"/>
      <c r="H110" s="25"/>
      <c r="I110" s="25"/>
      <c r="J110" s="32"/>
      <c r="K110" s="25"/>
      <c r="L110" s="25"/>
    </row>
    <row r="111" ht="14.25" customHeight="1">
      <c r="A111" s="40" t="s">
        <v>154</v>
      </c>
      <c r="B111" s="25" t="s">
        <v>103</v>
      </c>
      <c r="C111" s="25" t="s">
        <v>108</v>
      </c>
      <c r="D111" s="25" t="s">
        <v>51</v>
      </c>
      <c r="E111" s="42" t="s">
        <v>299</v>
      </c>
      <c r="F111" s="25"/>
      <c r="G111" s="25"/>
      <c r="H111" s="25"/>
      <c r="I111" s="25"/>
      <c r="J111" s="32"/>
      <c r="K111" s="25"/>
      <c r="L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32"/>
      <c r="K112" s="25"/>
      <c r="L112" s="25"/>
    </row>
    <row r="113" ht="14.25" customHeight="1">
      <c r="A113" s="35" t="s">
        <v>45</v>
      </c>
      <c r="B113" s="36"/>
      <c r="C113" s="25"/>
      <c r="D113" s="25"/>
      <c r="E113" s="25"/>
      <c r="F113" s="25"/>
      <c r="G113" s="25"/>
      <c r="H113" s="25"/>
      <c r="I113" s="25"/>
      <c r="J113" s="32"/>
      <c r="K113" s="25"/>
      <c r="L113" s="25"/>
    </row>
    <row r="114" ht="14.25" customHeight="1">
      <c r="A114" s="38" t="s">
        <v>3</v>
      </c>
      <c r="B114" s="38" t="s">
        <v>56</v>
      </c>
      <c r="C114" s="38" t="s">
        <v>57</v>
      </c>
      <c r="D114" s="38" t="s">
        <v>10</v>
      </c>
      <c r="E114" s="38" t="s">
        <v>58</v>
      </c>
      <c r="F114" s="25"/>
      <c r="G114" s="25"/>
      <c r="H114" s="25"/>
      <c r="I114" s="25"/>
      <c r="J114" s="32"/>
      <c r="K114" s="25"/>
      <c r="L114" s="25"/>
    </row>
    <row r="115" ht="14.25" customHeight="1">
      <c r="A115" s="40" t="s">
        <v>142</v>
      </c>
      <c r="B115" s="25" t="s">
        <v>300</v>
      </c>
      <c r="C115" s="25" t="s">
        <v>293</v>
      </c>
      <c r="D115" s="25" t="s">
        <v>145</v>
      </c>
      <c r="E115" s="42" t="s">
        <v>301</v>
      </c>
      <c r="F115" s="25"/>
      <c r="G115" s="25"/>
      <c r="H115" s="25"/>
      <c r="I115" s="25"/>
      <c r="J115" s="32"/>
      <c r="K115" s="25"/>
      <c r="L115" s="25"/>
    </row>
    <row r="116" ht="14.25" customHeight="1">
      <c r="A116" s="40" t="s">
        <v>17</v>
      </c>
      <c r="B116" s="25" t="s">
        <v>122</v>
      </c>
      <c r="C116" s="25" t="s">
        <v>302</v>
      </c>
      <c r="D116" s="25" t="s">
        <v>31</v>
      </c>
      <c r="E116" s="42" t="s">
        <v>303</v>
      </c>
      <c r="F116" s="25"/>
      <c r="G116" s="25"/>
      <c r="H116" s="25"/>
      <c r="I116" s="25"/>
      <c r="J116" s="32"/>
      <c r="K116" s="25"/>
      <c r="L116" s="25"/>
    </row>
    <row r="117" ht="14.25" customHeight="1">
      <c r="A117" s="40" t="s">
        <v>134</v>
      </c>
      <c r="B117" s="25" t="s">
        <v>300</v>
      </c>
      <c r="C117" s="25" t="s">
        <v>293</v>
      </c>
      <c r="D117" s="25" t="s">
        <v>137</v>
      </c>
      <c r="E117" s="42" t="s">
        <v>304</v>
      </c>
      <c r="F117" s="25"/>
      <c r="G117" s="25"/>
      <c r="H117" s="25"/>
      <c r="I117" s="25"/>
      <c r="J117" s="32"/>
      <c r="K117" s="25"/>
      <c r="L117" s="25"/>
    </row>
    <row r="118" ht="14.25" customHeight="1">
      <c r="A118" s="40" t="s">
        <v>139</v>
      </c>
      <c r="B118" s="25" t="s">
        <v>115</v>
      </c>
      <c r="C118" s="25" t="s">
        <v>293</v>
      </c>
      <c r="D118" s="25" t="s">
        <v>65</v>
      </c>
      <c r="E118" s="42" t="s">
        <v>305</v>
      </c>
      <c r="F118" s="25"/>
      <c r="G118" s="25"/>
      <c r="H118" s="25"/>
      <c r="I118" s="25"/>
      <c r="J118" s="32"/>
      <c r="K118" s="25"/>
      <c r="L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32"/>
      <c r="K119" s="25"/>
      <c r="L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32"/>
      <c r="K120" s="25"/>
      <c r="L120" s="25"/>
    </row>
    <row r="121" ht="14.25" customHeight="1">
      <c r="A121" s="33" t="s">
        <v>42</v>
      </c>
      <c r="B121" s="33"/>
      <c r="C121" s="25"/>
      <c r="D121" s="25"/>
      <c r="E121" s="25"/>
      <c r="F121" s="25"/>
      <c r="G121" s="25"/>
      <c r="H121" s="25"/>
      <c r="I121" s="25"/>
      <c r="J121" s="32"/>
      <c r="K121" s="25"/>
      <c r="L121" s="25"/>
    </row>
    <row r="122" ht="14.25" customHeight="1">
      <c r="A122" s="35" t="s">
        <v>99</v>
      </c>
      <c r="B122" s="36"/>
      <c r="C122" s="25"/>
      <c r="D122" s="25"/>
      <c r="E122" s="25"/>
      <c r="F122" s="25"/>
      <c r="G122" s="25"/>
      <c r="H122" s="25"/>
      <c r="I122" s="25"/>
      <c r="J122" s="32"/>
      <c r="K122" s="25"/>
      <c r="L122" s="25"/>
    </row>
    <row r="123" ht="14.25" customHeight="1">
      <c r="A123" s="38" t="s">
        <v>3</v>
      </c>
      <c r="B123" s="38" t="s">
        <v>56</v>
      </c>
      <c r="C123" s="38" t="s">
        <v>57</v>
      </c>
      <c r="D123" s="38" t="s">
        <v>10</v>
      </c>
      <c r="E123" s="38" t="s">
        <v>58</v>
      </c>
      <c r="F123" s="25"/>
      <c r="G123" s="25"/>
      <c r="H123" s="25"/>
      <c r="I123" s="25"/>
      <c r="J123" s="32"/>
      <c r="K123" s="25"/>
      <c r="L123" s="25"/>
    </row>
    <row r="124" ht="14.25" customHeight="1">
      <c r="A124" s="40" t="s">
        <v>214</v>
      </c>
      <c r="B124" s="25" t="s">
        <v>100</v>
      </c>
      <c r="C124" s="25" t="s">
        <v>306</v>
      </c>
      <c r="D124" s="25" t="s">
        <v>189</v>
      </c>
      <c r="E124" s="42" t="s">
        <v>307</v>
      </c>
      <c r="F124" s="25"/>
      <c r="G124" s="25"/>
      <c r="H124" s="25"/>
      <c r="I124" s="25"/>
      <c r="J124" s="32"/>
      <c r="K124" s="25"/>
      <c r="L124" s="25"/>
    </row>
    <row r="125" ht="14.25" customHeight="1">
      <c r="A125" s="40" t="s">
        <v>206</v>
      </c>
      <c r="B125" s="25" t="s">
        <v>308</v>
      </c>
      <c r="C125" s="25" t="s">
        <v>306</v>
      </c>
      <c r="D125" s="25" t="s">
        <v>189</v>
      </c>
      <c r="E125" s="42" t="s">
        <v>309</v>
      </c>
      <c r="F125" s="25"/>
      <c r="G125" s="25"/>
      <c r="H125" s="25"/>
      <c r="I125" s="25"/>
      <c r="J125" s="32"/>
      <c r="K125" s="25"/>
      <c r="L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32"/>
      <c r="K126" s="25"/>
      <c r="L126" s="25"/>
    </row>
    <row r="127" ht="14.25" customHeight="1">
      <c r="A127" s="35" t="s">
        <v>282</v>
      </c>
      <c r="B127" s="36"/>
      <c r="C127" s="25"/>
      <c r="D127" s="25"/>
      <c r="E127" s="25"/>
      <c r="F127" s="25"/>
      <c r="G127" s="25"/>
      <c r="H127" s="25"/>
      <c r="I127" s="25"/>
      <c r="J127" s="32"/>
      <c r="K127" s="25"/>
      <c r="L127" s="25"/>
    </row>
    <row r="128" ht="14.25" customHeight="1">
      <c r="A128" s="38" t="s">
        <v>3</v>
      </c>
      <c r="B128" s="38" t="s">
        <v>56</v>
      </c>
      <c r="C128" s="38" t="s">
        <v>57</v>
      </c>
      <c r="D128" s="38" t="s">
        <v>10</v>
      </c>
      <c r="E128" s="38" t="s">
        <v>58</v>
      </c>
      <c r="F128" s="25"/>
      <c r="G128" s="25"/>
      <c r="H128" s="25"/>
      <c r="I128" s="25"/>
      <c r="J128" s="32"/>
      <c r="K128" s="25"/>
      <c r="L128" s="25"/>
    </row>
    <row r="129" ht="14.25" customHeight="1">
      <c r="A129" s="40" t="s">
        <v>171</v>
      </c>
      <c r="B129" s="25" t="s">
        <v>283</v>
      </c>
      <c r="C129" s="25" t="s">
        <v>286</v>
      </c>
      <c r="D129" s="25" t="s">
        <v>76</v>
      </c>
      <c r="E129" s="42" t="s">
        <v>310</v>
      </c>
      <c r="F129" s="25"/>
      <c r="G129" s="25"/>
      <c r="H129" s="25"/>
      <c r="I129" s="25"/>
      <c r="J129" s="32"/>
      <c r="K129" s="25"/>
      <c r="L129" s="25"/>
    </row>
    <row r="130" ht="14.25" customHeight="1">
      <c r="A130" s="40" t="s">
        <v>224</v>
      </c>
      <c r="B130" s="25" t="s">
        <v>283</v>
      </c>
      <c r="C130" s="25" t="s">
        <v>108</v>
      </c>
      <c r="D130" s="25" t="s">
        <v>227</v>
      </c>
      <c r="E130" s="42" t="s">
        <v>311</v>
      </c>
      <c r="F130" s="25"/>
      <c r="G130" s="25"/>
      <c r="H130" s="25"/>
      <c r="I130" s="25"/>
      <c r="J130" s="32"/>
      <c r="K130" s="25"/>
      <c r="L130" s="25"/>
    </row>
    <row r="131" ht="14.25" customHeight="1">
      <c r="A131" s="40" t="s">
        <v>160</v>
      </c>
      <c r="B131" s="25" t="s">
        <v>283</v>
      </c>
      <c r="C131" s="25" t="s">
        <v>293</v>
      </c>
      <c r="D131" s="25" t="s">
        <v>163</v>
      </c>
      <c r="E131" s="42" t="s">
        <v>312</v>
      </c>
      <c r="F131" s="25"/>
      <c r="G131" s="25"/>
      <c r="H131" s="25"/>
      <c r="I131" s="25"/>
      <c r="J131" s="32"/>
      <c r="K131" s="25"/>
      <c r="L131" s="25"/>
    </row>
    <row r="132" ht="14.25" customHeight="1">
      <c r="A132" s="40" t="s">
        <v>219</v>
      </c>
      <c r="B132" s="25" t="s">
        <v>283</v>
      </c>
      <c r="C132" s="25" t="s">
        <v>306</v>
      </c>
      <c r="D132" s="25" t="s">
        <v>223</v>
      </c>
      <c r="E132" s="42" t="s">
        <v>313</v>
      </c>
      <c r="F132" s="25"/>
      <c r="G132" s="25"/>
      <c r="H132" s="25"/>
      <c r="I132" s="25"/>
      <c r="J132" s="32"/>
      <c r="K132" s="25"/>
      <c r="L132" s="25"/>
    </row>
    <row r="133" ht="14.25" customHeight="1">
      <c r="A133" s="40" t="s">
        <v>243</v>
      </c>
      <c r="B133" s="25" t="s">
        <v>283</v>
      </c>
      <c r="C133" s="25" t="s">
        <v>61</v>
      </c>
      <c r="D133" s="25" t="s">
        <v>52</v>
      </c>
      <c r="E133" s="42" t="s">
        <v>314</v>
      </c>
      <c r="F133" s="25"/>
      <c r="G133" s="25"/>
      <c r="H133" s="25"/>
      <c r="I133" s="25"/>
      <c r="J133" s="32"/>
      <c r="K133" s="25"/>
      <c r="L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32"/>
      <c r="K134" s="25"/>
      <c r="L134" s="25"/>
    </row>
    <row r="135" ht="14.25" customHeight="1">
      <c r="A135" s="35" t="s">
        <v>103</v>
      </c>
      <c r="B135" s="36"/>
      <c r="C135" s="25"/>
      <c r="D135" s="25"/>
      <c r="E135" s="25"/>
      <c r="F135" s="25"/>
      <c r="G135" s="25"/>
      <c r="H135" s="25"/>
      <c r="I135" s="25"/>
      <c r="J135" s="32"/>
      <c r="K135" s="25"/>
      <c r="L135" s="25"/>
    </row>
    <row r="136" ht="14.25" customHeight="1">
      <c r="A136" s="38" t="s">
        <v>3</v>
      </c>
      <c r="B136" s="38" t="s">
        <v>56</v>
      </c>
      <c r="C136" s="38" t="s">
        <v>57</v>
      </c>
      <c r="D136" s="38" t="s">
        <v>10</v>
      </c>
      <c r="E136" s="38" t="s">
        <v>58</v>
      </c>
      <c r="F136" s="25"/>
      <c r="G136" s="25"/>
      <c r="H136" s="25"/>
      <c r="I136" s="25"/>
      <c r="J136" s="32"/>
      <c r="K136" s="25"/>
      <c r="L136" s="25"/>
    </row>
    <row r="137" ht="14.25" customHeight="1">
      <c r="A137" s="40" t="s">
        <v>229</v>
      </c>
      <c r="B137" s="25" t="s">
        <v>103</v>
      </c>
      <c r="C137" s="25" t="s">
        <v>108</v>
      </c>
      <c r="D137" s="25" t="s">
        <v>78</v>
      </c>
      <c r="E137" s="42" t="s">
        <v>315</v>
      </c>
      <c r="F137" s="25"/>
      <c r="G137" s="25"/>
      <c r="H137" s="25"/>
      <c r="I137" s="25"/>
      <c r="J137" s="32"/>
      <c r="K137" s="25"/>
      <c r="L137" s="25"/>
    </row>
    <row r="138" ht="14.25" customHeight="1">
      <c r="A138" s="40" t="s">
        <v>246</v>
      </c>
      <c r="B138" s="25" t="s">
        <v>103</v>
      </c>
      <c r="C138" s="25" t="s">
        <v>61</v>
      </c>
      <c r="D138" s="25" t="s">
        <v>228</v>
      </c>
      <c r="E138" s="42" t="s">
        <v>316</v>
      </c>
      <c r="F138" s="25"/>
      <c r="G138" s="25"/>
      <c r="H138" s="25"/>
      <c r="I138" s="25"/>
      <c r="J138" s="32"/>
      <c r="K138" s="25"/>
      <c r="L138" s="25"/>
    </row>
    <row r="139" ht="14.25" customHeight="1">
      <c r="A139" s="40" t="s">
        <v>267</v>
      </c>
      <c r="B139" s="25" t="s">
        <v>103</v>
      </c>
      <c r="C139" s="25" t="s">
        <v>317</v>
      </c>
      <c r="D139" s="25" t="s">
        <v>227</v>
      </c>
      <c r="E139" s="42" t="s">
        <v>318</v>
      </c>
      <c r="F139" s="25"/>
      <c r="G139" s="25"/>
      <c r="H139" s="25"/>
      <c r="I139" s="25"/>
      <c r="J139" s="32"/>
      <c r="K139" s="25"/>
      <c r="L139" s="25"/>
    </row>
    <row r="140" ht="14.25" customHeight="1">
      <c r="A140" s="40" t="s">
        <v>41</v>
      </c>
      <c r="B140" s="25" t="s">
        <v>103</v>
      </c>
      <c r="C140" s="25" t="s">
        <v>108</v>
      </c>
      <c r="D140" s="25" t="s">
        <v>28</v>
      </c>
      <c r="E140" s="42" t="s">
        <v>319</v>
      </c>
      <c r="F140" s="25"/>
      <c r="G140" s="25"/>
      <c r="H140" s="25"/>
      <c r="I140" s="25"/>
      <c r="J140" s="32"/>
      <c r="K140" s="25"/>
      <c r="L140" s="25"/>
    </row>
    <row r="141" ht="14.25" customHeight="1">
      <c r="A141" s="40" t="s">
        <v>251</v>
      </c>
      <c r="B141" s="25" t="s">
        <v>103</v>
      </c>
      <c r="C141" s="25" t="s">
        <v>61</v>
      </c>
      <c r="D141" s="25" t="s">
        <v>178</v>
      </c>
      <c r="E141" s="42" t="s">
        <v>320</v>
      </c>
      <c r="F141" s="25"/>
      <c r="G141" s="25"/>
      <c r="H141" s="25"/>
      <c r="I141" s="25"/>
      <c r="J141" s="32"/>
      <c r="K141" s="25"/>
      <c r="L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32"/>
      <c r="K142" s="25"/>
      <c r="L142" s="25"/>
    </row>
    <row r="143" ht="14.25" customHeight="1">
      <c r="A143" s="35" t="s">
        <v>45</v>
      </c>
      <c r="B143" s="36"/>
      <c r="C143" s="25"/>
      <c r="D143" s="25"/>
      <c r="E143" s="25"/>
      <c r="F143" s="25"/>
      <c r="G143" s="25"/>
      <c r="H143" s="25"/>
      <c r="I143" s="25"/>
      <c r="J143" s="32"/>
      <c r="K143" s="25"/>
      <c r="L143" s="25"/>
    </row>
    <row r="144" ht="14.25" customHeight="1">
      <c r="A144" s="38" t="s">
        <v>3</v>
      </c>
      <c r="B144" s="38" t="s">
        <v>56</v>
      </c>
      <c r="C144" s="38" t="s">
        <v>57</v>
      </c>
      <c r="D144" s="38" t="s">
        <v>10</v>
      </c>
      <c r="E144" s="38" t="s">
        <v>58</v>
      </c>
      <c r="F144" s="25"/>
      <c r="G144" s="25"/>
      <c r="H144" s="25"/>
      <c r="I144" s="25"/>
      <c r="J144" s="32"/>
      <c r="K144" s="25"/>
      <c r="L144" s="25"/>
    </row>
    <row r="145" ht="14.25" customHeight="1">
      <c r="A145" s="40" t="s">
        <v>198</v>
      </c>
      <c r="B145" s="25" t="s">
        <v>321</v>
      </c>
      <c r="C145" s="25" t="s">
        <v>286</v>
      </c>
      <c r="D145" s="25" t="s">
        <v>201</v>
      </c>
      <c r="E145" s="42" t="s">
        <v>322</v>
      </c>
      <c r="F145" s="25"/>
      <c r="G145" s="25"/>
      <c r="H145" s="25"/>
      <c r="I145" s="25"/>
      <c r="J145" s="32"/>
      <c r="K145" s="25"/>
      <c r="L145" s="25"/>
    </row>
    <row r="146" ht="14.25" customHeight="1">
      <c r="A146" s="40" t="s">
        <v>202</v>
      </c>
      <c r="B146" s="25" t="s">
        <v>321</v>
      </c>
      <c r="C146" s="25" t="s">
        <v>286</v>
      </c>
      <c r="D146" s="25" t="s">
        <v>70</v>
      </c>
      <c r="E146" s="42" t="s">
        <v>323</v>
      </c>
      <c r="F146" s="25"/>
      <c r="G146" s="25"/>
      <c r="H146" s="25"/>
      <c r="I146" s="25"/>
      <c r="J146" s="32"/>
      <c r="K146" s="25"/>
      <c r="L146" s="25"/>
    </row>
    <row r="147" ht="14.25" customHeight="1">
      <c r="A147" s="40" t="s">
        <v>256</v>
      </c>
      <c r="B147" s="25" t="s">
        <v>59</v>
      </c>
      <c r="C147" s="25" t="s">
        <v>61</v>
      </c>
      <c r="D147" s="25" t="s">
        <v>76</v>
      </c>
      <c r="E147" s="42" t="s">
        <v>324</v>
      </c>
      <c r="F147" s="25"/>
      <c r="G147" s="25"/>
      <c r="H147" s="25"/>
      <c r="I147" s="25"/>
      <c r="J147" s="32"/>
      <c r="K147" s="25"/>
      <c r="L147" s="25"/>
    </row>
    <row r="148" ht="14.25" customHeight="1">
      <c r="A148" s="40" t="s">
        <v>263</v>
      </c>
      <c r="B148" s="25" t="s">
        <v>325</v>
      </c>
      <c r="C148" s="25" t="s">
        <v>61</v>
      </c>
      <c r="D148" s="25" t="s">
        <v>54</v>
      </c>
      <c r="E148" s="42" t="s">
        <v>326</v>
      </c>
      <c r="F148" s="25"/>
      <c r="G148" s="25"/>
      <c r="H148" s="25"/>
      <c r="I148" s="25"/>
      <c r="J148" s="32"/>
      <c r="K148" s="25"/>
      <c r="L148" s="25"/>
    </row>
    <row r="149" ht="14.25" customHeight="1">
      <c r="A149" s="40" t="s">
        <v>182</v>
      </c>
      <c r="B149" s="25" t="s">
        <v>115</v>
      </c>
      <c r="C149" s="25" t="s">
        <v>286</v>
      </c>
      <c r="D149" s="25" t="s">
        <v>28</v>
      </c>
      <c r="E149" s="42" t="s">
        <v>327</v>
      </c>
      <c r="F149" s="25"/>
      <c r="G149" s="25"/>
      <c r="H149" s="25"/>
      <c r="I149" s="25"/>
      <c r="J149" s="32"/>
      <c r="K149" s="25"/>
      <c r="L149" s="25"/>
    </row>
    <row r="150" ht="14.25" customHeight="1">
      <c r="A150" s="40" t="s">
        <v>194</v>
      </c>
      <c r="B150" s="25" t="s">
        <v>59</v>
      </c>
      <c r="C150" s="25" t="s">
        <v>286</v>
      </c>
      <c r="D150" s="25" t="s">
        <v>189</v>
      </c>
      <c r="E150" s="42" t="s">
        <v>328</v>
      </c>
      <c r="F150" s="25"/>
      <c r="G150" s="25"/>
      <c r="H150" s="25"/>
      <c r="I150" s="25"/>
      <c r="J150" s="32"/>
      <c r="K150" s="25"/>
      <c r="L150" s="25"/>
    </row>
    <row r="151" ht="14.25" customHeight="1">
      <c r="A151" s="40" t="s">
        <v>239</v>
      </c>
      <c r="B151" s="25" t="s">
        <v>122</v>
      </c>
      <c r="C151" s="25" t="s">
        <v>108</v>
      </c>
      <c r="D151" s="25" t="s">
        <v>222</v>
      </c>
      <c r="E151" s="42" t="s">
        <v>329</v>
      </c>
      <c r="F151" s="25"/>
      <c r="G151" s="25"/>
      <c r="H151" s="25"/>
      <c r="I151" s="25"/>
      <c r="J151" s="32"/>
      <c r="K151" s="25"/>
      <c r="L151" s="25"/>
    </row>
    <row r="152" ht="14.25" customHeight="1">
      <c r="A152" s="40" t="s">
        <v>191</v>
      </c>
      <c r="B152" s="25" t="s">
        <v>122</v>
      </c>
      <c r="C152" s="25" t="s">
        <v>286</v>
      </c>
      <c r="D152" s="25" t="s">
        <v>52</v>
      </c>
      <c r="E152" s="42" t="s">
        <v>330</v>
      </c>
      <c r="F152" s="25"/>
      <c r="G152" s="25"/>
      <c r="H152" s="25"/>
      <c r="I152" s="25"/>
      <c r="J152" s="32"/>
      <c r="K152" s="25"/>
      <c r="L152" s="25"/>
    </row>
    <row r="153" ht="14.25" customHeight="1">
      <c r="A153" s="40" t="s">
        <v>273</v>
      </c>
      <c r="B153" s="25" t="s">
        <v>59</v>
      </c>
      <c r="C153" s="25" t="s">
        <v>317</v>
      </c>
      <c r="D153" s="25" t="s">
        <v>54</v>
      </c>
      <c r="E153" s="42" t="s">
        <v>331</v>
      </c>
      <c r="F153" s="25"/>
      <c r="G153" s="25"/>
      <c r="H153" s="25"/>
      <c r="I153" s="25"/>
      <c r="J153" s="32"/>
      <c r="K153" s="25"/>
      <c r="L153" s="25"/>
    </row>
    <row r="154" ht="14.25" customHeight="1">
      <c r="A154" s="40" t="s">
        <v>186</v>
      </c>
      <c r="B154" s="25" t="s">
        <v>300</v>
      </c>
      <c r="C154" s="25" t="s">
        <v>286</v>
      </c>
      <c r="D154" s="25" t="s">
        <v>189</v>
      </c>
      <c r="E154" s="42" t="s">
        <v>332</v>
      </c>
      <c r="F154" s="25"/>
      <c r="G154" s="25"/>
      <c r="H154" s="25"/>
      <c r="I154" s="25"/>
      <c r="J154" s="32"/>
      <c r="K154" s="25"/>
      <c r="L154" s="25"/>
    </row>
    <row r="155" ht="14.25" customHeight="1">
      <c r="A155" s="40" t="s">
        <v>254</v>
      </c>
      <c r="B155" s="25" t="s">
        <v>300</v>
      </c>
      <c r="C155" s="25" t="s">
        <v>61</v>
      </c>
      <c r="D155" s="25" t="s">
        <v>180</v>
      </c>
      <c r="E155" s="42" t="s">
        <v>333</v>
      </c>
      <c r="F155" s="25"/>
      <c r="G155" s="25"/>
      <c r="H155" s="25"/>
      <c r="I155" s="25"/>
      <c r="J155" s="32"/>
      <c r="K155" s="25"/>
      <c r="L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32"/>
      <c r="K156" s="25"/>
      <c r="L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32"/>
      <c r="K157" s="25"/>
      <c r="L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32"/>
      <c r="K158" s="25"/>
      <c r="L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32"/>
      <c r="K159" s="25"/>
      <c r="L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32"/>
      <c r="K160" s="25"/>
      <c r="L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32"/>
      <c r="K161" s="25"/>
      <c r="L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32"/>
      <c r="K162" s="25"/>
      <c r="L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32"/>
      <c r="K163" s="25"/>
      <c r="L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32"/>
      <c r="K164" s="25"/>
      <c r="L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32"/>
      <c r="K165" s="25"/>
      <c r="L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32"/>
      <c r="K166" s="25"/>
      <c r="L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32"/>
      <c r="K167" s="25"/>
      <c r="L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32"/>
      <c r="K168" s="25"/>
      <c r="L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32"/>
      <c r="K169" s="25"/>
      <c r="L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32"/>
      <c r="K170" s="25"/>
      <c r="L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32"/>
      <c r="K171" s="25"/>
      <c r="L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32"/>
      <c r="K172" s="25"/>
      <c r="L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32"/>
      <c r="K173" s="25"/>
      <c r="L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32"/>
      <c r="K174" s="25"/>
      <c r="L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32"/>
      <c r="K175" s="25"/>
      <c r="L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32"/>
      <c r="K176" s="25"/>
      <c r="L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32"/>
      <c r="K177" s="25"/>
      <c r="L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32"/>
      <c r="K178" s="25"/>
      <c r="L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32"/>
      <c r="K179" s="25"/>
      <c r="L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32"/>
      <c r="K180" s="25"/>
      <c r="L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32"/>
      <c r="K181" s="25"/>
      <c r="L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32"/>
      <c r="K182" s="25"/>
      <c r="L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32"/>
      <c r="K183" s="25"/>
      <c r="L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32"/>
      <c r="K184" s="25"/>
      <c r="L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32"/>
      <c r="K185" s="25"/>
      <c r="L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32"/>
      <c r="K186" s="25"/>
      <c r="L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32"/>
      <c r="K187" s="25"/>
      <c r="L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32"/>
      <c r="K188" s="25"/>
      <c r="L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32"/>
      <c r="K189" s="25"/>
      <c r="L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32"/>
      <c r="K190" s="25"/>
      <c r="L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32"/>
      <c r="K191" s="25"/>
      <c r="L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32"/>
      <c r="K192" s="25"/>
      <c r="L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32"/>
      <c r="K193" s="25"/>
      <c r="L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32"/>
      <c r="K194" s="25"/>
      <c r="L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32"/>
      <c r="K195" s="25"/>
      <c r="L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32"/>
      <c r="K196" s="25"/>
      <c r="L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32"/>
      <c r="K197" s="25"/>
      <c r="L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32"/>
      <c r="K198" s="25"/>
      <c r="L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32"/>
      <c r="K199" s="25"/>
      <c r="L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32"/>
      <c r="K200" s="25"/>
      <c r="L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32"/>
      <c r="K201" s="25"/>
      <c r="L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32"/>
      <c r="K202" s="25"/>
      <c r="L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32"/>
      <c r="K203" s="25"/>
      <c r="L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32"/>
      <c r="K204" s="25"/>
      <c r="L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32"/>
      <c r="K205" s="25"/>
      <c r="L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32"/>
      <c r="K206" s="25"/>
      <c r="L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32"/>
      <c r="K207" s="25"/>
      <c r="L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32"/>
      <c r="K208" s="25"/>
      <c r="L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32"/>
      <c r="K209" s="25"/>
      <c r="L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32"/>
      <c r="K210" s="25"/>
      <c r="L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32"/>
      <c r="K211" s="25"/>
      <c r="L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32"/>
      <c r="K212" s="25"/>
      <c r="L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32"/>
      <c r="K213" s="25"/>
      <c r="L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32"/>
      <c r="K214" s="25"/>
      <c r="L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32"/>
      <c r="K215" s="25"/>
      <c r="L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32"/>
      <c r="K216" s="25"/>
      <c r="L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32"/>
      <c r="K217" s="25"/>
      <c r="L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32"/>
      <c r="K218" s="25"/>
      <c r="L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32"/>
      <c r="K219" s="25"/>
      <c r="L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32"/>
      <c r="K220" s="25"/>
      <c r="L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32"/>
      <c r="K221" s="25"/>
      <c r="L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32"/>
      <c r="K222" s="25"/>
      <c r="L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32"/>
      <c r="K223" s="25"/>
      <c r="L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32"/>
      <c r="K224" s="25"/>
      <c r="L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32"/>
      <c r="K225" s="25"/>
      <c r="L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32"/>
      <c r="K226" s="25"/>
      <c r="L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32"/>
      <c r="K227" s="25"/>
      <c r="L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32"/>
      <c r="K228" s="25"/>
      <c r="L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32"/>
      <c r="K229" s="25"/>
      <c r="L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32"/>
      <c r="K230" s="25"/>
      <c r="L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32"/>
      <c r="K231" s="25"/>
      <c r="L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32"/>
      <c r="K232" s="25"/>
      <c r="L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32"/>
      <c r="K233" s="25"/>
      <c r="L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32"/>
      <c r="K234" s="25"/>
      <c r="L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32"/>
      <c r="K235" s="25"/>
      <c r="L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32"/>
      <c r="K236" s="25"/>
      <c r="L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32"/>
      <c r="K237" s="25"/>
      <c r="L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32"/>
      <c r="K238" s="25"/>
      <c r="L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32"/>
      <c r="K239" s="25"/>
      <c r="L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32"/>
      <c r="K240" s="25"/>
      <c r="L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32"/>
      <c r="K241" s="25"/>
      <c r="L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32"/>
      <c r="K242" s="25"/>
      <c r="L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32"/>
      <c r="K243" s="25"/>
      <c r="L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32"/>
      <c r="K244" s="25"/>
      <c r="L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32"/>
      <c r="K245" s="25"/>
      <c r="L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32"/>
      <c r="K246" s="25"/>
      <c r="L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32"/>
      <c r="K247" s="25"/>
      <c r="L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32"/>
      <c r="K248" s="25"/>
      <c r="L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32"/>
      <c r="K249" s="25"/>
      <c r="L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32"/>
      <c r="K250" s="25"/>
      <c r="L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32"/>
      <c r="K251" s="25"/>
      <c r="L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32"/>
      <c r="K252" s="25"/>
      <c r="L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32"/>
      <c r="K253" s="25"/>
      <c r="L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32"/>
      <c r="K254" s="25"/>
      <c r="L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32"/>
      <c r="K255" s="25"/>
      <c r="L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32"/>
      <c r="K256" s="25"/>
      <c r="L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32"/>
      <c r="K257" s="25"/>
      <c r="L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32"/>
      <c r="K258" s="25"/>
      <c r="L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32"/>
      <c r="K259" s="25"/>
      <c r="L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32"/>
      <c r="K260" s="25"/>
      <c r="L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32"/>
      <c r="K261" s="25"/>
      <c r="L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32"/>
      <c r="K262" s="25"/>
      <c r="L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32"/>
      <c r="K263" s="25"/>
      <c r="L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32"/>
      <c r="K264" s="25"/>
      <c r="L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32"/>
      <c r="K265" s="25"/>
      <c r="L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32"/>
      <c r="K266" s="25"/>
      <c r="L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32"/>
      <c r="K267" s="25"/>
      <c r="L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32"/>
      <c r="K268" s="25"/>
      <c r="L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32"/>
      <c r="K269" s="25"/>
      <c r="L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32"/>
      <c r="K270" s="25"/>
      <c r="L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32"/>
      <c r="K271" s="25"/>
      <c r="L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32"/>
      <c r="K272" s="25"/>
      <c r="L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32"/>
      <c r="K273" s="25"/>
      <c r="L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32"/>
      <c r="K274" s="25"/>
      <c r="L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32"/>
      <c r="K275" s="25"/>
      <c r="L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32"/>
      <c r="K276" s="25"/>
      <c r="L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32"/>
      <c r="K277" s="25"/>
      <c r="L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32"/>
      <c r="K278" s="25"/>
      <c r="L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32"/>
      <c r="K279" s="25"/>
      <c r="L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32"/>
      <c r="K280" s="25"/>
      <c r="L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32"/>
      <c r="K281" s="25"/>
      <c r="L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32"/>
      <c r="K282" s="25"/>
      <c r="L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32"/>
      <c r="K283" s="25"/>
      <c r="L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32"/>
      <c r="K284" s="25"/>
      <c r="L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32"/>
      <c r="K285" s="25"/>
      <c r="L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32"/>
      <c r="K286" s="25"/>
      <c r="L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32"/>
      <c r="K287" s="25"/>
      <c r="L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32"/>
      <c r="K288" s="25"/>
      <c r="L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32"/>
      <c r="K289" s="25"/>
      <c r="L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32"/>
      <c r="K290" s="25"/>
      <c r="L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32"/>
      <c r="K291" s="25"/>
      <c r="L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32"/>
      <c r="K292" s="25"/>
      <c r="L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32"/>
      <c r="K293" s="25"/>
      <c r="L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32"/>
      <c r="K294" s="25"/>
      <c r="L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32"/>
      <c r="K295" s="25"/>
      <c r="L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32"/>
      <c r="K296" s="25"/>
      <c r="L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32"/>
      <c r="K297" s="25"/>
      <c r="L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32"/>
      <c r="K298" s="25"/>
      <c r="L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32"/>
      <c r="K299" s="25"/>
      <c r="L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32"/>
      <c r="K300" s="25"/>
      <c r="L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32"/>
      <c r="K301" s="25"/>
      <c r="L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32"/>
      <c r="K302" s="25"/>
      <c r="L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32"/>
      <c r="K303" s="25"/>
      <c r="L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32"/>
      <c r="K304" s="25"/>
      <c r="L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32"/>
      <c r="K305" s="25"/>
      <c r="L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32"/>
      <c r="K306" s="25"/>
      <c r="L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32"/>
      <c r="K307" s="25"/>
      <c r="L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32"/>
      <c r="K308" s="25"/>
      <c r="L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32"/>
      <c r="K309" s="25"/>
      <c r="L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32"/>
      <c r="K310" s="25"/>
      <c r="L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32"/>
      <c r="K311" s="25"/>
      <c r="L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32"/>
      <c r="K312" s="25"/>
      <c r="L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32"/>
      <c r="K313" s="25"/>
      <c r="L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32"/>
      <c r="K314" s="25"/>
      <c r="L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32"/>
      <c r="K315" s="25"/>
      <c r="L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32"/>
      <c r="K316" s="25"/>
      <c r="L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32"/>
      <c r="K317" s="25"/>
      <c r="L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32"/>
      <c r="K318" s="25"/>
      <c r="L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32"/>
      <c r="K319" s="25"/>
      <c r="L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32"/>
      <c r="K320" s="25"/>
      <c r="L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32"/>
      <c r="K321" s="25"/>
      <c r="L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32"/>
      <c r="K322" s="25"/>
      <c r="L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32"/>
      <c r="K323" s="25"/>
      <c r="L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32"/>
      <c r="K324" s="25"/>
      <c r="L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32"/>
      <c r="K325" s="25"/>
      <c r="L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32"/>
      <c r="K326" s="25"/>
      <c r="L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32"/>
      <c r="K327" s="25"/>
      <c r="L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32"/>
      <c r="K328" s="25"/>
      <c r="L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32"/>
      <c r="K329" s="25"/>
      <c r="L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32"/>
      <c r="K330" s="25"/>
      <c r="L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32"/>
      <c r="K331" s="25"/>
      <c r="L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32"/>
      <c r="K332" s="25"/>
      <c r="L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32"/>
      <c r="K333" s="25"/>
      <c r="L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32"/>
      <c r="K334" s="25"/>
      <c r="L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32"/>
      <c r="K335" s="25"/>
      <c r="L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32"/>
      <c r="K336" s="25"/>
      <c r="L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32"/>
      <c r="K337" s="25"/>
      <c r="L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32"/>
      <c r="K338" s="25"/>
      <c r="L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32"/>
      <c r="K339" s="25"/>
      <c r="L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32"/>
      <c r="K340" s="25"/>
      <c r="L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32"/>
      <c r="K341" s="25"/>
      <c r="L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32"/>
      <c r="K342" s="25"/>
      <c r="L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32"/>
      <c r="K343" s="25"/>
      <c r="L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32"/>
      <c r="K344" s="25"/>
      <c r="L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32"/>
      <c r="K345" s="25"/>
      <c r="L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32"/>
      <c r="K346" s="25"/>
      <c r="L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32"/>
      <c r="K347" s="25"/>
      <c r="L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32"/>
      <c r="K348" s="25"/>
      <c r="L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32"/>
      <c r="K349" s="25"/>
      <c r="L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32"/>
      <c r="K350" s="25"/>
      <c r="L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32"/>
      <c r="K351" s="25"/>
      <c r="L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32"/>
      <c r="K352" s="25"/>
      <c r="L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32"/>
      <c r="K353" s="25"/>
      <c r="L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32"/>
      <c r="K354" s="25"/>
      <c r="L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32"/>
      <c r="K355" s="25"/>
      <c r="L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32"/>
      <c r="K356" s="25"/>
      <c r="L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32"/>
      <c r="K357" s="25"/>
      <c r="L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32"/>
      <c r="K358" s="25"/>
      <c r="L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32"/>
      <c r="K359" s="25"/>
      <c r="L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32"/>
      <c r="K360" s="25"/>
      <c r="L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32"/>
      <c r="K361" s="25"/>
      <c r="L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32"/>
      <c r="K362" s="25"/>
      <c r="L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32"/>
      <c r="K363" s="25"/>
      <c r="L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32"/>
      <c r="K364" s="25"/>
      <c r="L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32"/>
      <c r="K365" s="25"/>
      <c r="L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32"/>
      <c r="K366" s="25"/>
      <c r="L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32"/>
      <c r="K367" s="25"/>
      <c r="L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32"/>
      <c r="K368" s="25"/>
      <c r="L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32"/>
      <c r="K369" s="25"/>
      <c r="L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32"/>
      <c r="K370" s="25"/>
      <c r="L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32"/>
      <c r="K371" s="25"/>
      <c r="L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32"/>
      <c r="K372" s="25"/>
      <c r="L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32"/>
      <c r="K373" s="25"/>
      <c r="L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32"/>
      <c r="K374" s="25"/>
      <c r="L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32"/>
      <c r="K375" s="25"/>
      <c r="L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32"/>
      <c r="K376" s="25"/>
      <c r="L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32"/>
      <c r="K377" s="25"/>
      <c r="L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32"/>
      <c r="K378" s="25"/>
      <c r="L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32"/>
      <c r="K379" s="25"/>
      <c r="L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32"/>
      <c r="K380" s="25"/>
      <c r="L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32"/>
      <c r="K381" s="25"/>
      <c r="L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32"/>
      <c r="K382" s="25"/>
      <c r="L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32"/>
      <c r="K383" s="25"/>
      <c r="L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32"/>
      <c r="K384" s="25"/>
      <c r="L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32"/>
      <c r="K385" s="25"/>
      <c r="L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32"/>
      <c r="K386" s="25"/>
      <c r="L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32"/>
      <c r="K387" s="25"/>
      <c r="L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32"/>
      <c r="K388" s="25"/>
      <c r="L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32"/>
      <c r="K389" s="25"/>
      <c r="L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32"/>
      <c r="K390" s="25"/>
      <c r="L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32"/>
      <c r="K391" s="25"/>
      <c r="L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32"/>
      <c r="K392" s="25"/>
      <c r="L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32"/>
      <c r="K393" s="25"/>
      <c r="L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32"/>
      <c r="K394" s="25"/>
      <c r="L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32"/>
      <c r="K395" s="25"/>
      <c r="L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32"/>
      <c r="K396" s="25"/>
      <c r="L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32"/>
      <c r="K397" s="25"/>
      <c r="L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32"/>
      <c r="K398" s="25"/>
      <c r="L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32"/>
      <c r="K399" s="25"/>
      <c r="L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32"/>
      <c r="K400" s="25"/>
      <c r="L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32"/>
      <c r="K401" s="25"/>
      <c r="L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32"/>
      <c r="K402" s="25"/>
      <c r="L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32"/>
      <c r="K403" s="25"/>
      <c r="L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32"/>
      <c r="K404" s="25"/>
      <c r="L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32"/>
      <c r="K405" s="25"/>
      <c r="L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32"/>
      <c r="K406" s="25"/>
      <c r="L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32"/>
      <c r="K407" s="25"/>
      <c r="L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32"/>
      <c r="K408" s="25"/>
      <c r="L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32"/>
      <c r="K409" s="25"/>
      <c r="L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32"/>
      <c r="K410" s="25"/>
      <c r="L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32"/>
      <c r="K411" s="25"/>
      <c r="L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32"/>
      <c r="K412" s="25"/>
      <c r="L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32"/>
      <c r="K413" s="25"/>
      <c r="L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32"/>
      <c r="K414" s="25"/>
      <c r="L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32"/>
      <c r="K415" s="25"/>
      <c r="L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32"/>
      <c r="K416" s="25"/>
      <c r="L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32"/>
      <c r="K417" s="25"/>
      <c r="L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32"/>
      <c r="K418" s="25"/>
      <c r="L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32"/>
      <c r="K419" s="25"/>
      <c r="L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32"/>
      <c r="K420" s="25"/>
      <c r="L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32"/>
      <c r="K421" s="25"/>
      <c r="L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32"/>
      <c r="K422" s="25"/>
      <c r="L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32"/>
      <c r="K423" s="25"/>
      <c r="L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32"/>
      <c r="K424" s="25"/>
      <c r="L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32"/>
      <c r="K425" s="25"/>
      <c r="L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32"/>
      <c r="K426" s="25"/>
      <c r="L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32"/>
      <c r="K427" s="25"/>
      <c r="L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32"/>
      <c r="K428" s="25"/>
      <c r="L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32"/>
      <c r="K429" s="25"/>
      <c r="L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32"/>
      <c r="K430" s="25"/>
      <c r="L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32"/>
      <c r="K431" s="25"/>
      <c r="L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32"/>
      <c r="K432" s="25"/>
      <c r="L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32"/>
      <c r="K433" s="25"/>
      <c r="L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32"/>
      <c r="K434" s="25"/>
      <c r="L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32"/>
      <c r="K435" s="25"/>
      <c r="L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32"/>
      <c r="K436" s="25"/>
      <c r="L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32"/>
      <c r="K437" s="25"/>
      <c r="L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32"/>
      <c r="K438" s="25"/>
      <c r="L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32"/>
      <c r="K439" s="25"/>
      <c r="L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32"/>
      <c r="K440" s="25"/>
      <c r="L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32"/>
      <c r="K441" s="25"/>
      <c r="L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32"/>
      <c r="K442" s="25"/>
      <c r="L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32"/>
      <c r="K443" s="25"/>
      <c r="L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32"/>
      <c r="K444" s="25"/>
      <c r="L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32"/>
      <c r="K445" s="25"/>
      <c r="L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32"/>
      <c r="K446" s="25"/>
      <c r="L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32"/>
      <c r="K447" s="25"/>
      <c r="L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32"/>
      <c r="K448" s="25"/>
      <c r="L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32"/>
      <c r="K449" s="25"/>
      <c r="L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32"/>
      <c r="K450" s="25"/>
      <c r="L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32"/>
      <c r="K451" s="25"/>
      <c r="L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32"/>
      <c r="K452" s="25"/>
      <c r="L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32"/>
      <c r="K453" s="25"/>
      <c r="L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32"/>
      <c r="K454" s="25"/>
      <c r="L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32"/>
      <c r="K455" s="25"/>
      <c r="L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32"/>
      <c r="K456" s="25"/>
      <c r="L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32"/>
      <c r="K457" s="25"/>
      <c r="L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32"/>
      <c r="K458" s="25"/>
      <c r="L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32"/>
      <c r="K459" s="25"/>
      <c r="L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32"/>
      <c r="K460" s="25"/>
      <c r="L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32"/>
      <c r="K461" s="25"/>
      <c r="L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32"/>
      <c r="K462" s="25"/>
      <c r="L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32"/>
      <c r="K463" s="25"/>
      <c r="L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32"/>
      <c r="K464" s="25"/>
      <c r="L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32"/>
      <c r="K465" s="25"/>
      <c r="L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32"/>
      <c r="K466" s="25"/>
      <c r="L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32"/>
      <c r="K467" s="25"/>
      <c r="L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32"/>
      <c r="K468" s="25"/>
      <c r="L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32"/>
      <c r="K469" s="25"/>
      <c r="L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32"/>
      <c r="K470" s="25"/>
      <c r="L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32"/>
      <c r="K471" s="25"/>
      <c r="L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32"/>
      <c r="K472" s="25"/>
      <c r="L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32"/>
      <c r="K473" s="25"/>
      <c r="L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32"/>
      <c r="K474" s="25"/>
      <c r="L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32"/>
      <c r="K475" s="25"/>
      <c r="L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32"/>
      <c r="K476" s="25"/>
      <c r="L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32"/>
      <c r="K477" s="25"/>
      <c r="L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32"/>
      <c r="K478" s="25"/>
      <c r="L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32"/>
      <c r="K479" s="25"/>
      <c r="L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32"/>
      <c r="K480" s="25"/>
      <c r="L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32"/>
      <c r="K481" s="25"/>
      <c r="L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32"/>
      <c r="K482" s="25"/>
      <c r="L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32"/>
      <c r="K483" s="25"/>
      <c r="L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32"/>
      <c r="K484" s="25"/>
      <c r="L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32"/>
      <c r="K485" s="25"/>
      <c r="L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32"/>
      <c r="K486" s="25"/>
      <c r="L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32"/>
      <c r="K487" s="25"/>
      <c r="L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32"/>
      <c r="K488" s="25"/>
      <c r="L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32"/>
      <c r="K489" s="25"/>
      <c r="L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32"/>
      <c r="K490" s="25"/>
      <c r="L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32"/>
      <c r="K491" s="25"/>
      <c r="L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32"/>
      <c r="K492" s="25"/>
      <c r="L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32"/>
      <c r="K493" s="25"/>
      <c r="L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32"/>
      <c r="K494" s="25"/>
      <c r="L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32"/>
      <c r="K495" s="25"/>
      <c r="L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32"/>
      <c r="K496" s="25"/>
      <c r="L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32"/>
      <c r="K497" s="25"/>
      <c r="L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32"/>
      <c r="K498" s="25"/>
      <c r="L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32"/>
      <c r="K499" s="25"/>
      <c r="L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32"/>
      <c r="K500" s="25"/>
      <c r="L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32"/>
      <c r="K501" s="25"/>
      <c r="L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32"/>
      <c r="K502" s="25"/>
      <c r="L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32"/>
      <c r="K503" s="25"/>
      <c r="L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32"/>
      <c r="K504" s="25"/>
      <c r="L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32"/>
      <c r="K505" s="25"/>
      <c r="L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32"/>
      <c r="K506" s="25"/>
      <c r="L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32"/>
      <c r="K507" s="25"/>
      <c r="L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32"/>
      <c r="K508" s="25"/>
      <c r="L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32"/>
      <c r="K509" s="25"/>
      <c r="L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32"/>
      <c r="K510" s="25"/>
      <c r="L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32"/>
      <c r="K511" s="25"/>
      <c r="L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32"/>
      <c r="K512" s="25"/>
      <c r="L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32"/>
      <c r="K513" s="25"/>
      <c r="L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32"/>
      <c r="K514" s="25"/>
      <c r="L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32"/>
      <c r="K515" s="25"/>
      <c r="L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32"/>
      <c r="K516" s="25"/>
      <c r="L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32"/>
      <c r="K517" s="25"/>
      <c r="L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32"/>
      <c r="K518" s="25"/>
      <c r="L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32"/>
      <c r="K519" s="25"/>
      <c r="L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32"/>
      <c r="K520" s="25"/>
      <c r="L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32"/>
      <c r="K521" s="25"/>
      <c r="L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32"/>
      <c r="K522" s="25"/>
      <c r="L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32"/>
      <c r="K523" s="25"/>
      <c r="L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32"/>
      <c r="K524" s="25"/>
      <c r="L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32"/>
      <c r="K525" s="25"/>
      <c r="L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32"/>
      <c r="K526" s="25"/>
      <c r="L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32"/>
      <c r="K527" s="25"/>
      <c r="L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32"/>
      <c r="K528" s="25"/>
      <c r="L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32"/>
      <c r="K529" s="25"/>
      <c r="L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32"/>
      <c r="K530" s="25"/>
      <c r="L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32"/>
      <c r="K531" s="25"/>
      <c r="L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32"/>
      <c r="K532" s="25"/>
      <c r="L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32"/>
      <c r="K533" s="25"/>
      <c r="L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32"/>
      <c r="K534" s="25"/>
      <c r="L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32"/>
      <c r="K535" s="25"/>
      <c r="L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32"/>
      <c r="K536" s="25"/>
      <c r="L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32"/>
      <c r="K537" s="25"/>
      <c r="L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32"/>
      <c r="K538" s="25"/>
      <c r="L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32"/>
      <c r="K539" s="25"/>
      <c r="L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32"/>
      <c r="K540" s="25"/>
      <c r="L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32"/>
      <c r="K541" s="25"/>
      <c r="L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32"/>
      <c r="K542" s="25"/>
      <c r="L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32"/>
      <c r="K543" s="25"/>
      <c r="L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32"/>
      <c r="K544" s="25"/>
      <c r="L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32"/>
      <c r="K545" s="25"/>
      <c r="L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32"/>
      <c r="K546" s="25"/>
      <c r="L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32"/>
      <c r="K547" s="25"/>
      <c r="L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32"/>
      <c r="K548" s="25"/>
      <c r="L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32"/>
      <c r="K549" s="25"/>
      <c r="L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32"/>
      <c r="K550" s="25"/>
      <c r="L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32"/>
      <c r="K551" s="25"/>
      <c r="L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32"/>
      <c r="K552" s="25"/>
      <c r="L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32"/>
      <c r="K553" s="25"/>
      <c r="L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32"/>
      <c r="K554" s="25"/>
      <c r="L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32"/>
      <c r="K555" s="25"/>
      <c r="L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32"/>
      <c r="K556" s="25"/>
      <c r="L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32"/>
      <c r="K557" s="25"/>
      <c r="L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32"/>
      <c r="K558" s="25"/>
      <c r="L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32"/>
      <c r="K559" s="25"/>
      <c r="L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32"/>
      <c r="K560" s="25"/>
      <c r="L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32"/>
      <c r="K561" s="25"/>
      <c r="L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32"/>
      <c r="K562" s="25"/>
      <c r="L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32"/>
      <c r="K563" s="25"/>
      <c r="L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32"/>
      <c r="K564" s="25"/>
      <c r="L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32"/>
      <c r="K565" s="25"/>
      <c r="L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32"/>
      <c r="K566" s="25"/>
      <c r="L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32"/>
      <c r="K567" s="25"/>
      <c r="L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32"/>
      <c r="K568" s="25"/>
      <c r="L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32"/>
      <c r="K569" s="25"/>
      <c r="L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32"/>
      <c r="K570" s="25"/>
      <c r="L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32"/>
      <c r="K571" s="25"/>
      <c r="L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32"/>
      <c r="K572" s="25"/>
      <c r="L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32"/>
      <c r="K573" s="25"/>
      <c r="L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32"/>
      <c r="K574" s="25"/>
      <c r="L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32"/>
      <c r="K575" s="25"/>
      <c r="L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32"/>
      <c r="K576" s="25"/>
      <c r="L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32"/>
      <c r="K577" s="25"/>
      <c r="L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32"/>
      <c r="K578" s="25"/>
      <c r="L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32"/>
      <c r="K579" s="25"/>
      <c r="L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32"/>
      <c r="K580" s="25"/>
      <c r="L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32"/>
      <c r="K581" s="25"/>
      <c r="L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32"/>
      <c r="K582" s="25"/>
      <c r="L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32"/>
      <c r="K583" s="25"/>
      <c r="L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32"/>
      <c r="K584" s="25"/>
      <c r="L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32"/>
      <c r="K585" s="25"/>
      <c r="L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32"/>
      <c r="K586" s="25"/>
      <c r="L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32"/>
      <c r="K587" s="25"/>
      <c r="L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32"/>
      <c r="K588" s="25"/>
      <c r="L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32"/>
      <c r="K589" s="25"/>
      <c r="L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32"/>
      <c r="K590" s="25"/>
      <c r="L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32"/>
      <c r="K591" s="25"/>
      <c r="L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32"/>
      <c r="K592" s="25"/>
      <c r="L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32"/>
      <c r="K593" s="25"/>
      <c r="L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32"/>
      <c r="K594" s="25"/>
      <c r="L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32"/>
      <c r="K595" s="25"/>
      <c r="L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32"/>
      <c r="K596" s="25"/>
      <c r="L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32"/>
      <c r="K597" s="25"/>
      <c r="L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32"/>
      <c r="K598" s="25"/>
      <c r="L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32"/>
      <c r="K599" s="25"/>
      <c r="L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32"/>
      <c r="K600" s="25"/>
      <c r="L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32"/>
      <c r="K601" s="25"/>
      <c r="L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32"/>
      <c r="K602" s="25"/>
      <c r="L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32"/>
      <c r="K603" s="25"/>
      <c r="L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32"/>
      <c r="K604" s="25"/>
      <c r="L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32"/>
      <c r="K605" s="25"/>
      <c r="L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32"/>
      <c r="K606" s="25"/>
      <c r="L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32"/>
      <c r="K607" s="25"/>
      <c r="L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32"/>
      <c r="K608" s="25"/>
      <c r="L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32"/>
      <c r="K609" s="25"/>
      <c r="L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32"/>
      <c r="K610" s="25"/>
      <c r="L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32"/>
      <c r="K611" s="25"/>
      <c r="L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32"/>
      <c r="K612" s="25"/>
      <c r="L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32"/>
      <c r="K613" s="25"/>
      <c r="L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32"/>
      <c r="K614" s="25"/>
      <c r="L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32"/>
      <c r="K615" s="25"/>
      <c r="L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32"/>
      <c r="K616" s="25"/>
      <c r="L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32"/>
      <c r="K617" s="25"/>
      <c r="L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32"/>
      <c r="K618" s="25"/>
      <c r="L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32"/>
      <c r="K619" s="25"/>
      <c r="L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32"/>
      <c r="K620" s="25"/>
      <c r="L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32"/>
      <c r="K621" s="25"/>
      <c r="L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32"/>
      <c r="K622" s="25"/>
      <c r="L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32"/>
      <c r="K623" s="25"/>
      <c r="L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32"/>
      <c r="K624" s="25"/>
      <c r="L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32"/>
      <c r="K625" s="25"/>
      <c r="L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32"/>
      <c r="K626" s="25"/>
      <c r="L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32"/>
      <c r="K627" s="25"/>
      <c r="L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32"/>
      <c r="K628" s="25"/>
      <c r="L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32"/>
      <c r="K629" s="25"/>
      <c r="L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32"/>
      <c r="K630" s="25"/>
      <c r="L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32"/>
      <c r="K631" s="25"/>
      <c r="L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32"/>
      <c r="K632" s="25"/>
      <c r="L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32"/>
      <c r="K633" s="25"/>
      <c r="L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32"/>
      <c r="K634" s="25"/>
      <c r="L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32"/>
      <c r="K635" s="25"/>
      <c r="L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32"/>
      <c r="K636" s="25"/>
      <c r="L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32"/>
      <c r="K637" s="25"/>
      <c r="L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32"/>
      <c r="K638" s="25"/>
      <c r="L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32"/>
      <c r="K639" s="25"/>
      <c r="L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32"/>
      <c r="K640" s="25"/>
      <c r="L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32"/>
      <c r="K641" s="25"/>
      <c r="L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32"/>
      <c r="K642" s="25"/>
      <c r="L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32"/>
      <c r="K643" s="25"/>
      <c r="L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32"/>
      <c r="K644" s="25"/>
      <c r="L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32"/>
      <c r="K645" s="25"/>
      <c r="L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32"/>
      <c r="K646" s="25"/>
      <c r="L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32"/>
      <c r="K647" s="25"/>
      <c r="L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32"/>
      <c r="K648" s="25"/>
      <c r="L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32"/>
      <c r="K649" s="25"/>
      <c r="L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32"/>
      <c r="K650" s="25"/>
      <c r="L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32"/>
      <c r="K651" s="25"/>
      <c r="L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32"/>
      <c r="K652" s="25"/>
      <c r="L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32"/>
      <c r="K653" s="25"/>
      <c r="L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32"/>
      <c r="K654" s="25"/>
      <c r="L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32"/>
      <c r="K655" s="25"/>
      <c r="L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32"/>
      <c r="K656" s="25"/>
      <c r="L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32"/>
      <c r="K657" s="25"/>
      <c r="L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32"/>
      <c r="K658" s="25"/>
      <c r="L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32"/>
      <c r="K659" s="25"/>
      <c r="L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32"/>
      <c r="K660" s="25"/>
      <c r="L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32"/>
      <c r="K661" s="25"/>
      <c r="L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32"/>
      <c r="K662" s="25"/>
      <c r="L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32"/>
      <c r="K663" s="25"/>
      <c r="L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32"/>
      <c r="K664" s="25"/>
      <c r="L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32"/>
      <c r="K665" s="25"/>
      <c r="L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32"/>
      <c r="K666" s="25"/>
      <c r="L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32"/>
      <c r="K667" s="25"/>
      <c r="L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32"/>
      <c r="K668" s="25"/>
      <c r="L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32"/>
      <c r="K669" s="25"/>
      <c r="L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32"/>
      <c r="K670" s="25"/>
      <c r="L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32"/>
      <c r="K671" s="25"/>
      <c r="L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32"/>
      <c r="K672" s="25"/>
      <c r="L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32"/>
      <c r="K673" s="25"/>
      <c r="L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32"/>
      <c r="K674" s="25"/>
      <c r="L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32"/>
      <c r="K675" s="25"/>
      <c r="L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32"/>
      <c r="K676" s="25"/>
      <c r="L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32"/>
      <c r="K677" s="25"/>
      <c r="L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32"/>
      <c r="K678" s="25"/>
      <c r="L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32"/>
      <c r="K679" s="25"/>
      <c r="L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32"/>
      <c r="K680" s="25"/>
      <c r="L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32"/>
      <c r="K681" s="25"/>
      <c r="L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32"/>
      <c r="K682" s="25"/>
      <c r="L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32"/>
      <c r="K683" s="25"/>
      <c r="L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32"/>
      <c r="K684" s="25"/>
      <c r="L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32"/>
      <c r="K685" s="25"/>
      <c r="L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32"/>
      <c r="K686" s="25"/>
      <c r="L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32"/>
      <c r="K687" s="25"/>
      <c r="L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32"/>
      <c r="K688" s="25"/>
      <c r="L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32"/>
      <c r="K689" s="25"/>
      <c r="L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32"/>
      <c r="K690" s="25"/>
      <c r="L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32"/>
      <c r="K691" s="25"/>
      <c r="L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32"/>
      <c r="K692" s="25"/>
      <c r="L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32"/>
      <c r="K693" s="25"/>
      <c r="L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32"/>
      <c r="K694" s="25"/>
      <c r="L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32"/>
      <c r="K695" s="25"/>
      <c r="L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32"/>
      <c r="K696" s="25"/>
      <c r="L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32"/>
      <c r="K697" s="25"/>
      <c r="L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32"/>
      <c r="K698" s="25"/>
      <c r="L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32"/>
      <c r="K699" s="25"/>
      <c r="L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32"/>
      <c r="K700" s="25"/>
      <c r="L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32"/>
      <c r="K701" s="25"/>
      <c r="L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32"/>
      <c r="K702" s="25"/>
      <c r="L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32"/>
      <c r="K703" s="25"/>
      <c r="L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32"/>
      <c r="K704" s="25"/>
      <c r="L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32"/>
      <c r="K705" s="25"/>
      <c r="L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32"/>
      <c r="K706" s="25"/>
      <c r="L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32"/>
      <c r="K707" s="25"/>
      <c r="L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32"/>
      <c r="K708" s="25"/>
      <c r="L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32"/>
      <c r="K709" s="25"/>
      <c r="L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32"/>
      <c r="K710" s="25"/>
      <c r="L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32"/>
      <c r="K711" s="25"/>
      <c r="L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32"/>
      <c r="K712" s="25"/>
      <c r="L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32"/>
      <c r="K713" s="25"/>
      <c r="L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32"/>
      <c r="K714" s="25"/>
      <c r="L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32"/>
      <c r="K715" s="25"/>
      <c r="L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32"/>
      <c r="K716" s="25"/>
      <c r="L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32"/>
      <c r="K717" s="25"/>
      <c r="L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32"/>
      <c r="K718" s="25"/>
      <c r="L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32"/>
      <c r="K719" s="25"/>
      <c r="L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32"/>
      <c r="K720" s="25"/>
      <c r="L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32"/>
      <c r="K721" s="25"/>
      <c r="L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32"/>
      <c r="K722" s="25"/>
      <c r="L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32"/>
      <c r="K723" s="25"/>
      <c r="L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32"/>
      <c r="K724" s="25"/>
      <c r="L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32"/>
      <c r="K725" s="25"/>
      <c r="L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32"/>
      <c r="K726" s="25"/>
      <c r="L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32"/>
      <c r="K727" s="25"/>
      <c r="L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32"/>
      <c r="K728" s="25"/>
      <c r="L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32"/>
      <c r="K729" s="25"/>
      <c r="L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32"/>
      <c r="K730" s="25"/>
      <c r="L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32"/>
      <c r="K731" s="25"/>
      <c r="L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32"/>
      <c r="K732" s="25"/>
      <c r="L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32"/>
      <c r="K733" s="25"/>
      <c r="L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32"/>
      <c r="K734" s="25"/>
      <c r="L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32"/>
      <c r="K735" s="25"/>
      <c r="L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32"/>
      <c r="K736" s="25"/>
      <c r="L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32"/>
      <c r="K737" s="25"/>
      <c r="L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32"/>
      <c r="K738" s="25"/>
      <c r="L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32"/>
      <c r="K739" s="25"/>
      <c r="L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32"/>
      <c r="K740" s="25"/>
      <c r="L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32"/>
      <c r="K741" s="25"/>
      <c r="L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32"/>
      <c r="K742" s="25"/>
      <c r="L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32"/>
      <c r="K743" s="25"/>
      <c r="L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32"/>
      <c r="K744" s="25"/>
      <c r="L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32"/>
      <c r="K745" s="25"/>
      <c r="L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32"/>
      <c r="K746" s="25"/>
      <c r="L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32"/>
      <c r="K747" s="25"/>
      <c r="L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32"/>
      <c r="K748" s="25"/>
      <c r="L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32"/>
      <c r="K749" s="25"/>
      <c r="L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32"/>
      <c r="K750" s="25"/>
      <c r="L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32"/>
      <c r="K751" s="25"/>
      <c r="L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32"/>
      <c r="K752" s="25"/>
      <c r="L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32"/>
      <c r="K753" s="25"/>
      <c r="L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32"/>
      <c r="K754" s="25"/>
      <c r="L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32"/>
      <c r="K755" s="25"/>
      <c r="L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32"/>
      <c r="K756" s="25"/>
      <c r="L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32"/>
      <c r="K757" s="25"/>
      <c r="L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32"/>
      <c r="K758" s="25"/>
      <c r="L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32"/>
      <c r="K759" s="25"/>
      <c r="L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32"/>
      <c r="K760" s="25"/>
      <c r="L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32"/>
      <c r="K761" s="25"/>
      <c r="L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32"/>
      <c r="K762" s="25"/>
      <c r="L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32"/>
      <c r="K763" s="25"/>
      <c r="L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32"/>
      <c r="K764" s="25"/>
      <c r="L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32"/>
      <c r="K765" s="25"/>
      <c r="L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32"/>
      <c r="K766" s="25"/>
      <c r="L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32"/>
      <c r="K767" s="25"/>
      <c r="L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32"/>
      <c r="K768" s="25"/>
      <c r="L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32"/>
      <c r="K769" s="25"/>
      <c r="L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32"/>
      <c r="K770" s="25"/>
      <c r="L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32"/>
      <c r="K771" s="25"/>
      <c r="L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32"/>
      <c r="K772" s="25"/>
      <c r="L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32"/>
      <c r="K773" s="25"/>
      <c r="L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32"/>
      <c r="K774" s="25"/>
      <c r="L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32"/>
      <c r="K775" s="25"/>
      <c r="L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32"/>
      <c r="K776" s="25"/>
      <c r="L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32"/>
      <c r="K777" s="25"/>
      <c r="L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32"/>
      <c r="K778" s="25"/>
      <c r="L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32"/>
      <c r="K779" s="25"/>
      <c r="L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32"/>
      <c r="K780" s="25"/>
      <c r="L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32"/>
      <c r="K781" s="25"/>
      <c r="L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32"/>
      <c r="K782" s="25"/>
      <c r="L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32"/>
      <c r="K783" s="25"/>
      <c r="L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32"/>
      <c r="K784" s="25"/>
      <c r="L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32"/>
      <c r="K785" s="25"/>
      <c r="L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32"/>
      <c r="K786" s="25"/>
      <c r="L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32"/>
      <c r="K787" s="25"/>
      <c r="L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32"/>
      <c r="K788" s="25"/>
      <c r="L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32"/>
      <c r="K789" s="25"/>
      <c r="L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32"/>
      <c r="K790" s="25"/>
      <c r="L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32"/>
      <c r="K791" s="25"/>
      <c r="L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32"/>
      <c r="K792" s="25"/>
      <c r="L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32"/>
      <c r="K793" s="25"/>
      <c r="L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32"/>
      <c r="K794" s="25"/>
      <c r="L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32"/>
      <c r="K795" s="25"/>
      <c r="L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32"/>
      <c r="K796" s="25"/>
      <c r="L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32"/>
      <c r="K797" s="25"/>
      <c r="L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32"/>
      <c r="K798" s="25"/>
      <c r="L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32"/>
      <c r="K799" s="25"/>
      <c r="L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32"/>
      <c r="K800" s="25"/>
      <c r="L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32"/>
      <c r="K801" s="25"/>
      <c r="L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32"/>
      <c r="K802" s="25"/>
      <c r="L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32"/>
      <c r="K803" s="25"/>
      <c r="L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32"/>
      <c r="K804" s="25"/>
      <c r="L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32"/>
      <c r="K805" s="25"/>
      <c r="L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32"/>
      <c r="K806" s="25"/>
      <c r="L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32"/>
      <c r="K807" s="25"/>
      <c r="L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32"/>
      <c r="K808" s="25"/>
      <c r="L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32"/>
      <c r="K809" s="25"/>
      <c r="L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32"/>
      <c r="K810" s="25"/>
      <c r="L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32"/>
      <c r="K811" s="25"/>
      <c r="L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32"/>
      <c r="K812" s="25"/>
      <c r="L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32"/>
      <c r="K813" s="25"/>
      <c r="L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32"/>
      <c r="K814" s="25"/>
      <c r="L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32"/>
      <c r="K815" s="25"/>
      <c r="L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32"/>
      <c r="K816" s="25"/>
      <c r="L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32"/>
      <c r="K817" s="25"/>
      <c r="L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32"/>
      <c r="K818" s="25"/>
      <c r="L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32"/>
      <c r="K819" s="25"/>
      <c r="L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32"/>
      <c r="K820" s="25"/>
      <c r="L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32"/>
      <c r="K821" s="25"/>
      <c r="L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32"/>
      <c r="K822" s="25"/>
      <c r="L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32"/>
      <c r="K823" s="25"/>
      <c r="L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32"/>
      <c r="K824" s="25"/>
      <c r="L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32"/>
      <c r="K825" s="25"/>
      <c r="L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32"/>
      <c r="K826" s="25"/>
      <c r="L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32"/>
      <c r="K827" s="25"/>
      <c r="L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32"/>
      <c r="K828" s="25"/>
      <c r="L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32"/>
      <c r="K829" s="25"/>
      <c r="L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32"/>
      <c r="K830" s="25"/>
      <c r="L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32"/>
      <c r="K831" s="25"/>
      <c r="L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32"/>
      <c r="K832" s="25"/>
      <c r="L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32"/>
      <c r="K833" s="25"/>
      <c r="L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32"/>
      <c r="K834" s="25"/>
      <c r="L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32"/>
      <c r="K835" s="25"/>
      <c r="L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32"/>
      <c r="K836" s="25"/>
      <c r="L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32"/>
      <c r="K837" s="25"/>
      <c r="L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32"/>
      <c r="K838" s="25"/>
      <c r="L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32"/>
      <c r="K839" s="25"/>
      <c r="L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32"/>
      <c r="K840" s="25"/>
      <c r="L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32"/>
      <c r="K841" s="25"/>
      <c r="L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32"/>
      <c r="K842" s="25"/>
      <c r="L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32"/>
      <c r="K843" s="25"/>
      <c r="L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32"/>
      <c r="K844" s="25"/>
      <c r="L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32"/>
      <c r="K845" s="25"/>
      <c r="L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32"/>
      <c r="K846" s="25"/>
      <c r="L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32"/>
      <c r="K847" s="25"/>
      <c r="L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32"/>
      <c r="K848" s="25"/>
      <c r="L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32"/>
      <c r="K849" s="25"/>
      <c r="L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32"/>
      <c r="K850" s="25"/>
      <c r="L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32"/>
      <c r="K851" s="25"/>
      <c r="L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32"/>
      <c r="K852" s="25"/>
      <c r="L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32"/>
      <c r="K853" s="25"/>
      <c r="L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32"/>
      <c r="K854" s="25"/>
      <c r="L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32"/>
      <c r="K855" s="25"/>
      <c r="L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32"/>
      <c r="K856" s="25"/>
      <c r="L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32"/>
      <c r="K857" s="25"/>
      <c r="L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32"/>
      <c r="K858" s="25"/>
      <c r="L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32"/>
      <c r="K859" s="25"/>
      <c r="L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32"/>
      <c r="K860" s="25"/>
      <c r="L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32"/>
      <c r="K861" s="25"/>
      <c r="L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32"/>
      <c r="K862" s="25"/>
      <c r="L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32"/>
      <c r="K863" s="25"/>
      <c r="L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32"/>
      <c r="K864" s="25"/>
      <c r="L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32"/>
      <c r="K865" s="25"/>
      <c r="L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32"/>
      <c r="K866" s="25"/>
      <c r="L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32"/>
      <c r="K867" s="25"/>
      <c r="L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32"/>
      <c r="K868" s="25"/>
      <c r="L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32"/>
      <c r="K869" s="25"/>
      <c r="L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32"/>
      <c r="K870" s="25"/>
      <c r="L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32"/>
      <c r="K871" s="25"/>
      <c r="L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32"/>
      <c r="K872" s="25"/>
      <c r="L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32"/>
      <c r="K873" s="25"/>
      <c r="L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32"/>
      <c r="K874" s="25"/>
      <c r="L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32"/>
      <c r="K875" s="25"/>
      <c r="L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32"/>
      <c r="K876" s="25"/>
      <c r="L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32"/>
      <c r="K877" s="25"/>
      <c r="L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32"/>
      <c r="K878" s="25"/>
      <c r="L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32"/>
      <c r="K879" s="25"/>
      <c r="L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32"/>
      <c r="K880" s="25"/>
      <c r="L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32"/>
      <c r="K881" s="25"/>
      <c r="L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32"/>
      <c r="K882" s="25"/>
      <c r="L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32"/>
      <c r="K883" s="25"/>
      <c r="L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32"/>
      <c r="K884" s="25"/>
      <c r="L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32"/>
      <c r="K885" s="25"/>
      <c r="L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32"/>
      <c r="K886" s="25"/>
      <c r="L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32"/>
      <c r="K887" s="25"/>
      <c r="L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32"/>
      <c r="K888" s="25"/>
      <c r="L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32"/>
      <c r="K889" s="25"/>
      <c r="L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32"/>
      <c r="K890" s="25"/>
      <c r="L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32"/>
      <c r="K891" s="25"/>
      <c r="L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32"/>
      <c r="K892" s="25"/>
      <c r="L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32"/>
      <c r="K893" s="25"/>
      <c r="L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32"/>
      <c r="K894" s="25"/>
      <c r="L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32"/>
      <c r="K895" s="25"/>
      <c r="L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32"/>
      <c r="K896" s="25"/>
      <c r="L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32"/>
      <c r="K897" s="25"/>
      <c r="L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32"/>
      <c r="K898" s="25"/>
      <c r="L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32"/>
      <c r="K899" s="25"/>
      <c r="L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32"/>
      <c r="K900" s="25"/>
      <c r="L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32"/>
      <c r="K901" s="25"/>
      <c r="L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32"/>
      <c r="K902" s="25"/>
      <c r="L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32"/>
      <c r="K903" s="25"/>
      <c r="L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32"/>
      <c r="K904" s="25"/>
      <c r="L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32"/>
      <c r="K905" s="25"/>
      <c r="L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32"/>
      <c r="K906" s="25"/>
      <c r="L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32"/>
      <c r="K907" s="25"/>
      <c r="L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32"/>
      <c r="K908" s="25"/>
      <c r="L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32"/>
      <c r="K909" s="25"/>
      <c r="L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32"/>
      <c r="K910" s="25"/>
      <c r="L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32"/>
      <c r="K911" s="25"/>
      <c r="L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32"/>
      <c r="K912" s="25"/>
      <c r="L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32"/>
      <c r="K913" s="25"/>
      <c r="L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32"/>
      <c r="K914" s="25"/>
      <c r="L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32"/>
      <c r="K915" s="25"/>
      <c r="L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32"/>
      <c r="K916" s="25"/>
      <c r="L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32"/>
      <c r="K917" s="25"/>
      <c r="L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32"/>
      <c r="K918" s="25"/>
      <c r="L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32"/>
      <c r="K919" s="25"/>
      <c r="L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32"/>
      <c r="K920" s="25"/>
      <c r="L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32"/>
      <c r="K921" s="25"/>
      <c r="L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32"/>
      <c r="K922" s="25"/>
      <c r="L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32"/>
      <c r="K923" s="25"/>
      <c r="L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32"/>
      <c r="K924" s="25"/>
      <c r="L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32"/>
      <c r="K925" s="25"/>
      <c r="L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32"/>
      <c r="K926" s="25"/>
      <c r="L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32"/>
      <c r="K927" s="25"/>
      <c r="L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32"/>
      <c r="K928" s="25"/>
      <c r="L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32"/>
      <c r="K929" s="25"/>
      <c r="L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32"/>
      <c r="K930" s="25"/>
      <c r="L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32"/>
      <c r="K931" s="25"/>
      <c r="L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32"/>
      <c r="K932" s="25"/>
      <c r="L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32"/>
      <c r="K933" s="25"/>
      <c r="L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32"/>
      <c r="K934" s="25"/>
      <c r="L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32"/>
      <c r="K935" s="25"/>
      <c r="L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32"/>
      <c r="K936" s="25"/>
      <c r="L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32"/>
      <c r="K937" s="25"/>
      <c r="L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32"/>
      <c r="K938" s="25"/>
      <c r="L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32"/>
      <c r="K939" s="25"/>
      <c r="L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32"/>
      <c r="K940" s="25"/>
      <c r="L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32"/>
      <c r="K941" s="25"/>
      <c r="L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32"/>
      <c r="K942" s="25"/>
      <c r="L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32"/>
      <c r="K943" s="25"/>
      <c r="L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32"/>
      <c r="K944" s="25"/>
      <c r="L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32"/>
      <c r="K945" s="25"/>
      <c r="L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32"/>
      <c r="K946" s="25"/>
      <c r="L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32"/>
      <c r="K947" s="25"/>
      <c r="L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32"/>
      <c r="K948" s="25"/>
      <c r="L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32"/>
      <c r="K949" s="25"/>
      <c r="L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32"/>
      <c r="K950" s="25"/>
      <c r="L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32"/>
      <c r="K951" s="25"/>
      <c r="L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32"/>
      <c r="K952" s="25"/>
      <c r="L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32"/>
      <c r="K953" s="25"/>
      <c r="L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32"/>
      <c r="K954" s="25"/>
      <c r="L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32"/>
      <c r="K955" s="25"/>
      <c r="L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32"/>
      <c r="K956" s="25"/>
      <c r="L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32"/>
      <c r="K957" s="25"/>
      <c r="L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32"/>
      <c r="K958" s="25"/>
      <c r="L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32"/>
      <c r="K959" s="25"/>
      <c r="L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32"/>
      <c r="K960" s="25"/>
      <c r="L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32"/>
      <c r="K961" s="25"/>
      <c r="L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32"/>
      <c r="K962" s="25"/>
      <c r="L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32"/>
      <c r="K963" s="25"/>
      <c r="L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32"/>
      <c r="K964" s="25"/>
      <c r="L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32"/>
      <c r="K965" s="25"/>
      <c r="L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32"/>
      <c r="K966" s="25"/>
      <c r="L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32"/>
      <c r="K967" s="25"/>
      <c r="L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32"/>
      <c r="K968" s="25"/>
      <c r="L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32"/>
      <c r="K969" s="25"/>
      <c r="L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32"/>
      <c r="K970" s="25"/>
      <c r="L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32"/>
      <c r="K971" s="25"/>
      <c r="L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32"/>
      <c r="K972" s="25"/>
      <c r="L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32"/>
      <c r="K973" s="25"/>
      <c r="L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32"/>
      <c r="K974" s="25"/>
      <c r="L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32"/>
      <c r="K975" s="25"/>
      <c r="L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32"/>
      <c r="K976" s="25"/>
      <c r="L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32"/>
      <c r="K977" s="25"/>
      <c r="L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32"/>
      <c r="K978" s="25"/>
      <c r="L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32"/>
      <c r="K979" s="25"/>
      <c r="L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32"/>
      <c r="K980" s="25"/>
      <c r="L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32"/>
      <c r="K981" s="25"/>
      <c r="L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32"/>
      <c r="K982" s="25"/>
      <c r="L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32"/>
      <c r="K983" s="25"/>
      <c r="L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32"/>
      <c r="K984" s="25"/>
      <c r="L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32"/>
      <c r="K985" s="25"/>
      <c r="L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32"/>
      <c r="K986" s="25"/>
      <c r="L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32"/>
      <c r="K987" s="25"/>
      <c r="L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32"/>
      <c r="K988" s="25"/>
      <c r="L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32"/>
      <c r="K989" s="25"/>
      <c r="L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32"/>
      <c r="K990" s="25"/>
      <c r="L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32"/>
      <c r="K991" s="25"/>
      <c r="L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32"/>
      <c r="K992" s="25"/>
      <c r="L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32"/>
      <c r="K993" s="25"/>
      <c r="L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32"/>
      <c r="K994" s="25"/>
      <c r="L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32"/>
      <c r="K995" s="25"/>
      <c r="L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32"/>
      <c r="K996" s="25"/>
      <c r="L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32"/>
      <c r="K997" s="25"/>
      <c r="L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32"/>
      <c r="K998" s="25"/>
      <c r="L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32"/>
      <c r="K999" s="25"/>
      <c r="L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32"/>
      <c r="K1000" s="25"/>
      <c r="L1000" s="25"/>
    </row>
  </sheetData>
  <mergeCells count="26">
    <mergeCell ref="K3:K4"/>
    <mergeCell ref="L3:L4"/>
    <mergeCell ref="J3:J4"/>
    <mergeCell ref="A1:L2"/>
    <mergeCell ref="A3:A4"/>
    <mergeCell ref="B3:B4"/>
    <mergeCell ref="C3:C4"/>
    <mergeCell ref="D3:D4"/>
    <mergeCell ref="E3:E4"/>
    <mergeCell ref="A69:K69"/>
    <mergeCell ref="A77:K77"/>
    <mergeCell ref="A82:K82"/>
    <mergeCell ref="A32:K32"/>
    <mergeCell ref="A36:K36"/>
    <mergeCell ref="A39:K39"/>
    <mergeCell ref="A42:K42"/>
    <mergeCell ref="A46:K46"/>
    <mergeCell ref="A56:K56"/>
    <mergeCell ref="A62:K62"/>
    <mergeCell ref="F3:I3"/>
    <mergeCell ref="A5:K5"/>
    <mergeCell ref="A8:K8"/>
    <mergeCell ref="A12:K12"/>
    <mergeCell ref="A15:K15"/>
    <mergeCell ref="A22:K22"/>
    <mergeCell ref="A26:K2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3.43"/>
    <col customWidth="1" min="2" max="2" width="25.0"/>
    <col customWidth="1" min="3" max="3" width="7.14"/>
    <col customWidth="1" min="4" max="4" width="6.14"/>
    <col customWidth="1" min="5" max="5" width="16.0"/>
    <col customWidth="1" min="6" max="6" width="6.0"/>
    <col customWidth="1" min="7" max="7" width="5.29"/>
    <col customWidth="1" min="8" max="8" width="5.14"/>
    <col customWidth="1" min="9" max="9" width="4.29"/>
    <col customWidth="1" min="10" max="10" width="6.0"/>
    <col customWidth="1" min="11" max="11" width="8.0"/>
    <col customWidth="1" min="12" max="12" width="6.71"/>
    <col customWidth="1" min="13" max="26" width="8.71"/>
  </cols>
  <sheetData>
    <row r="1" ht="15.0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2.0" customHeight="1">
      <c r="A2" s="5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9</v>
      </c>
      <c r="G3" s="11"/>
      <c r="H3" s="11"/>
      <c r="I3" s="12"/>
      <c r="J3" s="14" t="s">
        <v>10</v>
      </c>
      <c r="K3" s="9" t="s">
        <v>11</v>
      </c>
      <c r="L3" s="15" t="s">
        <v>12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>
        <v>1.0</v>
      </c>
      <c r="G4" s="20">
        <v>2.0</v>
      </c>
      <c r="H4" s="20">
        <v>3.0</v>
      </c>
      <c r="I4" s="21" t="s">
        <v>13</v>
      </c>
      <c r="J4" s="22"/>
      <c r="K4" s="18"/>
      <c r="L4" s="23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4.25" customHeight="1">
      <c r="A5" s="24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5"/>
    </row>
    <row r="6" ht="14.25" customHeight="1">
      <c r="A6" s="26" t="s">
        <v>18</v>
      </c>
      <c r="B6" s="26" t="s">
        <v>20</v>
      </c>
      <c r="C6" s="26" t="s">
        <v>22</v>
      </c>
      <c r="D6" s="26" t="str">
        <f>"0,7693"</f>
        <v>0,7693</v>
      </c>
      <c r="E6" s="26" t="s">
        <v>27</v>
      </c>
      <c r="F6" s="26" t="s">
        <v>28</v>
      </c>
      <c r="G6" s="26" t="s">
        <v>29</v>
      </c>
      <c r="H6" s="27"/>
      <c r="I6" s="27"/>
      <c r="J6" s="26">
        <v>230.0</v>
      </c>
      <c r="K6" s="26" t="str">
        <f>"176,9484"</f>
        <v>176,9484</v>
      </c>
      <c r="L6" s="26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ht="14.25" customHeight="1">
      <c r="A8" s="25"/>
      <c r="B8" s="25"/>
      <c r="C8" s="25"/>
      <c r="D8" s="25"/>
      <c r="E8" s="29" t="s">
        <v>33</v>
      </c>
      <c r="F8" s="25"/>
      <c r="G8" s="25"/>
      <c r="H8" s="25"/>
      <c r="I8" s="25"/>
      <c r="J8" s="25"/>
      <c r="K8" s="25"/>
      <c r="L8" s="25"/>
    </row>
    <row r="9" ht="14.25" customHeight="1">
      <c r="A9" s="25"/>
      <c r="B9" s="25"/>
      <c r="C9" s="25"/>
      <c r="D9" s="25"/>
      <c r="E9" s="29" t="s">
        <v>35</v>
      </c>
      <c r="F9" s="25"/>
      <c r="G9" s="25"/>
      <c r="H9" s="25"/>
      <c r="I9" s="25"/>
      <c r="J9" s="25"/>
      <c r="K9" s="25"/>
      <c r="L9" s="25"/>
    </row>
    <row r="10" ht="14.25" customHeight="1">
      <c r="A10" s="25"/>
      <c r="B10" s="25"/>
      <c r="C10" s="25"/>
      <c r="D10" s="25"/>
      <c r="E10" s="29" t="s">
        <v>36</v>
      </c>
      <c r="F10" s="25"/>
      <c r="G10" s="25"/>
      <c r="H10" s="25"/>
      <c r="I10" s="25"/>
      <c r="J10" s="25"/>
      <c r="K10" s="25"/>
      <c r="L10" s="25"/>
    </row>
    <row r="11" ht="14.25" customHeight="1">
      <c r="A11" s="25"/>
      <c r="B11" s="25"/>
      <c r="C11" s="25"/>
      <c r="D11" s="25"/>
      <c r="E11" s="25" t="s">
        <v>37</v>
      </c>
      <c r="F11" s="25"/>
      <c r="G11" s="25"/>
      <c r="H11" s="25"/>
      <c r="I11" s="25"/>
      <c r="J11" s="25"/>
      <c r="K11" s="25"/>
      <c r="L11" s="25"/>
    </row>
    <row r="12" ht="14.25" customHeight="1">
      <c r="A12" s="25"/>
      <c r="B12" s="25"/>
      <c r="C12" s="25"/>
      <c r="D12" s="25"/>
      <c r="E12" s="25" t="s">
        <v>38</v>
      </c>
      <c r="F12" s="25"/>
      <c r="G12" s="25"/>
      <c r="H12" s="25"/>
      <c r="I12" s="25"/>
      <c r="J12" s="25"/>
      <c r="K12" s="25"/>
      <c r="L12" s="25"/>
    </row>
    <row r="13" ht="14.25" customHeight="1">
      <c r="A13" s="25"/>
      <c r="B13" s="25"/>
      <c r="C13" s="25"/>
      <c r="D13" s="25"/>
      <c r="E13" s="25" t="s">
        <v>39</v>
      </c>
      <c r="F13" s="25"/>
      <c r="G13" s="25"/>
      <c r="H13" s="25"/>
      <c r="I13" s="25"/>
      <c r="J13" s="25"/>
      <c r="K13" s="25"/>
      <c r="L13" s="25"/>
    </row>
    <row r="14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14.25" customHeight="1">
      <c r="A16" s="31" t="s">
        <v>40</v>
      </c>
      <c r="B16" s="31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ht="14.25" customHeight="1">
      <c r="A17" s="33" t="s">
        <v>42</v>
      </c>
      <c r="B17" s="33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ht="14.25" customHeight="1">
      <c r="A18" s="35" t="s">
        <v>45</v>
      </c>
      <c r="B18" s="36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ht="14.25" customHeight="1">
      <c r="A19" s="38" t="s">
        <v>3</v>
      </c>
      <c r="B19" s="38" t="s">
        <v>56</v>
      </c>
      <c r="C19" s="38" t="s">
        <v>57</v>
      </c>
      <c r="D19" s="38" t="s">
        <v>10</v>
      </c>
      <c r="E19" s="38" t="s">
        <v>58</v>
      </c>
      <c r="F19" s="25"/>
      <c r="G19" s="25"/>
      <c r="H19" s="25"/>
      <c r="I19" s="25"/>
      <c r="J19" s="25"/>
      <c r="K19" s="25"/>
      <c r="L19" s="25"/>
    </row>
    <row r="20" ht="14.25" customHeight="1">
      <c r="A20" s="40" t="s">
        <v>18</v>
      </c>
      <c r="B20" s="25" t="s">
        <v>59</v>
      </c>
      <c r="C20" s="25" t="s">
        <v>61</v>
      </c>
      <c r="D20" s="25" t="s">
        <v>29</v>
      </c>
      <c r="E20" s="42" t="s">
        <v>62</v>
      </c>
      <c r="F20" s="25"/>
      <c r="G20" s="25"/>
      <c r="H20" s="25"/>
      <c r="I20" s="25"/>
      <c r="J20" s="25"/>
      <c r="K20" s="25"/>
      <c r="L20" s="25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ht="14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ht="1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ht="14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ht="1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ht="14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ht="14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</row>
  </sheetData>
  <mergeCells count="11">
    <mergeCell ref="C3:C4"/>
    <mergeCell ref="D3:D4"/>
    <mergeCell ref="K3:K4"/>
    <mergeCell ref="L3:L4"/>
    <mergeCell ref="J3:J4"/>
    <mergeCell ref="F3:I3"/>
    <mergeCell ref="A5:K5"/>
    <mergeCell ref="A1:L2"/>
    <mergeCell ref="A3:A4"/>
    <mergeCell ref="B3:B4"/>
    <mergeCell ref="E3:E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3.43"/>
    <col customWidth="1" min="2" max="2" width="25.0"/>
    <col customWidth="1" min="3" max="3" width="7.14"/>
    <col customWidth="1" min="4" max="4" width="6.14"/>
    <col customWidth="1" min="5" max="5" width="16.0"/>
    <col customWidth="1" min="6" max="9" width="5.29"/>
    <col customWidth="1" min="10" max="10" width="6.0"/>
    <col customWidth="1" min="11" max="11" width="8.0"/>
    <col customWidth="1" min="12" max="12" width="6.71"/>
    <col customWidth="1" min="13" max="26" width="8.71"/>
  </cols>
  <sheetData>
    <row r="1" ht="15.0" customHeight="1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56.25" customHeight="1">
      <c r="A2" s="5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11"/>
      <c r="H3" s="11"/>
      <c r="I3" s="12"/>
      <c r="J3" s="14" t="s">
        <v>10</v>
      </c>
      <c r="K3" s="9" t="s">
        <v>11</v>
      </c>
      <c r="L3" s="15" t="s">
        <v>12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>
        <v>1.0</v>
      </c>
      <c r="G4" s="20">
        <v>2.0</v>
      </c>
      <c r="H4" s="20">
        <v>3.0</v>
      </c>
      <c r="I4" s="21" t="s">
        <v>13</v>
      </c>
      <c r="J4" s="22"/>
      <c r="K4" s="18"/>
      <c r="L4" s="23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4.25" customHeight="1">
      <c r="A5" s="24" t="s">
        <v>16</v>
      </c>
      <c r="B5" s="2"/>
      <c r="C5" s="2"/>
      <c r="D5" s="2"/>
      <c r="E5" s="2"/>
      <c r="F5" s="2"/>
      <c r="G5" s="2"/>
      <c r="H5" s="2"/>
      <c r="I5" s="2"/>
      <c r="J5" s="2"/>
      <c r="K5" s="2"/>
      <c r="L5" s="25"/>
    </row>
    <row r="6" ht="14.25" customHeight="1">
      <c r="A6" s="26" t="s">
        <v>19</v>
      </c>
      <c r="B6" s="26" t="s">
        <v>23</v>
      </c>
      <c r="C6" s="26" t="s">
        <v>25</v>
      </c>
      <c r="D6" s="26" t="str">
        <f>"1,1076"</f>
        <v>1,1076</v>
      </c>
      <c r="E6" s="26" t="s">
        <v>27</v>
      </c>
      <c r="F6" s="26" t="s">
        <v>30</v>
      </c>
      <c r="G6" s="26" t="s">
        <v>31</v>
      </c>
      <c r="H6" s="27" t="s">
        <v>32</v>
      </c>
      <c r="I6" s="27"/>
      <c r="J6" s="26">
        <v>100.0</v>
      </c>
      <c r="K6" s="26" t="str">
        <f>"110,7600"</f>
        <v>110,7600</v>
      </c>
      <c r="L6" s="26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ht="14.25" customHeight="1">
      <c r="A8" s="30" t="s">
        <v>34</v>
      </c>
      <c r="L8" s="25"/>
    </row>
    <row r="9" ht="14.25" customHeight="1">
      <c r="A9" s="34" t="s">
        <v>41</v>
      </c>
      <c r="B9" s="34" t="s">
        <v>46</v>
      </c>
      <c r="C9" s="34" t="s">
        <v>47</v>
      </c>
      <c r="D9" s="34" t="str">
        <f>"0,6188"</f>
        <v>0,6188</v>
      </c>
      <c r="E9" s="34" t="s">
        <v>27</v>
      </c>
      <c r="F9" s="34" t="s">
        <v>52</v>
      </c>
      <c r="G9" s="34" t="s">
        <v>54</v>
      </c>
      <c r="H9" s="34" t="s">
        <v>55</v>
      </c>
      <c r="I9" s="37"/>
      <c r="J9" s="34">
        <v>220.0</v>
      </c>
      <c r="K9" s="34" t="str">
        <f>"136,1470"</f>
        <v>136,1470</v>
      </c>
      <c r="L9" s="34"/>
    </row>
    <row r="10" ht="14.25" customHeight="1">
      <c r="A10" s="41" t="s">
        <v>66</v>
      </c>
      <c r="B10" s="41" t="s">
        <v>67</v>
      </c>
      <c r="C10" s="41" t="s">
        <v>68</v>
      </c>
      <c r="D10" s="41" t="str">
        <f>"0,8895"</f>
        <v>0,8895</v>
      </c>
      <c r="E10" s="41" t="s">
        <v>27</v>
      </c>
      <c r="F10" s="41" t="s">
        <v>69</v>
      </c>
      <c r="G10" s="41" t="s">
        <v>70</v>
      </c>
      <c r="H10" s="41" t="s">
        <v>71</v>
      </c>
      <c r="I10" s="43"/>
      <c r="J10" s="41">
        <v>172.5</v>
      </c>
      <c r="K10" s="41" t="str">
        <f>"153,4344"</f>
        <v>153,4344</v>
      </c>
      <c r="L10" s="41"/>
    </row>
    <row r="1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ht="14.25" customHeight="1">
      <c r="A12" s="30" t="s">
        <v>15</v>
      </c>
      <c r="L12" s="25"/>
    </row>
    <row r="13" ht="14.25" customHeight="1">
      <c r="A13" s="34" t="s">
        <v>73</v>
      </c>
      <c r="B13" s="34" t="s">
        <v>74</v>
      </c>
      <c r="C13" s="34" t="s">
        <v>75</v>
      </c>
      <c r="D13" s="34" t="str">
        <f>"0,6029"</f>
        <v>0,6029</v>
      </c>
      <c r="E13" s="34" t="s">
        <v>27</v>
      </c>
      <c r="F13" s="34" t="s">
        <v>76</v>
      </c>
      <c r="G13" s="34" t="s">
        <v>78</v>
      </c>
      <c r="H13" s="34" t="s">
        <v>80</v>
      </c>
      <c r="I13" s="37" t="s">
        <v>82</v>
      </c>
      <c r="J13" s="34">
        <v>265.0</v>
      </c>
      <c r="K13" s="34" t="str">
        <f>"159,7761"</f>
        <v>159,7761</v>
      </c>
      <c r="L13" s="34"/>
    </row>
    <row r="14" ht="14.25" customHeight="1">
      <c r="A14" s="41" t="s">
        <v>84</v>
      </c>
      <c r="B14" s="41" t="s">
        <v>85</v>
      </c>
      <c r="C14" s="41" t="s">
        <v>86</v>
      </c>
      <c r="D14" s="41" t="str">
        <f>"0,6600"</f>
        <v>0,6600</v>
      </c>
      <c r="E14" s="41" t="s">
        <v>87</v>
      </c>
      <c r="F14" s="41" t="s">
        <v>83</v>
      </c>
      <c r="G14" s="41" t="s">
        <v>70</v>
      </c>
      <c r="H14" s="43" t="s">
        <v>89</v>
      </c>
      <c r="I14" s="43"/>
      <c r="J14" s="41">
        <v>160.0</v>
      </c>
      <c r="K14" s="41" t="str">
        <f>"105,5962"</f>
        <v>105,5962</v>
      </c>
      <c r="L14" s="41"/>
    </row>
    <row r="15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14.25" customHeight="1">
      <c r="A16" s="25"/>
      <c r="B16" s="25"/>
      <c r="C16" s="25"/>
      <c r="D16" s="25"/>
      <c r="E16" s="29" t="s">
        <v>33</v>
      </c>
      <c r="F16" s="25"/>
      <c r="G16" s="25"/>
      <c r="H16" s="25"/>
      <c r="I16" s="25"/>
      <c r="J16" s="25"/>
      <c r="K16" s="25"/>
      <c r="L16" s="25"/>
    </row>
    <row r="17" ht="14.25" customHeight="1">
      <c r="A17" s="25"/>
      <c r="B17" s="25"/>
      <c r="C17" s="25"/>
      <c r="D17" s="25"/>
      <c r="E17" s="29" t="s">
        <v>35</v>
      </c>
      <c r="F17" s="25"/>
      <c r="G17" s="25"/>
      <c r="H17" s="25"/>
      <c r="I17" s="25"/>
      <c r="J17" s="25"/>
      <c r="K17" s="25"/>
      <c r="L17" s="25"/>
    </row>
    <row r="18" ht="14.25" customHeight="1">
      <c r="A18" s="25"/>
      <c r="B18" s="25"/>
      <c r="C18" s="25"/>
      <c r="D18" s="25"/>
      <c r="E18" s="29" t="s">
        <v>36</v>
      </c>
      <c r="F18" s="25"/>
      <c r="G18" s="25"/>
      <c r="H18" s="25"/>
      <c r="I18" s="25"/>
      <c r="J18" s="25"/>
      <c r="K18" s="25"/>
      <c r="L18" s="25"/>
    </row>
    <row r="19" ht="14.25" customHeight="1">
      <c r="A19" s="25"/>
      <c r="B19" s="25"/>
      <c r="C19" s="25"/>
      <c r="D19" s="25"/>
      <c r="E19" s="25" t="s">
        <v>37</v>
      </c>
      <c r="F19" s="25"/>
      <c r="G19" s="25"/>
      <c r="H19" s="25"/>
      <c r="I19" s="25"/>
      <c r="J19" s="25"/>
      <c r="K19" s="25"/>
      <c r="L19" s="25"/>
    </row>
    <row r="20" ht="14.25" customHeight="1">
      <c r="A20" s="25"/>
      <c r="B20" s="25"/>
      <c r="C20" s="25"/>
      <c r="D20" s="25"/>
      <c r="E20" s="25" t="s">
        <v>38</v>
      </c>
      <c r="F20" s="25"/>
      <c r="G20" s="25"/>
      <c r="H20" s="25"/>
      <c r="I20" s="25"/>
      <c r="J20" s="25"/>
      <c r="K20" s="25"/>
      <c r="L20" s="25"/>
    </row>
    <row r="21" ht="14.25" customHeight="1">
      <c r="A21" s="25"/>
      <c r="B21" s="25"/>
      <c r="C21" s="25"/>
      <c r="D21" s="25"/>
      <c r="E21" s="25" t="s">
        <v>39</v>
      </c>
      <c r="F21" s="25"/>
      <c r="G21" s="25"/>
      <c r="H21" s="25"/>
      <c r="I21" s="25"/>
      <c r="J21" s="25"/>
      <c r="K21" s="25"/>
      <c r="L21" s="25"/>
    </row>
    <row r="22" ht="14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ht="14.25" customHeight="1">
      <c r="A23" s="31" t="s">
        <v>40</v>
      </c>
      <c r="B23" s="31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ht="14.25" customHeight="1">
      <c r="A24" s="33" t="s">
        <v>97</v>
      </c>
      <c r="B24" s="33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ht="14.25" customHeight="1">
      <c r="A25" s="35" t="s">
        <v>99</v>
      </c>
      <c r="B25" s="36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ht="14.25" customHeight="1">
      <c r="A26" s="38" t="s">
        <v>3</v>
      </c>
      <c r="B26" s="38" t="s">
        <v>56</v>
      </c>
      <c r="C26" s="38" t="s">
        <v>57</v>
      </c>
      <c r="D26" s="38" t="s">
        <v>10</v>
      </c>
      <c r="E26" s="38" t="s">
        <v>58</v>
      </c>
      <c r="F26" s="25"/>
      <c r="G26" s="25"/>
      <c r="H26" s="25"/>
      <c r="I26" s="25"/>
      <c r="J26" s="25"/>
      <c r="K26" s="25"/>
      <c r="L26" s="25"/>
    </row>
    <row r="27" ht="14.25" customHeight="1">
      <c r="A27" s="40" t="s">
        <v>19</v>
      </c>
      <c r="B27" s="25" t="s">
        <v>100</v>
      </c>
      <c r="C27" s="25" t="s">
        <v>101</v>
      </c>
      <c r="D27" s="25" t="s">
        <v>31</v>
      </c>
      <c r="E27" s="42" t="s">
        <v>102</v>
      </c>
      <c r="F27" s="25"/>
      <c r="G27" s="25"/>
      <c r="H27" s="25"/>
      <c r="I27" s="25"/>
      <c r="J27" s="25"/>
      <c r="K27" s="25"/>
      <c r="L27" s="25"/>
    </row>
    <row r="28" ht="1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ht="14.25" customHeight="1">
      <c r="A30" s="33" t="s">
        <v>42</v>
      </c>
      <c r="B30" s="33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ht="14.25" customHeight="1">
      <c r="A31" s="35" t="s">
        <v>103</v>
      </c>
      <c r="B31" s="36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ht="14.25" customHeight="1">
      <c r="A32" s="38" t="s">
        <v>3</v>
      </c>
      <c r="B32" s="38" t="s">
        <v>56</v>
      </c>
      <c r="C32" s="38" t="s">
        <v>57</v>
      </c>
      <c r="D32" s="38" t="s">
        <v>10</v>
      </c>
      <c r="E32" s="38" t="s">
        <v>58</v>
      </c>
      <c r="F32" s="25"/>
      <c r="G32" s="25"/>
      <c r="H32" s="25"/>
      <c r="I32" s="25"/>
      <c r="J32" s="25"/>
      <c r="K32" s="25"/>
      <c r="L32" s="25"/>
    </row>
    <row r="33" ht="14.25" customHeight="1">
      <c r="A33" s="40" t="s">
        <v>41</v>
      </c>
      <c r="B33" s="25" t="s">
        <v>103</v>
      </c>
      <c r="C33" s="25" t="s">
        <v>108</v>
      </c>
      <c r="D33" s="25" t="s">
        <v>55</v>
      </c>
      <c r="E33" s="42" t="s">
        <v>109</v>
      </c>
      <c r="F33" s="25"/>
      <c r="G33" s="25"/>
      <c r="H33" s="25"/>
      <c r="I33" s="25"/>
      <c r="J33" s="25"/>
      <c r="K33" s="25"/>
      <c r="L33" s="25"/>
    </row>
    <row r="34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ht="14.25" customHeight="1">
      <c r="A35" s="35" t="s">
        <v>45</v>
      </c>
      <c r="B35" s="36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ht="14.25" customHeight="1">
      <c r="A36" s="38" t="s">
        <v>3</v>
      </c>
      <c r="B36" s="38" t="s">
        <v>56</v>
      </c>
      <c r="C36" s="38" t="s">
        <v>57</v>
      </c>
      <c r="D36" s="38" t="s">
        <v>10</v>
      </c>
      <c r="E36" s="38" t="s">
        <v>58</v>
      </c>
      <c r="F36" s="25"/>
      <c r="G36" s="25"/>
      <c r="H36" s="25"/>
      <c r="I36" s="25"/>
      <c r="J36" s="25"/>
      <c r="K36" s="25"/>
      <c r="L36" s="25"/>
    </row>
    <row r="37" ht="14.25" customHeight="1">
      <c r="A37" s="40" t="s">
        <v>73</v>
      </c>
      <c r="B37" s="25" t="s">
        <v>115</v>
      </c>
      <c r="C37" s="25" t="s">
        <v>61</v>
      </c>
      <c r="D37" s="25" t="s">
        <v>80</v>
      </c>
      <c r="E37" s="42" t="s">
        <v>116</v>
      </c>
      <c r="F37" s="25"/>
      <c r="G37" s="25"/>
      <c r="H37" s="25"/>
      <c r="I37" s="25"/>
      <c r="J37" s="25"/>
      <c r="K37" s="25"/>
      <c r="L37" s="25"/>
    </row>
    <row r="38" ht="14.25" customHeight="1">
      <c r="A38" s="40" t="s">
        <v>66</v>
      </c>
      <c r="B38" s="25" t="s">
        <v>120</v>
      </c>
      <c r="C38" s="25" t="s">
        <v>108</v>
      </c>
      <c r="D38" s="25" t="s">
        <v>71</v>
      </c>
      <c r="E38" s="42" t="s">
        <v>121</v>
      </c>
      <c r="F38" s="25"/>
      <c r="G38" s="25"/>
      <c r="H38" s="25"/>
      <c r="I38" s="25"/>
      <c r="J38" s="25"/>
      <c r="K38" s="25"/>
      <c r="L38" s="25"/>
    </row>
    <row r="39" ht="14.25" customHeight="1">
      <c r="A39" s="40" t="s">
        <v>84</v>
      </c>
      <c r="B39" s="25" t="s">
        <v>122</v>
      </c>
      <c r="C39" s="25" t="s">
        <v>61</v>
      </c>
      <c r="D39" s="25" t="s">
        <v>70</v>
      </c>
      <c r="E39" s="42" t="s">
        <v>123</v>
      </c>
      <c r="F39" s="25"/>
      <c r="G39" s="25"/>
      <c r="H39" s="25"/>
      <c r="I39" s="25"/>
      <c r="J39" s="25"/>
      <c r="K39" s="25"/>
      <c r="L39" s="25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</row>
  </sheetData>
  <mergeCells count="13">
    <mergeCell ref="A3:A4"/>
    <mergeCell ref="B3:B4"/>
    <mergeCell ref="C3:C4"/>
    <mergeCell ref="D3:D4"/>
    <mergeCell ref="K3:K4"/>
    <mergeCell ref="L3:L4"/>
    <mergeCell ref="J3:J4"/>
    <mergeCell ref="F3:I3"/>
    <mergeCell ref="A5:K5"/>
    <mergeCell ref="A8:K8"/>
    <mergeCell ref="A12:K12"/>
    <mergeCell ref="A1:L2"/>
    <mergeCell ref="E3:E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3.43"/>
    <col customWidth="1" min="2" max="2" width="25.0"/>
    <col customWidth="1" min="3" max="3" width="7.14"/>
    <col customWidth="1" min="4" max="4" width="6.14"/>
    <col customWidth="1" min="5" max="5" width="16.0"/>
    <col customWidth="1" min="6" max="8" width="5.29"/>
    <col customWidth="1" min="9" max="9" width="4.29"/>
    <col customWidth="1" min="10" max="10" width="6.0"/>
    <col customWidth="1" min="11" max="11" width="8.0"/>
    <col customWidth="1" min="12" max="12" width="6.71"/>
    <col customWidth="1" min="13" max="26" width="8.71"/>
  </cols>
  <sheetData>
    <row r="1" ht="15.0" customHeight="1">
      <c r="A1" s="1" t="s">
        <v>334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5.75" customHeight="1">
      <c r="A2" s="5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9</v>
      </c>
      <c r="G3" s="11"/>
      <c r="H3" s="11"/>
      <c r="I3" s="12"/>
      <c r="J3" s="14" t="s">
        <v>10</v>
      </c>
      <c r="K3" s="9" t="s">
        <v>11</v>
      </c>
      <c r="L3" s="15" t="s">
        <v>12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>
        <v>1.0</v>
      </c>
      <c r="G4" s="20">
        <v>2.0</v>
      </c>
      <c r="H4" s="20">
        <v>3.0</v>
      </c>
      <c r="I4" s="21" t="s">
        <v>13</v>
      </c>
      <c r="J4" s="22"/>
      <c r="K4" s="18"/>
      <c r="L4" s="23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4.25" customHeight="1">
      <c r="A5" s="24" t="s">
        <v>133</v>
      </c>
      <c r="B5" s="2"/>
      <c r="C5" s="2"/>
      <c r="D5" s="2"/>
      <c r="E5" s="2"/>
      <c r="F5" s="2"/>
      <c r="G5" s="2"/>
      <c r="H5" s="2"/>
      <c r="I5" s="2"/>
      <c r="J5" s="2"/>
      <c r="K5" s="2"/>
      <c r="L5" s="25"/>
    </row>
    <row r="6" ht="14.25" customHeight="1">
      <c r="A6" s="26" t="s">
        <v>335</v>
      </c>
      <c r="B6" s="26" t="s">
        <v>336</v>
      </c>
      <c r="C6" s="26" t="s">
        <v>337</v>
      </c>
      <c r="D6" s="26" t="str">
        <f>"0,8122"</f>
        <v>0,8122</v>
      </c>
      <c r="E6" s="26" t="s">
        <v>27</v>
      </c>
      <c r="F6" s="26" t="s">
        <v>338</v>
      </c>
      <c r="G6" s="27" t="s">
        <v>30</v>
      </c>
      <c r="H6" s="27" t="s">
        <v>339</v>
      </c>
      <c r="I6" s="27"/>
      <c r="J6" s="26">
        <v>80.0</v>
      </c>
      <c r="K6" s="26" t="str">
        <f>"64,9760"</f>
        <v>64,9760</v>
      </c>
      <c r="L6" s="26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ht="14.25" customHeight="1">
      <c r="A8" s="30" t="s">
        <v>147</v>
      </c>
      <c r="L8" s="25"/>
    </row>
    <row r="9" ht="14.25" customHeight="1">
      <c r="A9" s="34" t="s">
        <v>340</v>
      </c>
      <c r="B9" s="34" t="s">
        <v>341</v>
      </c>
      <c r="C9" s="34" t="s">
        <v>342</v>
      </c>
      <c r="D9" s="34" t="str">
        <f>"0,7375"</f>
        <v>0,7375</v>
      </c>
      <c r="E9" s="34" t="s">
        <v>26</v>
      </c>
      <c r="F9" s="34" t="s">
        <v>30</v>
      </c>
      <c r="G9" s="37" t="s">
        <v>343</v>
      </c>
      <c r="H9" s="37" t="s">
        <v>343</v>
      </c>
      <c r="I9" s="37"/>
      <c r="J9" s="39" t="s">
        <v>108</v>
      </c>
      <c r="K9" s="34" t="s">
        <v>344</v>
      </c>
      <c r="L9" s="34"/>
    </row>
    <row r="10" ht="14.25" customHeight="1">
      <c r="A10" s="41" t="s">
        <v>345</v>
      </c>
      <c r="B10" s="41" t="s">
        <v>346</v>
      </c>
      <c r="C10" s="41" t="s">
        <v>347</v>
      </c>
      <c r="D10" s="41" t="str">
        <f>"0,6934"</f>
        <v>0,6934</v>
      </c>
      <c r="E10" s="41" t="s">
        <v>27</v>
      </c>
      <c r="F10" s="41" t="s">
        <v>69</v>
      </c>
      <c r="G10" s="41" t="s">
        <v>138</v>
      </c>
      <c r="H10" s="43" t="s">
        <v>89</v>
      </c>
      <c r="I10" s="43"/>
      <c r="J10" s="41">
        <v>157.5</v>
      </c>
      <c r="K10" s="41" t="str">
        <f>"109,2026"</f>
        <v>109,2026</v>
      </c>
      <c r="L10" s="41"/>
    </row>
    <row r="1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ht="14.25" customHeight="1">
      <c r="A12" s="30" t="s">
        <v>205</v>
      </c>
      <c r="L12" s="25"/>
    </row>
    <row r="13" ht="14.25" customHeight="1">
      <c r="A13" s="26" t="s">
        <v>348</v>
      </c>
      <c r="B13" s="26" t="s">
        <v>349</v>
      </c>
      <c r="C13" s="26" t="s">
        <v>350</v>
      </c>
      <c r="D13" s="26" t="str">
        <f>"0,6664"</f>
        <v>0,6664</v>
      </c>
      <c r="E13" s="26" t="s">
        <v>27</v>
      </c>
      <c r="F13" s="26" t="s">
        <v>32</v>
      </c>
      <c r="G13" s="26" t="s">
        <v>65</v>
      </c>
      <c r="H13" s="27" t="s">
        <v>351</v>
      </c>
      <c r="I13" s="27"/>
      <c r="J13" s="26">
        <v>125.0</v>
      </c>
      <c r="K13" s="26" t="str">
        <f>"83,3000"</f>
        <v>83,3000</v>
      </c>
      <c r="L13" s="26"/>
    </row>
    <row r="14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ht="14.25" customHeight="1">
      <c r="A15" s="30" t="s">
        <v>15</v>
      </c>
      <c r="L15" s="25"/>
    </row>
    <row r="16" ht="14.25" customHeight="1">
      <c r="A16" s="34" t="s">
        <v>243</v>
      </c>
      <c r="B16" s="34" t="s">
        <v>244</v>
      </c>
      <c r="C16" s="34" t="s">
        <v>352</v>
      </c>
      <c r="D16" s="34" t="str">
        <f>"0,5935"</f>
        <v>0,5935</v>
      </c>
      <c r="E16" s="34" t="s">
        <v>27</v>
      </c>
      <c r="F16" s="34" t="s">
        <v>32</v>
      </c>
      <c r="G16" s="34" t="s">
        <v>65</v>
      </c>
      <c r="H16" s="37" t="s">
        <v>51</v>
      </c>
      <c r="I16" s="37"/>
      <c r="J16" s="34">
        <v>125.0</v>
      </c>
      <c r="K16" s="34" t="str">
        <f>"74,1813"</f>
        <v>74,1813</v>
      </c>
      <c r="L16" s="34"/>
    </row>
    <row r="17" ht="14.25" customHeight="1">
      <c r="A17" s="45" t="s">
        <v>353</v>
      </c>
      <c r="B17" s="45" t="s">
        <v>354</v>
      </c>
      <c r="C17" s="45" t="s">
        <v>355</v>
      </c>
      <c r="D17" s="45" t="str">
        <f>"0,6041"</f>
        <v>0,6041</v>
      </c>
      <c r="E17" s="45" t="s">
        <v>27</v>
      </c>
      <c r="F17" s="45" t="s">
        <v>76</v>
      </c>
      <c r="G17" s="45" t="s">
        <v>356</v>
      </c>
      <c r="H17" s="45" t="s">
        <v>78</v>
      </c>
      <c r="I17" s="46"/>
      <c r="J17" s="45">
        <v>255.0</v>
      </c>
      <c r="K17" s="45" t="str">
        <f>"154,0582"</f>
        <v>154,0582</v>
      </c>
      <c r="L17" s="45"/>
    </row>
    <row r="18" ht="14.25" customHeight="1">
      <c r="A18" s="45" t="s">
        <v>357</v>
      </c>
      <c r="B18" s="45" t="s">
        <v>358</v>
      </c>
      <c r="C18" s="45" t="s">
        <v>359</v>
      </c>
      <c r="D18" s="45" t="str">
        <f>"0,5835"</f>
        <v>0,5835</v>
      </c>
      <c r="E18" s="45" t="s">
        <v>27</v>
      </c>
      <c r="F18" s="46" t="s">
        <v>231</v>
      </c>
      <c r="G18" s="45" t="s">
        <v>231</v>
      </c>
      <c r="H18" s="45" t="s">
        <v>356</v>
      </c>
      <c r="I18" s="46"/>
      <c r="J18" s="45">
        <v>247.5</v>
      </c>
      <c r="K18" s="45" t="str">
        <f>"144,4286"</f>
        <v>144,4286</v>
      </c>
      <c r="L18" s="45"/>
    </row>
    <row r="19" ht="14.25" customHeight="1">
      <c r="A19" s="41" t="s">
        <v>360</v>
      </c>
      <c r="B19" s="41" t="s">
        <v>361</v>
      </c>
      <c r="C19" s="41" t="s">
        <v>362</v>
      </c>
      <c r="D19" s="41" t="str">
        <f>"0,5846"</f>
        <v>0,5846</v>
      </c>
      <c r="E19" s="41" t="s">
        <v>363</v>
      </c>
      <c r="F19" s="41" t="s">
        <v>51</v>
      </c>
      <c r="G19" s="43" t="s">
        <v>70</v>
      </c>
      <c r="H19" s="43" t="s">
        <v>168</v>
      </c>
      <c r="I19" s="43"/>
      <c r="J19" s="41">
        <v>140.0</v>
      </c>
      <c r="K19" s="41" t="str">
        <f>"81,8370"</f>
        <v>81,8370</v>
      </c>
      <c r="L19" s="41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ht="14.25" customHeight="1">
      <c r="A21" s="30" t="s">
        <v>276</v>
      </c>
      <c r="L21" s="25"/>
    </row>
    <row r="22" ht="14.25" customHeight="1">
      <c r="A22" s="34" t="s">
        <v>277</v>
      </c>
      <c r="B22" s="34" t="s">
        <v>278</v>
      </c>
      <c r="C22" s="34" t="s">
        <v>279</v>
      </c>
      <c r="D22" s="34" t="str">
        <f>"0,5502"</f>
        <v>0,5502</v>
      </c>
      <c r="E22" s="34" t="s">
        <v>27</v>
      </c>
      <c r="F22" s="37" t="s">
        <v>179</v>
      </c>
      <c r="G22" s="37" t="s">
        <v>179</v>
      </c>
      <c r="H22" s="37" t="s">
        <v>179</v>
      </c>
      <c r="I22" s="37"/>
      <c r="J22" s="34">
        <v>0.0</v>
      </c>
      <c r="K22" s="34" t="str">
        <f>"0,0000"</f>
        <v>0,0000</v>
      </c>
      <c r="L22" s="34"/>
    </row>
    <row r="23" ht="14.25" customHeight="1">
      <c r="A23" s="41" t="s">
        <v>364</v>
      </c>
      <c r="B23" s="41" t="s">
        <v>365</v>
      </c>
      <c r="C23" s="41" t="s">
        <v>366</v>
      </c>
      <c r="D23" s="41" t="str">
        <f>"0,6100"</f>
        <v>0,6100</v>
      </c>
      <c r="E23" s="41" t="s">
        <v>27</v>
      </c>
      <c r="F23" s="41" t="s">
        <v>189</v>
      </c>
      <c r="G23" s="41" t="s">
        <v>54</v>
      </c>
      <c r="H23" s="41" t="s">
        <v>180</v>
      </c>
      <c r="I23" s="43"/>
      <c r="J23" s="41">
        <v>215.0</v>
      </c>
      <c r="K23" s="41" t="str">
        <f>"131,1576"</f>
        <v>131,1576</v>
      </c>
      <c r="L23" s="41"/>
    </row>
    <row r="24" ht="1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ht="14.25" customHeight="1">
      <c r="A25" s="30" t="s">
        <v>367</v>
      </c>
      <c r="L25" s="25"/>
    </row>
    <row r="26" ht="14.25" customHeight="1">
      <c r="A26" s="26" t="s">
        <v>368</v>
      </c>
      <c r="B26" s="26" t="s">
        <v>369</v>
      </c>
      <c r="C26" s="26" t="s">
        <v>370</v>
      </c>
      <c r="D26" s="26" t="str">
        <f>"0,6016"</f>
        <v>0,6016</v>
      </c>
      <c r="E26" s="26" t="s">
        <v>27</v>
      </c>
      <c r="F26" s="26" t="s">
        <v>228</v>
      </c>
      <c r="G26" s="26" t="s">
        <v>371</v>
      </c>
      <c r="H26" s="27" t="s">
        <v>372</v>
      </c>
      <c r="I26" s="27"/>
      <c r="J26" s="26">
        <v>280.0</v>
      </c>
      <c r="K26" s="26" t="str">
        <f>"168,4404"</f>
        <v>168,4404</v>
      </c>
      <c r="L26" s="26"/>
    </row>
    <row r="27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ht="14.25" customHeight="1">
      <c r="A28" s="25"/>
      <c r="B28" s="25"/>
      <c r="C28" s="25"/>
      <c r="D28" s="25"/>
      <c r="E28" s="29" t="s">
        <v>33</v>
      </c>
      <c r="F28" s="25"/>
      <c r="G28" s="25"/>
      <c r="H28" s="25"/>
      <c r="I28" s="25"/>
      <c r="J28" s="25"/>
      <c r="K28" s="25"/>
      <c r="L28" s="25"/>
    </row>
    <row r="29" ht="14.25" customHeight="1">
      <c r="A29" s="25"/>
      <c r="B29" s="25"/>
      <c r="C29" s="25"/>
      <c r="D29" s="25"/>
      <c r="E29" s="29" t="s">
        <v>35</v>
      </c>
      <c r="F29" s="25"/>
      <c r="G29" s="25"/>
      <c r="H29" s="25"/>
      <c r="I29" s="25"/>
      <c r="J29" s="25"/>
      <c r="K29" s="25"/>
      <c r="L29" s="25"/>
    </row>
    <row r="30" ht="14.25" customHeight="1">
      <c r="A30" s="25"/>
      <c r="B30" s="25"/>
      <c r="C30" s="25"/>
      <c r="D30" s="25"/>
      <c r="E30" s="29" t="s">
        <v>36</v>
      </c>
      <c r="F30" s="25"/>
      <c r="G30" s="25"/>
      <c r="H30" s="25"/>
      <c r="I30" s="25"/>
      <c r="J30" s="25"/>
      <c r="K30" s="25"/>
      <c r="L30" s="25"/>
    </row>
    <row r="31" ht="14.25" customHeight="1">
      <c r="A31" s="25"/>
      <c r="B31" s="25"/>
      <c r="C31" s="25"/>
      <c r="D31" s="25"/>
      <c r="E31" s="25" t="s">
        <v>37</v>
      </c>
      <c r="F31" s="25"/>
      <c r="G31" s="25"/>
      <c r="H31" s="25"/>
      <c r="I31" s="25"/>
      <c r="J31" s="25"/>
      <c r="K31" s="25"/>
      <c r="L31" s="25"/>
    </row>
    <row r="32" ht="14.25" customHeight="1">
      <c r="A32" s="25"/>
      <c r="B32" s="25"/>
      <c r="C32" s="25"/>
      <c r="D32" s="25"/>
      <c r="E32" s="25" t="s">
        <v>38</v>
      </c>
      <c r="F32" s="25"/>
      <c r="G32" s="25"/>
      <c r="H32" s="25"/>
      <c r="I32" s="25"/>
      <c r="J32" s="25"/>
      <c r="K32" s="25"/>
      <c r="L32" s="25"/>
    </row>
    <row r="33" ht="14.25" customHeight="1">
      <c r="A33" s="25"/>
      <c r="B33" s="25"/>
      <c r="C33" s="25"/>
      <c r="D33" s="25"/>
      <c r="E33" s="25" t="s">
        <v>39</v>
      </c>
      <c r="F33" s="25"/>
      <c r="G33" s="25"/>
      <c r="H33" s="25"/>
      <c r="I33" s="25"/>
      <c r="J33" s="25"/>
      <c r="K33" s="25"/>
      <c r="L33" s="25"/>
    </row>
    <row r="34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ht="14.25" customHeight="1">
      <c r="A36" s="31" t="s">
        <v>40</v>
      </c>
      <c r="B36" s="31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ht="14.25" customHeight="1">
      <c r="A37" s="33" t="s">
        <v>42</v>
      </c>
      <c r="B37" s="33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ht="14.25" customHeight="1">
      <c r="A38" s="35" t="s">
        <v>99</v>
      </c>
      <c r="B38" s="36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ht="14.25" customHeight="1">
      <c r="A39" s="38" t="s">
        <v>3</v>
      </c>
      <c r="B39" s="38" t="s">
        <v>56</v>
      </c>
      <c r="C39" s="38" t="s">
        <v>57</v>
      </c>
      <c r="D39" s="38" t="s">
        <v>10</v>
      </c>
      <c r="E39" s="38" t="s">
        <v>58</v>
      </c>
      <c r="F39" s="25"/>
      <c r="G39" s="25"/>
      <c r="H39" s="25"/>
      <c r="I39" s="25"/>
      <c r="J39" s="25"/>
      <c r="K39" s="25"/>
      <c r="L39" s="25"/>
    </row>
    <row r="40" ht="14.25" customHeight="1">
      <c r="A40" s="40" t="s">
        <v>340</v>
      </c>
      <c r="B40" s="25" t="s">
        <v>100</v>
      </c>
      <c r="C40" s="25" t="s">
        <v>286</v>
      </c>
      <c r="D40" s="48" t="s">
        <v>30</v>
      </c>
      <c r="E40" s="49" t="s">
        <v>344</v>
      </c>
      <c r="F40" s="25"/>
      <c r="G40" s="25"/>
      <c r="H40" s="25"/>
      <c r="I40" s="25"/>
      <c r="J40" s="25"/>
      <c r="K40" s="25"/>
      <c r="L40" s="25"/>
    </row>
    <row r="41" ht="14.25" customHeight="1">
      <c r="A41" s="40" t="s">
        <v>335</v>
      </c>
      <c r="B41" s="25" t="s">
        <v>308</v>
      </c>
      <c r="C41" s="25" t="s">
        <v>293</v>
      </c>
      <c r="D41" s="25" t="s">
        <v>338</v>
      </c>
      <c r="E41" s="42" t="s">
        <v>373</v>
      </c>
      <c r="F41" s="25"/>
      <c r="G41" s="25"/>
      <c r="H41" s="25"/>
      <c r="I41" s="25"/>
      <c r="J41" s="25"/>
      <c r="K41" s="25"/>
      <c r="L41" s="25"/>
    </row>
    <row r="42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ht="14.25" customHeight="1">
      <c r="A43" s="35" t="s">
        <v>282</v>
      </c>
      <c r="B43" s="36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ht="14.25" customHeight="1">
      <c r="A44" s="38" t="s">
        <v>3</v>
      </c>
      <c r="B44" s="38" t="s">
        <v>56</v>
      </c>
      <c r="C44" s="38" t="s">
        <v>57</v>
      </c>
      <c r="D44" s="38" t="s">
        <v>10</v>
      </c>
      <c r="E44" s="38" t="s">
        <v>58</v>
      </c>
      <c r="F44" s="25"/>
      <c r="G44" s="25"/>
      <c r="H44" s="25"/>
      <c r="I44" s="25"/>
      <c r="J44" s="25"/>
      <c r="K44" s="25"/>
      <c r="L44" s="25"/>
    </row>
    <row r="45" ht="14.25" customHeight="1">
      <c r="A45" s="40" t="s">
        <v>243</v>
      </c>
      <c r="B45" s="25" t="s">
        <v>283</v>
      </c>
      <c r="C45" s="25" t="s">
        <v>61</v>
      </c>
      <c r="D45" s="25" t="s">
        <v>65</v>
      </c>
      <c r="E45" s="42" t="s">
        <v>374</v>
      </c>
      <c r="F45" s="25"/>
      <c r="G45" s="25"/>
      <c r="H45" s="25"/>
      <c r="I45" s="25"/>
      <c r="J45" s="25"/>
      <c r="K45" s="25"/>
      <c r="L45" s="25"/>
    </row>
    <row r="4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ht="14.25" customHeight="1">
      <c r="A47" s="35" t="s">
        <v>103</v>
      </c>
      <c r="B47" s="36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ht="14.25" customHeight="1">
      <c r="A48" s="38" t="s">
        <v>3</v>
      </c>
      <c r="B48" s="38" t="s">
        <v>56</v>
      </c>
      <c r="C48" s="38" t="s">
        <v>57</v>
      </c>
      <c r="D48" s="38" t="s">
        <v>10</v>
      </c>
      <c r="E48" s="38" t="s">
        <v>58</v>
      </c>
      <c r="F48" s="25"/>
      <c r="G48" s="25"/>
      <c r="H48" s="25"/>
      <c r="I48" s="25"/>
      <c r="J48" s="25"/>
      <c r="K48" s="25"/>
      <c r="L48" s="25"/>
    </row>
    <row r="49" ht="14.25" customHeight="1">
      <c r="A49" s="40" t="s">
        <v>353</v>
      </c>
      <c r="B49" s="25" t="s">
        <v>103</v>
      </c>
      <c r="C49" s="25" t="s">
        <v>61</v>
      </c>
      <c r="D49" s="25" t="s">
        <v>78</v>
      </c>
      <c r="E49" s="42" t="s">
        <v>375</v>
      </c>
      <c r="F49" s="25"/>
      <c r="G49" s="25"/>
      <c r="H49" s="25"/>
      <c r="I49" s="25"/>
      <c r="J49" s="25"/>
      <c r="K49" s="25"/>
      <c r="L49" s="25"/>
    </row>
    <row r="50" ht="14.25" customHeight="1">
      <c r="A50" s="40" t="s">
        <v>357</v>
      </c>
      <c r="B50" s="25" t="s">
        <v>103</v>
      </c>
      <c r="C50" s="25" t="s">
        <v>61</v>
      </c>
      <c r="D50" s="25" t="s">
        <v>356</v>
      </c>
      <c r="E50" s="42" t="s">
        <v>376</v>
      </c>
      <c r="F50" s="25"/>
      <c r="G50" s="25"/>
      <c r="H50" s="25"/>
      <c r="I50" s="25"/>
      <c r="J50" s="25"/>
      <c r="K50" s="25"/>
      <c r="L50" s="25"/>
    </row>
    <row r="51" ht="14.25" customHeight="1">
      <c r="A51" s="40" t="s">
        <v>348</v>
      </c>
      <c r="B51" s="25" t="s">
        <v>103</v>
      </c>
      <c r="C51" s="25" t="s">
        <v>306</v>
      </c>
      <c r="D51" s="25" t="s">
        <v>65</v>
      </c>
      <c r="E51" s="42" t="s">
        <v>377</v>
      </c>
      <c r="F51" s="25"/>
      <c r="G51" s="25"/>
      <c r="H51" s="25"/>
      <c r="I51" s="25"/>
      <c r="J51" s="25"/>
      <c r="K51" s="25"/>
      <c r="L51" s="25"/>
    </row>
    <row r="52" ht="14.25" customHeight="1">
      <c r="A52" s="40" t="s">
        <v>360</v>
      </c>
      <c r="B52" s="25" t="s">
        <v>103</v>
      </c>
      <c r="C52" s="25" t="s">
        <v>61</v>
      </c>
      <c r="D52" s="25" t="s">
        <v>51</v>
      </c>
      <c r="E52" s="42" t="s">
        <v>378</v>
      </c>
      <c r="F52" s="25"/>
      <c r="G52" s="25"/>
      <c r="H52" s="25"/>
      <c r="I52" s="25"/>
      <c r="J52" s="25"/>
      <c r="K52" s="25"/>
      <c r="L52" s="25"/>
    </row>
    <row r="53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ht="14.25" customHeight="1">
      <c r="A54" s="35" t="s">
        <v>45</v>
      </c>
      <c r="B54" s="36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ht="14.25" customHeight="1">
      <c r="A55" s="38" t="s">
        <v>3</v>
      </c>
      <c r="B55" s="38" t="s">
        <v>56</v>
      </c>
      <c r="C55" s="38" t="s">
        <v>57</v>
      </c>
      <c r="D55" s="38" t="s">
        <v>10</v>
      </c>
      <c r="E55" s="38" t="s">
        <v>58</v>
      </c>
      <c r="F55" s="25"/>
      <c r="G55" s="25"/>
      <c r="H55" s="25"/>
      <c r="I55" s="25"/>
      <c r="J55" s="25"/>
      <c r="K55" s="25"/>
      <c r="L55" s="25"/>
    </row>
    <row r="56" ht="14.25" customHeight="1">
      <c r="A56" s="40" t="s">
        <v>368</v>
      </c>
      <c r="B56" s="25" t="s">
        <v>122</v>
      </c>
      <c r="C56" s="25" t="s">
        <v>379</v>
      </c>
      <c r="D56" s="25" t="s">
        <v>371</v>
      </c>
      <c r="E56" s="42" t="s">
        <v>380</v>
      </c>
      <c r="F56" s="25"/>
      <c r="G56" s="25"/>
      <c r="H56" s="25"/>
      <c r="I56" s="25"/>
      <c r="J56" s="25"/>
      <c r="K56" s="25"/>
      <c r="L56" s="25"/>
    </row>
    <row r="57" ht="14.25" customHeight="1">
      <c r="A57" s="40" t="s">
        <v>364</v>
      </c>
      <c r="B57" s="25" t="s">
        <v>300</v>
      </c>
      <c r="C57" s="25" t="s">
        <v>381</v>
      </c>
      <c r="D57" s="25" t="s">
        <v>180</v>
      </c>
      <c r="E57" s="42" t="s">
        <v>382</v>
      </c>
      <c r="F57" s="25"/>
      <c r="G57" s="25"/>
      <c r="H57" s="25"/>
      <c r="I57" s="25"/>
      <c r="J57" s="25"/>
      <c r="K57" s="25"/>
      <c r="L57" s="25"/>
    </row>
    <row r="58" ht="14.25" customHeight="1">
      <c r="A58" s="40" t="s">
        <v>345</v>
      </c>
      <c r="B58" s="25" t="s">
        <v>115</v>
      </c>
      <c r="C58" s="25" t="s">
        <v>286</v>
      </c>
      <c r="D58" s="25" t="s">
        <v>138</v>
      </c>
      <c r="E58" s="42" t="s">
        <v>383</v>
      </c>
      <c r="F58" s="25"/>
      <c r="G58" s="25"/>
      <c r="H58" s="25"/>
      <c r="I58" s="25"/>
      <c r="J58" s="25"/>
      <c r="K58" s="25"/>
      <c r="L58" s="25"/>
    </row>
    <row r="59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</row>
  </sheetData>
  <mergeCells count="16">
    <mergeCell ref="A21:K21"/>
    <mergeCell ref="A25:K25"/>
    <mergeCell ref="F3:I3"/>
    <mergeCell ref="A3:A4"/>
    <mergeCell ref="B3:B4"/>
    <mergeCell ref="C3:C4"/>
    <mergeCell ref="D3:D4"/>
    <mergeCell ref="E3:E4"/>
    <mergeCell ref="J3:J4"/>
    <mergeCell ref="K3:K4"/>
    <mergeCell ref="A5:K5"/>
    <mergeCell ref="A8:K8"/>
    <mergeCell ref="A12:K12"/>
    <mergeCell ref="A15:K15"/>
    <mergeCell ref="A1:L2"/>
    <mergeCell ref="L3:L4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3.43"/>
    <col customWidth="1" min="2" max="2" width="25.0"/>
    <col customWidth="1" min="3" max="3" width="7.14"/>
    <col customWidth="1" min="4" max="4" width="6.14"/>
    <col customWidth="1" min="5" max="5" width="16.0"/>
    <col customWidth="1" min="6" max="8" width="5.29"/>
    <col customWidth="1" min="9" max="9" width="4.29"/>
    <col customWidth="1" min="10" max="10" width="6.0"/>
    <col customWidth="1" min="11" max="11" width="8.0"/>
    <col customWidth="1" min="12" max="12" width="13.14"/>
    <col customWidth="1" min="13" max="26" width="8.71"/>
  </cols>
  <sheetData>
    <row r="1" ht="15.0" customHeight="1">
      <c r="A1" s="1" t="s">
        <v>384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1.5" customHeight="1">
      <c r="A2" s="5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9</v>
      </c>
      <c r="G3" s="11"/>
      <c r="H3" s="11"/>
      <c r="I3" s="12"/>
      <c r="J3" s="13" t="s">
        <v>10</v>
      </c>
      <c r="K3" s="9" t="s">
        <v>11</v>
      </c>
      <c r="L3" s="15" t="s">
        <v>12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>
        <v>1.0</v>
      </c>
      <c r="G4" s="20">
        <v>2.0</v>
      </c>
      <c r="H4" s="20">
        <v>3.0</v>
      </c>
      <c r="I4" s="21" t="s">
        <v>13</v>
      </c>
      <c r="J4" s="22"/>
      <c r="K4" s="18"/>
      <c r="L4" s="23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4.25" customHeight="1">
      <c r="A5" s="24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  <c r="L5" s="25"/>
    </row>
    <row r="6" ht="14.25" customHeight="1">
      <c r="A6" s="34" t="s">
        <v>385</v>
      </c>
      <c r="B6" s="34" t="s">
        <v>386</v>
      </c>
      <c r="C6" s="34" t="s">
        <v>159</v>
      </c>
      <c r="D6" s="34" t="str">
        <f>"1,3437"</f>
        <v>1,3437</v>
      </c>
      <c r="E6" s="34" t="s">
        <v>27</v>
      </c>
      <c r="F6" s="34" t="s">
        <v>387</v>
      </c>
      <c r="G6" s="34" t="s">
        <v>388</v>
      </c>
      <c r="H6" s="37" t="s">
        <v>389</v>
      </c>
      <c r="I6" s="37"/>
      <c r="J6" s="39">
        <v>30.0</v>
      </c>
      <c r="K6" s="34" t="str">
        <f>"40,3110"</f>
        <v>40,3110</v>
      </c>
      <c r="L6" s="34"/>
    </row>
    <row r="7" ht="14.25" customHeight="1">
      <c r="A7" s="41" t="s">
        <v>390</v>
      </c>
      <c r="B7" s="41" t="s">
        <v>391</v>
      </c>
      <c r="C7" s="41" t="s">
        <v>392</v>
      </c>
      <c r="D7" s="41" t="str">
        <f>"1,2936"</f>
        <v>1,2936</v>
      </c>
      <c r="E7" s="41" t="s">
        <v>27</v>
      </c>
      <c r="F7" s="41" t="s">
        <v>393</v>
      </c>
      <c r="G7" s="43" t="s">
        <v>394</v>
      </c>
      <c r="H7" s="43" t="s">
        <v>394</v>
      </c>
      <c r="I7" s="43"/>
      <c r="J7" s="44" t="s">
        <v>395</v>
      </c>
      <c r="K7" s="41" t="s">
        <v>396</v>
      </c>
      <c r="L7" s="41"/>
    </row>
    <row r="8" ht="14.25" customHeight="1">
      <c r="A8" s="25"/>
      <c r="B8" s="25"/>
      <c r="C8" s="25"/>
      <c r="D8" s="25"/>
      <c r="E8" s="25"/>
      <c r="F8" s="25"/>
      <c r="G8" s="25"/>
      <c r="H8" s="25"/>
      <c r="I8" s="25"/>
      <c r="J8" s="32"/>
      <c r="K8" s="25"/>
      <c r="L8" s="25"/>
    </row>
    <row r="9" ht="14.25" customHeight="1">
      <c r="A9" s="30" t="s">
        <v>43</v>
      </c>
      <c r="L9" s="25"/>
    </row>
    <row r="10" ht="14.25" customHeight="1">
      <c r="A10" s="26" t="s">
        <v>397</v>
      </c>
      <c r="B10" s="26" t="s">
        <v>398</v>
      </c>
      <c r="C10" s="26" t="s">
        <v>399</v>
      </c>
      <c r="D10" s="26" t="str">
        <f>"1,2220"</f>
        <v>1,2220</v>
      </c>
      <c r="E10" s="26" t="s">
        <v>400</v>
      </c>
      <c r="F10" s="26" t="s">
        <v>401</v>
      </c>
      <c r="G10" s="27" t="s">
        <v>402</v>
      </c>
      <c r="H10" s="27" t="s">
        <v>402</v>
      </c>
      <c r="I10" s="27"/>
      <c r="J10" s="28" t="s">
        <v>401</v>
      </c>
      <c r="K10" s="26" t="s">
        <v>403</v>
      </c>
      <c r="L10" s="26"/>
    </row>
    <row r="1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32"/>
      <c r="K11" s="25"/>
      <c r="L11" s="25"/>
    </row>
    <row r="12" ht="14.25" customHeight="1">
      <c r="A12" s="30" t="s">
        <v>16</v>
      </c>
      <c r="L12" s="25"/>
    </row>
    <row r="13" ht="14.25" customHeight="1">
      <c r="A13" s="34" t="s">
        <v>404</v>
      </c>
      <c r="B13" s="34" t="s">
        <v>405</v>
      </c>
      <c r="C13" s="34" t="s">
        <v>406</v>
      </c>
      <c r="D13" s="34" t="str">
        <f>"1,1144"</f>
        <v>1,1144</v>
      </c>
      <c r="E13" s="34" t="s">
        <v>27</v>
      </c>
      <c r="F13" s="34" t="s">
        <v>388</v>
      </c>
      <c r="G13" s="37" t="s">
        <v>393</v>
      </c>
      <c r="H13" s="37" t="s">
        <v>393</v>
      </c>
      <c r="I13" s="37"/>
      <c r="J13" s="39" t="s">
        <v>407</v>
      </c>
      <c r="K13" s="34" t="s">
        <v>408</v>
      </c>
      <c r="L13" s="34"/>
    </row>
    <row r="14" ht="14.25" customHeight="1">
      <c r="A14" s="45" t="s">
        <v>409</v>
      </c>
      <c r="B14" s="45" t="s">
        <v>410</v>
      </c>
      <c r="C14" s="45" t="s">
        <v>411</v>
      </c>
      <c r="D14" s="45" t="str">
        <f>"1,1110"</f>
        <v>1,1110</v>
      </c>
      <c r="E14" s="45" t="s">
        <v>27</v>
      </c>
      <c r="F14" s="45" t="s">
        <v>412</v>
      </c>
      <c r="G14" s="45" t="s">
        <v>413</v>
      </c>
      <c r="H14" s="45" t="s">
        <v>414</v>
      </c>
      <c r="I14" s="46"/>
      <c r="J14" s="47">
        <v>72.5</v>
      </c>
      <c r="K14" s="45" t="str">
        <f>"80,5475"</f>
        <v>80,5475</v>
      </c>
      <c r="L14" s="45"/>
    </row>
    <row r="15" ht="14.25" customHeight="1">
      <c r="A15" s="41" t="s">
        <v>415</v>
      </c>
      <c r="B15" s="41" t="s">
        <v>416</v>
      </c>
      <c r="C15" s="41" t="s">
        <v>417</v>
      </c>
      <c r="D15" s="41" t="str">
        <f>"1,2245"</f>
        <v>1,2245</v>
      </c>
      <c r="E15" s="41" t="s">
        <v>27</v>
      </c>
      <c r="F15" s="41" t="s">
        <v>418</v>
      </c>
      <c r="G15" s="41" t="s">
        <v>419</v>
      </c>
      <c r="H15" s="43" t="s">
        <v>420</v>
      </c>
      <c r="I15" s="43"/>
      <c r="J15" s="44">
        <v>45.0</v>
      </c>
      <c r="K15" s="41" t="str">
        <f>"55,1025"</f>
        <v>55,1025</v>
      </c>
      <c r="L15" s="41"/>
    </row>
    <row r="16" ht="14.25" customHeight="1">
      <c r="A16" s="25"/>
      <c r="B16" s="25"/>
      <c r="C16" s="25"/>
      <c r="D16" s="25"/>
      <c r="E16" s="25"/>
      <c r="F16" s="25"/>
      <c r="G16" s="25"/>
      <c r="H16" s="25"/>
      <c r="I16" s="25"/>
      <c r="J16" s="32"/>
      <c r="K16" s="25"/>
      <c r="L16" s="25"/>
    </row>
    <row r="17" ht="14.25" customHeight="1">
      <c r="A17" s="30" t="s">
        <v>88</v>
      </c>
      <c r="L17" s="25"/>
    </row>
    <row r="18" ht="14.25" customHeight="1">
      <c r="A18" s="34" t="s">
        <v>421</v>
      </c>
      <c r="B18" s="34" t="s">
        <v>422</v>
      </c>
      <c r="C18" s="34" t="s">
        <v>423</v>
      </c>
      <c r="D18" s="34" t="str">
        <f>"1,0454"</f>
        <v>1,0454</v>
      </c>
      <c r="E18" s="34" t="s">
        <v>27</v>
      </c>
      <c r="F18" s="34" t="s">
        <v>424</v>
      </c>
      <c r="G18" s="34" t="s">
        <v>401</v>
      </c>
      <c r="H18" s="37" t="s">
        <v>402</v>
      </c>
      <c r="I18" s="37"/>
      <c r="J18" s="39">
        <v>52.5</v>
      </c>
      <c r="K18" s="34" t="str">
        <f>"54,8835"</f>
        <v>54,8835</v>
      </c>
      <c r="L18" s="34"/>
    </row>
    <row r="19" ht="14.25" customHeight="1">
      <c r="A19" s="41" t="s">
        <v>425</v>
      </c>
      <c r="B19" s="41" t="s">
        <v>426</v>
      </c>
      <c r="C19" s="41" t="s">
        <v>92</v>
      </c>
      <c r="D19" s="41" t="str">
        <f>"1,0561"</f>
        <v>1,0561</v>
      </c>
      <c r="E19" s="41" t="s">
        <v>27</v>
      </c>
      <c r="F19" s="41" t="s">
        <v>420</v>
      </c>
      <c r="G19" s="43" t="s">
        <v>401</v>
      </c>
      <c r="H19" s="43" t="s">
        <v>402</v>
      </c>
      <c r="I19" s="43"/>
      <c r="J19" s="44">
        <v>47.5</v>
      </c>
      <c r="K19" s="41" t="str">
        <f>"50,1648"</f>
        <v>50,1648</v>
      </c>
      <c r="L19" s="41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32"/>
      <c r="K20" s="25"/>
      <c r="L20" s="25"/>
    </row>
    <row r="21" ht="14.25" customHeight="1">
      <c r="A21" s="30" t="s">
        <v>124</v>
      </c>
      <c r="L21" s="25"/>
    </row>
    <row r="22" ht="14.25" customHeight="1">
      <c r="A22" s="34" t="s">
        <v>427</v>
      </c>
      <c r="B22" s="34" t="s">
        <v>428</v>
      </c>
      <c r="C22" s="34" t="s">
        <v>429</v>
      </c>
      <c r="D22" s="34" t="str">
        <f>"0,9997"</f>
        <v>0,9997</v>
      </c>
      <c r="E22" s="34" t="s">
        <v>27</v>
      </c>
      <c r="F22" s="34" t="s">
        <v>430</v>
      </c>
      <c r="G22" s="34" t="s">
        <v>431</v>
      </c>
      <c r="H22" s="34" t="s">
        <v>413</v>
      </c>
      <c r="I22" s="37"/>
      <c r="J22" s="39">
        <v>70.0</v>
      </c>
      <c r="K22" s="34" t="str">
        <f>"69,9790"</f>
        <v>69,9790</v>
      </c>
      <c r="L22" s="34"/>
    </row>
    <row r="23" ht="14.25" customHeight="1">
      <c r="A23" s="45" t="s">
        <v>432</v>
      </c>
      <c r="B23" s="45" t="s">
        <v>433</v>
      </c>
      <c r="C23" s="45" t="s">
        <v>434</v>
      </c>
      <c r="D23" s="45" t="str">
        <f>"0,9916"</f>
        <v>0,9916</v>
      </c>
      <c r="E23" s="45" t="s">
        <v>27</v>
      </c>
      <c r="F23" s="46" t="s">
        <v>435</v>
      </c>
      <c r="G23" s="45" t="s">
        <v>430</v>
      </c>
      <c r="H23" s="46" t="s">
        <v>431</v>
      </c>
      <c r="I23" s="46"/>
      <c r="J23" s="47">
        <v>62.5</v>
      </c>
      <c r="K23" s="45" t="str">
        <f>"61,9750"</f>
        <v>61,9750</v>
      </c>
      <c r="L23" s="45"/>
    </row>
    <row r="24" ht="14.25" customHeight="1">
      <c r="A24" s="41" t="s">
        <v>427</v>
      </c>
      <c r="B24" s="41" t="s">
        <v>436</v>
      </c>
      <c r="C24" s="41" t="s">
        <v>429</v>
      </c>
      <c r="D24" s="41" t="str">
        <f>"1,0547"</f>
        <v>1,0547</v>
      </c>
      <c r="E24" s="41" t="s">
        <v>27</v>
      </c>
      <c r="F24" s="41" t="s">
        <v>430</v>
      </c>
      <c r="G24" s="41" t="s">
        <v>431</v>
      </c>
      <c r="H24" s="43"/>
      <c r="I24" s="43"/>
      <c r="J24" s="44">
        <v>67.5</v>
      </c>
      <c r="K24" s="41" t="str">
        <f>"71,1911"</f>
        <v>71,1911</v>
      </c>
      <c r="L24" s="41"/>
    </row>
    <row r="25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32"/>
      <c r="K25" s="25"/>
      <c r="L25" s="25"/>
    </row>
    <row r="26" ht="14.25" customHeight="1">
      <c r="A26" s="30" t="s">
        <v>133</v>
      </c>
      <c r="L26" s="25"/>
    </row>
    <row r="27" ht="14.25" customHeight="1">
      <c r="A27" s="34" t="s">
        <v>437</v>
      </c>
      <c r="B27" s="34" t="s">
        <v>438</v>
      </c>
      <c r="C27" s="34" t="s">
        <v>439</v>
      </c>
      <c r="D27" s="34" t="str">
        <f>"0,9733"</f>
        <v>0,9733</v>
      </c>
      <c r="E27" s="34" t="s">
        <v>27</v>
      </c>
      <c r="F27" s="34" t="s">
        <v>419</v>
      </c>
      <c r="G27" s="37" t="s">
        <v>424</v>
      </c>
      <c r="H27" s="34" t="s">
        <v>424</v>
      </c>
      <c r="I27" s="37"/>
      <c r="J27" s="39">
        <v>50.0</v>
      </c>
      <c r="K27" s="34" t="str">
        <f>"48,6675"</f>
        <v>48,6675</v>
      </c>
      <c r="L27" s="34"/>
    </row>
    <row r="28" ht="14.25" customHeight="1">
      <c r="A28" s="45" t="s">
        <v>440</v>
      </c>
      <c r="B28" s="45" t="s">
        <v>441</v>
      </c>
      <c r="C28" s="45" t="s">
        <v>442</v>
      </c>
      <c r="D28" s="45" t="str">
        <f>"0,9089"</f>
        <v>0,9089</v>
      </c>
      <c r="E28" s="45" t="s">
        <v>27</v>
      </c>
      <c r="F28" s="45" t="s">
        <v>443</v>
      </c>
      <c r="G28" s="46" t="s">
        <v>444</v>
      </c>
      <c r="H28" s="46" t="s">
        <v>445</v>
      </c>
      <c r="I28" s="46"/>
      <c r="J28" s="47" t="s">
        <v>443</v>
      </c>
      <c r="K28" s="45" t="s">
        <v>446</v>
      </c>
      <c r="L28" s="45"/>
    </row>
    <row r="29" ht="14.25" customHeight="1">
      <c r="A29" s="41" t="s">
        <v>447</v>
      </c>
      <c r="B29" s="41" t="s">
        <v>448</v>
      </c>
      <c r="C29" s="41" t="s">
        <v>144</v>
      </c>
      <c r="D29" s="41" t="str">
        <f>"0,9614"</f>
        <v>0,9614</v>
      </c>
      <c r="E29" s="41" t="s">
        <v>27</v>
      </c>
      <c r="F29" s="41" t="s">
        <v>414</v>
      </c>
      <c r="G29" s="41" t="s">
        <v>449</v>
      </c>
      <c r="H29" s="41" t="s">
        <v>443</v>
      </c>
      <c r="I29" s="43"/>
      <c r="J29" s="44">
        <v>77.5</v>
      </c>
      <c r="K29" s="41" t="str">
        <f>"74,5102"</f>
        <v>74,5102</v>
      </c>
      <c r="L29" s="41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32"/>
      <c r="K30" s="25"/>
      <c r="L30" s="25"/>
    </row>
    <row r="31" ht="14.25" customHeight="1">
      <c r="A31" s="30" t="s">
        <v>16</v>
      </c>
      <c r="L31" s="25"/>
    </row>
    <row r="32" ht="14.25" customHeight="1">
      <c r="A32" s="34" t="s">
        <v>450</v>
      </c>
      <c r="B32" s="34" t="s">
        <v>451</v>
      </c>
      <c r="C32" s="34" t="s">
        <v>452</v>
      </c>
      <c r="D32" s="34" t="str">
        <f>"1,0076"</f>
        <v>1,0076</v>
      </c>
      <c r="E32" s="34" t="s">
        <v>453</v>
      </c>
      <c r="F32" s="34" t="s">
        <v>389</v>
      </c>
      <c r="G32" s="34" t="s">
        <v>393</v>
      </c>
      <c r="H32" s="37" t="s">
        <v>394</v>
      </c>
      <c r="I32" s="37"/>
      <c r="J32" s="39">
        <v>35.0</v>
      </c>
      <c r="K32" s="34" t="str">
        <f>"35,2660"</f>
        <v>35,2660</v>
      </c>
      <c r="L32" s="34"/>
    </row>
    <row r="33" ht="14.25" customHeight="1">
      <c r="A33" s="45" t="s">
        <v>454</v>
      </c>
      <c r="B33" s="45" t="s">
        <v>455</v>
      </c>
      <c r="C33" s="45" t="s">
        <v>456</v>
      </c>
      <c r="D33" s="45" t="str">
        <f>"1,0664"</f>
        <v>1,0664</v>
      </c>
      <c r="E33" s="45" t="s">
        <v>27</v>
      </c>
      <c r="F33" s="45" t="s">
        <v>457</v>
      </c>
      <c r="G33" s="45" t="s">
        <v>31</v>
      </c>
      <c r="H33" s="46" t="s">
        <v>343</v>
      </c>
      <c r="I33" s="46"/>
      <c r="J33" s="47">
        <v>100.0</v>
      </c>
      <c r="K33" s="45" t="str">
        <f>"106,6450"</f>
        <v>106,6450</v>
      </c>
      <c r="L33" s="45"/>
    </row>
    <row r="34" ht="14.25" customHeight="1">
      <c r="A34" s="41" t="s">
        <v>458</v>
      </c>
      <c r="B34" s="41" t="s">
        <v>459</v>
      </c>
      <c r="C34" s="41" t="s">
        <v>460</v>
      </c>
      <c r="D34" s="41" t="str">
        <f>"1,1819"</f>
        <v>1,1819</v>
      </c>
      <c r="E34" s="41" t="s">
        <v>27</v>
      </c>
      <c r="F34" s="41" t="s">
        <v>430</v>
      </c>
      <c r="G34" s="41" t="s">
        <v>412</v>
      </c>
      <c r="H34" s="41" t="s">
        <v>431</v>
      </c>
      <c r="I34" s="43"/>
      <c r="J34" s="44">
        <v>67.5</v>
      </c>
      <c r="K34" s="41" t="str">
        <f>"79,7777"</f>
        <v>79,7777</v>
      </c>
      <c r="L34" s="41"/>
    </row>
    <row r="35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32"/>
      <c r="K35" s="25"/>
      <c r="L35" s="25"/>
    </row>
    <row r="36" ht="14.25" customHeight="1">
      <c r="A36" s="30" t="s">
        <v>124</v>
      </c>
      <c r="L36" s="25"/>
    </row>
    <row r="37" ht="14.25" customHeight="1">
      <c r="A37" s="34" t="s">
        <v>462</v>
      </c>
      <c r="B37" s="34" t="s">
        <v>463</v>
      </c>
      <c r="C37" s="34" t="s">
        <v>464</v>
      </c>
      <c r="D37" s="34" t="str">
        <f>"0,8328"</f>
        <v>0,8328</v>
      </c>
      <c r="E37" s="34" t="s">
        <v>27</v>
      </c>
      <c r="F37" s="34" t="s">
        <v>113</v>
      </c>
      <c r="G37" s="34" t="s">
        <v>83</v>
      </c>
      <c r="H37" s="37" t="s">
        <v>114</v>
      </c>
      <c r="I37" s="37"/>
      <c r="J37" s="39">
        <v>120.0</v>
      </c>
      <c r="K37" s="34" t="str">
        <f>"99,9420"</f>
        <v>99,9420</v>
      </c>
      <c r="L37" s="34"/>
    </row>
    <row r="38" ht="14.25" customHeight="1">
      <c r="A38" s="45" t="s">
        <v>465</v>
      </c>
      <c r="B38" s="45" t="s">
        <v>466</v>
      </c>
      <c r="C38" s="45" t="s">
        <v>429</v>
      </c>
      <c r="D38" s="45" t="str">
        <f>"0,8453"</f>
        <v>0,8453</v>
      </c>
      <c r="E38" s="45" t="s">
        <v>27</v>
      </c>
      <c r="F38" s="45" t="s">
        <v>338</v>
      </c>
      <c r="G38" s="46" t="s">
        <v>445</v>
      </c>
      <c r="H38" s="46" t="s">
        <v>445</v>
      </c>
      <c r="I38" s="46"/>
      <c r="J38" s="47" t="s">
        <v>467</v>
      </c>
      <c r="K38" s="45" t="s">
        <v>468</v>
      </c>
      <c r="L38" s="45"/>
    </row>
    <row r="39" ht="14.25" customHeight="1">
      <c r="A39" s="41" t="s">
        <v>469</v>
      </c>
      <c r="B39" s="41" t="s">
        <v>470</v>
      </c>
      <c r="C39" s="41" t="s">
        <v>434</v>
      </c>
      <c r="D39" s="41" t="str">
        <f>"0,8369"</f>
        <v>0,8369</v>
      </c>
      <c r="E39" s="41" t="s">
        <v>87</v>
      </c>
      <c r="F39" s="41" t="s">
        <v>72</v>
      </c>
      <c r="G39" s="41" t="s">
        <v>50</v>
      </c>
      <c r="H39" s="41" t="s">
        <v>51</v>
      </c>
      <c r="I39" s="43"/>
      <c r="J39" s="44">
        <v>140.0</v>
      </c>
      <c r="K39" s="41" t="str">
        <f>"117,1660"</f>
        <v>117,1660</v>
      </c>
      <c r="L39" s="41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32"/>
      <c r="K40" s="25"/>
      <c r="L40" s="25"/>
    </row>
    <row r="41" ht="14.25" customHeight="1">
      <c r="A41" s="30" t="s">
        <v>133</v>
      </c>
      <c r="L41" s="25"/>
    </row>
    <row r="42" ht="14.25" customHeight="1">
      <c r="A42" s="34" t="s">
        <v>472</v>
      </c>
      <c r="B42" s="34" t="s">
        <v>473</v>
      </c>
      <c r="C42" s="34" t="s">
        <v>474</v>
      </c>
      <c r="D42" s="34" t="str">
        <f>"0,7503"</f>
        <v>0,7503</v>
      </c>
      <c r="E42" s="34" t="s">
        <v>27</v>
      </c>
      <c r="F42" s="34" t="s">
        <v>339</v>
      </c>
      <c r="G42" s="34" t="s">
        <v>31</v>
      </c>
      <c r="H42" s="34" t="s">
        <v>93</v>
      </c>
      <c r="I42" s="37"/>
      <c r="J42" s="39">
        <v>105.0</v>
      </c>
      <c r="K42" s="34" t="str">
        <f>"78,7867"</f>
        <v>78,7867</v>
      </c>
      <c r="L42" s="34"/>
    </row>
    <row r="43" ht="14.25" customHeight="1">
      <c r="A43" s="45" t="s">
        <v>475</v>
      </c>
      <c r="B43" s="45" t="s">
        <v>476</v>
      </c>
      <c r="C43" s="45" t="s">
        <v>477</v>
      </c>
      <c r="D43" s="45" t="str">
        <f>"0,7764"</f>
        <v>0,7764</v>
      </c>
      <c r="E43" s="45" t="s">
        <v>27</v>
      </c>
      <c r="F43" s="45" t="s">
        <v>412</v>
      </c>
      <c r="G43" s="45" t="s">
        <v>431</v>
      </c>
      <c r="H43" s="45" t="s">
        <v>414</v>
      </c>
      <c r="I43" s="46"/>
      <c r="J43" s="47">
        <v>72.5</v>
      </c>
      <c r="K43" s="45" t="str">
        <f>"56,2926"</f>
        <v>56,2926</v>
      </c>
      <c r="L43" s="45"/>
    </row>
    <row r="44" ht="14.25" customHeight="1">
      <c r="A44" s="45" t="s">
        <v>478</v>
      </c>
      <c r="B44" s="45" t="s">
        <v>479</v>
      </c>
      <c r="C44" s="45" t="s">
        <v>480</v>
      </c>
      <c r="D44" s="45" t="str">
        <f>"0,8249"</f>
        <v>0,8249</v>
      </c>
      <c r="E44" s="45" t="s">
        <v>27</v>
      </c>
      <c r="F44" s="45" t="s">
        <v>445</v>
      </c>
      <c r="G44" s="45" t="s">
        <v>30</v>
      </c>
      <c r="H44" s="45" t="s">
        <v>457</v>
      </c>
      <c r="I44" s="46"/>
      <c r="J44" s="47">
        <v>97.5</v>
      </c>
      <c r="K44" s="45" t="str">
        <f>"80,4277"</f>
        <v>80,4277</v>
      </c>
      <c r="L44" s="45"/>
    </row>
    <row r="45" ht="14.25" customHeight="1">
      <c r="A45" s="45" t="s">
        <v>481</v>
      </c>
      <c r="B45" s="45" t="s">
        <v>482</v>
      </c>
      <c r="C45" s="45" t="s">
        <v>483</v>
      </c>
      <c r="D45" s="45" t="str">
        <f>"0,7681"</f>
        <v>0,7681</v>
      </c>
      <c r="E45" s="45" t="s">
        <v>27</v>
      </c>
      <c r="F45" s="45" t="s">
        <v>343</v>
      </c>
      <c r="G45" s="45" t="s">
        <v>484</v>
      </c>
      <c r="H45" s="45" t="s">
        <v>32</v>
      </c>
      <c r="I45" s="46"/>
      <c r="J45" s="47">
        <v>110.0</v>
      </c>
      <c r="K45" s="45" t="str">
        <f>"84,4855"</f>
        <v>84,4855</v>
      </c>
      <c r="L45" s="45"/>
    </row>
    <row r="46" ht="14.25" customHeight="1">
      <c r="A46" s="41" t="s">
        <v>488</v>
      </c>
      <c r="B46" s="41" t="s">
        <v>489</v>
      </c>
      <c r="C46" s="41" t="s">
        <v>490</v>
      </c>
      <c r="D46" s="41" t="str">
        <f>"0,9250"</f>
        <v>0,9250</v>
      </c>
      <c r="E46" s="41" t="s">
        <v>27</v>
      </c>
      <c r="F46" s="41" t="s">
        <v>83</v>
      </c>
      <c r="G46" s="41" t="s">
        <v>65</v>
      </c>
      <c r="H46" s="43" t="s">
        <v>72</v>
      </c>
      <c r="I46" s="43"/>
      <c r="J46" s="44">
        <v>125.0</v>
      </c>
      <c r="K46" s="41" t="str">
        <f>"115,6247"</f>
        <v>115,6247</v>
      </c>
      <c r="L46" s="41"/>
    </row>
    <row r="47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32"/>
      <c r="K47" s="25"/>
      <c r="L47" s="25"/>
    </row>
    <row r="48" ht="14.25" customHeight="1">
      <c r="A48" s="30" t="s">
        <v>147</v>
      </c>
      <c r="L48" s="25"/>
    </row>
    <row r="49" ht="14.25" customHeight="1">
      <c r="A49" s="34" t="s">
        <v>494</v>
      </c>
      <c r="B49" s="34" t="s">
        <v>495</v>
      </c>
      <c r="C49" s="34" t="s">
        <v>347</v>
      </c>
      <c r="D49" s="34" t="str">
        <f>"0,6934"</f>
        <v>0,6934</v>
      </c>
      <c r="E49" s="34" t="s">
        <v>27</v>
      </c>
      <c r="F49" s="37" t="s">
        <v>445</v>
      </c>
      <c r="G49" s="34" t="s">
        <v>445</v>
      </c>
      <c r="H49" s="34" t="s">
        <v>30</v>
      </c>
      <c r="I49" s="37"/>
      <c r="J49" s="39">
        <v>90.0</v>
      </c>
      <c r="K49" s="34" t="str">
        <f>"62,4015"</f>
        <v>62,4015</v>
      </c>
      <c r="L49" s="34"/>
    </row>
    <row r="50" ht="14.25" customHeight="1">
      <c r="A50" s="45" t="s">
        <v>496</v>
      </c>
      <c r="B50" s="45" t="s">
        <v>497</v>
      </c>
      <c r="C50" s="45" t="s">
        <v>188</v>
      </c>
      <c r="D50" s="45" t="str">
        <f>"0,6962"</f>
        <v>0,6962</v>
      </c>
      <c r="E50" s="45" t="s">
        <v>27</v>
      </c>
      <c r="F50" s="46" t="s">
        <v>449</v>
      </c>
      <c r="G50" s="45" t="s">
        <v>443</v>
      </c>
      <c r="H50" s="45" t="s">
        <v>444</v>
      </c>
      <c r="I50" s="46"/>
      <c r="J50" s="47">
        <v>82.5</v>
      </c>
      <c r="K50" s="45" t="str">
        <f>"57,4324"</f>
        <v>57,4324</v>
      </c>
      <c r="L50" s="45"/>
    </row>
    <row r="51" ht="14.25" customHeight="1">
      <c r="A51" s="45" t="s">
        <v>499</v>
      </c>
      <c r="B51" s="45" t="s">
        <v>501</v>
      </c>
      <c r="C51" s="45" t="s">
        <v>153</v>
      </c>
      <c r="D51" s="45" t="str">
        <f>"0,7005"</f>
        <v>0,7005</v>
      </c>
      <c r="E51" s="45" t="s">
        <v>27</v>
      </c>
      <c r="F51" s="45" t="s">
        <v>30</v>
      </c>
      <c r="G51" s="45" t="s">
        <v>31</v>
      </c>
      <c r="H51" s="46" t="s">
        <v>93</v>
      </c>
      <c r="I51" s="46"/>
      <c r="J51" s="47">
        <v>100.0</v>
      </c>
      <c r="K51" s="45" t="str">
        <f>"70,0450"</f>
        <v>70,0450</v>
      </c>
      <c r="L51" s="45"/>
    </row>
    <row r="52" ht="14.25" customHeight="1">
      <c r="A52" s="45" t="s">
        <v>502</v>
      </c>
      <c r="B52" s="45" t="s">
        <v>503</v>
      </c>
      <c r="C52" s="45" t="s">
        <v>505</v>
      </c>
      <c r="D52" s="45" t="str">
        <f>"0,6913"</f>
        <v>0,6913</v>
      </c>
      <c r="E52" s="45" t="s">
        <v>507</v>
      </c>
      <c r="F52" s="45" t="s">
        <v>50</v>
      </c>
      <c r="G52" s="45" t="s">
        <v>51</v>
      </c>
      <c r="H52" s="45" t="s">
        <v>53</v>
      </c>
      <c r="I52" s="46"/>
      <c r="J52" s="47">
        <v>142.5</v>
      </c>
      <c r="K52" s="45" t="str">
        <f>"98,5031"</f>
        <v>98,5031</v>
      </c>
      <c r="L52" s="45"/>
    </row>
    <row r="53" ht="14.25" customHeight="1">
      <c r="A53" s="45" t="s">
        <v>340</v>
      </c>
      <c r="B53" s="45" t="s">
        <v>341</v>
      </c>
      <c r="C53" s="45" t="s">
        <v>342</v>
      </c>
      <c r="D53" s="45" t="str">
        <f>"0,7375"</f>
        <v>0,7375</v>
      </c>
      <c r="E53" s="45" t="s">
        <v>26</v>
      </c>
      <c r="F53" s="45" t="s">
        <v>30</v>
      </c>
      <c r="G53" s="45" t="s">
        <v>31</v>
      </c>
      <c r="H53" s="46" t="s">
        <v>93</v>
      </c>
      <c r="I53" s="46"/>
      <c r="J53" s="47">
        <v>100.0</v>
      </c>
      <c r="K53" s="45" t="str">
        <f>"73,7450"</f>
        <v>73,7450</v>
      </c>
      <c r="L53" s="45"/>
    </row>
    <row r="54" ht="14.25" customHeight="1">
      <c r="A54" s="45" t="s">
        <v>509</v>
      </c>
      <c r="B54" s="45" t="s">
        <v>510</v>
      </c>
      <c r="C54" s="45" t="s">
        <v>173</v>
      </c>
      <c r="D54" s="45" t="str">
        <f>"0,6998"</f>
        <v>0,6998</v>
      </c>
      <c r="E54" s="45" t="s">
        <v>27</v>
      </c>
      <c r="F54" s="45" t="s">
        <v>51</v>
      </c>
      <c r="G54" s="45" t="s">
        <v>32</v>
      </c>
      <c r="H54" s="46" t="s">
        <v>107</v>
      </c>
      <c r="I54" s="46"/>
      <c r="J54" s="47">
        <v>110.0</v>
      </c>
      <c r="K54" s="45" t="str">
        <f>"76,9725"</f>
        <v>76,9725</v>
      </c>
      <c r="L54" s="45"/>
    </row>
    <row r="55" ht="14.25" customHeight="1">
      <c r="A55" s="45" t="s">
        <v>514</v>
      </c>
      <c r="B55" s="45" t="s">
        <v>515</v>
      </c>
      <c r="C55" s="45" t="s">
        <v>516</v>
      </c>
      <c r="D55" s="45" t="str">
        <f>"0,7019"</f>
        <v>0,7019</v>
      </c>
      <c r="E55" s="45" t="s">
        <v>27</v>
      </c>
      <c r="F55" s="45" t="s">
        <v>93</v>
      </c>
      <c r="G55" s="46" t="s">
        <v>69</v>
      </c>
      <c r="H55" s="46" t="s">
        <v>517</v>
      </c>
      <c r="I55" s="46"/>
      <c r="J55" s="47" t="s">
        <v>93</v>
      </c>
      <c r="K55" s="45" t="s">
        <v>518</v>
      </c>
      <c r="L55" s="45"/>
    </row>
    <row r="56" ht="14.25" customHeight="1">
      <c r="A56" s="45" t="s">
        <v>519</v>
      </c>
      <c r="B56" s="45" t="s">
        <v>520</v>
      </c>
      <c r="C56" s="45" t="s">
        <v>188</v>
      </c>
      <c r="D56" s="45" t="str">
        <f>"0,6962"</f>
        <v>0,6962</v>
      </c>
      <c r="E56" s="45" t="s">
        <v>27</v>
      </c>
      <c r="F56" s="45" t="s">
        <v>107</v>
      </c>
      <c r="G56" s="46" t="s">
        <v>114</v>
      </c>
      <c r="H56" s="46" t="s">
        <v>114</v>
      </c>
      <c r="I56" s="46"/>
      <c r="J56" s="47" t="s">
        <v>107</v>
      </c>
      <c r="K56" s="45" t="s">
        <v>521</v>
      </c>
      <c r="L56" s="45"/>
    </row>
    <row r="57" ht="14.25" customHeight="1">
      <c r="A57" s="45" t="s">
        <v>522</v>
      </c>
      <c r="B57" s="45" t="s">
        <v>523</v>
      </c>
      <c r="C57" s="45" t="s">
        <v>524</v>
      </c>
      <c r="D57" s="45" t="str">
        <f>"0,7045"</f>
        <v>0,7045</v>
      </c>
      <c r="E57" s="45" t="s">
        <v>27</v>
      </c>
      <c r="F57" s="45" t="s">
        <v>98</v>
      </c>
      <c r="G57" s="45" t="s">
        <v>69</v>
      </c>
      <c r="H57" s="46" t="s">
        <v>517</v>
      </c>
      <c r="I57" s="46"/>
      <c r="J57" s="47">
        <v>150.0</v>
      </c>
      <c r="K57" s="45" t="str">
        <f>"105,6788"</f>
        <v>105,6788</v>
      </c>
      <c r="L57" s="45"/>
    </row>
    <row r="58" ht="14.25" customHeight="1">
      <c r="A58" s="45" t="s">
        <v>525</v>
      </c>
      <c r="B58" s="45" t="s">
        <v>526</v>
      </c>
      <c r="C58" s="45" t="s">
        <v>193</v>
      </c>
      <c r="D58" s="45" t="str">
        <f>"0,7123"</f>
        <v>0,7123</v>
      </c>
      <c r="E58" s="45" t="s">
        <v>27</v>
      </c>
      <c r="F58" s="46" t="s">
        <v>93</v>
      </c>
      <c r="G58" s="46" t="s">
        <v>107</v>
      </c>
      <c r="H58" s="46" t="s">
        <v>107</v>
      </c>
      <c r="I58" s="46"/>
      <c r="J58" s="47">
        <v>0.0</v>
      </c>
      <c r="K58" s="45" t="str">
        <f>"0,0000"</f>
        <v>0,0000</v>
      </c>
      <c r="L58" s="45"/>
    </row>
    <row r="59" ht="14.25" customHeight="1">
      <c r="A59" s="41" t="s">
        <v>186</v>
      </c>
      <c r="B59" s="41" t="s">
        <v>187</v>
      </c>
      <c r="C59" s="41" t="s">
        <v>188</v>
      </c>
      <c r="D59" s="41" t="str">
        <f>"0,7637"</f>
        <v>0,7637</v>
      </c>
      <c r="E59" s="41" t="s">
        <v>27</v>
      </c>
      <c r="F59" s="41" t="s">
        <v>114</v>
      </c>
      <c r="G59" s="43" t="s">
        <v>132</v>
      </c>
      <c r="H59" s="43" t="s">
        <v>132</v>
      </c>
      <c r="I59" s="43"/>
      <c r="J59" s="44" t="s">
        <v>114</v>
      </c>
      <c r="K59" s="41" t="s">
        <v>527</v>
      </c>
      <c r="L59" s="41" t="s">
        <v>190</v>
      </c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32"/>
      <c r="K60" s="25"/>
      <c r="L60" s="25"/>
    </row>
    <row r="61" ht="14.25" customHeight="1">
      <c r="A61" s="30" t="s">
        <v>205</v>
      </c>
      <c r="L61" s="25"/>
    </row>
    <row r="62" ht="14.25" customHeight="1">
      <c r="A62" s="34" t="s">
        <v>528</v>
      </c>
      <c r="B62" s="34" t="s">
        <v>529</v>
      </c>
      <c r="C62" s="34" t="s">
        <v>530</v>
      </c>
      <c r="D62" s="34" t="str">
        <f>"0,6540"</f>
        <v>0,6540</v>
      </c>
      <c r="E62" s="34" t="s">
        <v>531</v>
      </c>
      <c r="F62" s="34" t="s">
        <v>201</v>
      </c>
      <c r="G62" s="34" t="s">
        <v>167</v>
      </c>
      <c r="H62" s="37" t="s">
        <v>532</v>
      </c>
      <c r="I62" s="37"/>
      <c r="J62" s="39">
        <v>165.0</v>
      </c>
      <c r="K62" s="34" t="str">
        <f>"107,9100"</f>
        <v>107,9100</v>
      </c>
      <c r="L62" s="34"/>
    </row>
    <row r="63" ht="14.25" customHeight="1">
      <c r="A63" s="45" t="s">
        <v>533</v>
      </c>
      <c r="B63" s="45" t="s">
        <v>535</v>
      </c>
      <c r="C63" s="45" t="s">
        <v>536</v>
      </c>
      <c r="D63" s="45" t="str">
        <f>"0,6482"</f>
        <v>0,6482</v>
      </c>
      <c r="E63" s="45" t="s">
        <v>27</v>
      </c>
      <c r="F63" s="45" t="s">
        <v>72</v>
      </c>
      <c r="G63" s="45" t="s">
        <v>50</v>
      </c>
      <c r="H63" s="46" t="s">
        <v>538</v>
      </c>
      <c r="I63" s="46"/>
      <c r="J63" s="47">
        <v>135.0</v>
      </c>
      <c r="K63" s="45" t="str">
        <f>"87,5070"</f>
        <v>87,5070</v>
      </c>
      <c r="L63" s="45"/>
    </row>
    <row r="64" ht="14.25" customHeight="1">
      <c r="A64" s="45" t="s">
        <v>539</v>
      </c>
      <c r="B64" s="45" t="s">
        <v>540</v>
      </c>
      <c r="C64" s="45" t="s">
        <v>542</v>
      </c>
      <c r="D64" s="45" t="str">
        <f>"0,6508"</f>
        <v>0,6508</v>
      </c>
      <c r="E64" s="45" t="s">
        <v>27</v>
      </c>
      <c r="F64" s="45" t="s">
        <v>113</v>
      </c>
      <c r="G64" s="45" t="s">
        <v>83</v>
      </c>
      <c r="H64" s="46" t="s">
        <v>132</v>
      </c>
      <c r="I64" s="46"/>
      <c r="J64" s="47">
        <v>120.0</v>
      </c>
      <c r="K64" s="45" t="str">
        <f>"78,0960"</f>
        <v>78,0960</v>
      </c>
      <c r="L64" s="45"/>
    </row>
    <row r="65" ht="14.25" customHeight="1">
      <c r="A65" s="45" t="s">
        <v>545</v>
      </c>
      <c r="B65" s="45" t="s">
        <v>546</v>
      </c>
      <c r="C65" s="45" t="s">
        <v>547</v>
      </c>
      <c r="D65" s="45" t="str">
        <f>"0,6596"</f>
        <v>0,6596</v>
      </c>
      <c r="E65" s="45" t="s">
        <v>27</v>
      </c>
      <c r="F65" s="45" t="s">
        <v>69</v>
      </c>
      <c r="G65" s="45" t="s">
        <v>517</v>
      </c>
      <c r="H65" s="46" t="s">
        <v>70</v>
      </c>
      <c r="I65" s="46"/>
      <c r="J65" s="47">
        <v>155.0</v>
      </c>
      <c r="K65" s="45" t="str">
        <f>"102,2354"</f>
        <v>102,2354</v>
      </c>
      <c r="L65" s="45"/>
    </row>
    <row r="66" ht="14.25" customHeight="1">
      <c r="A66" s="45" t="s">
        <v>548</v>
      </c>
      <c r="B66" s="45" t="s">
        <v>549</v>
      </c>
      <c r="C66" s="45" t="s">
        <v>550</v>
      </c>
      <c r="D66" s="45" t="str">
        <f>"0,6823"</f>
        <v>0,6823</v>
      </c>
      <c r="E66" s="45" t="s">
        <v>27</v>
      </c>
      <c r="F66" s="46" t="s">
        <v>31</v>
      </c>
      <c r="G66" s="45" t="s">
        <v>31</v>
      </c>
      <c r="H66" s="46" t="s">
        <v>93</v>
      </c>
      <c r="I66" s="46"/>
      <c r="J66" s="47">
        <v>100.0</v>
      </c>
      <c r="K66" s="45" t="str">
        <f>"68,2264"</f>
        <v>68,2264</v>
      </c>
      <c r="L66" s="45"/>
    </row>
    <row r="67" ht="14.25" customHeight="1">
      <c r="A67" s="45" t="s">
        <v>555</v>
      </c>
      <c r="B67" s="45" t="s">
        <v>556</v>
      </c>
      <c r="C67" s="45" t="s">
        <v>558</v>
      </c>
      <c r="D67" s="45" t="str">
        <f>"0,7249"</f>
        <v>0,7249</v>
      </c>
      <c r="E67" s="45" t="s">
        <v>27</v>
      </c>
      <c r="F67" s="46" t="s">
        <v>70</v>
      </c>
      <c r="G67" s="46" t="s">
        <v>70</v>
      </c>
      <c r="H67" s="45" t="s">
        <v>70</v>
      </c>
      <c r="I67" s="46"/>
      <c r="J67" s="47">
        <v>160.0</v>
      </c>
      <c r="K67" s="45" t="str">
        <f>"115,9835"</f>
        <v>115,9835</v>
      </c>
      <c r="L67" s="45"/>
    </row>
    <row r="68" ht="14.25" customHeight="1">
      <c r="A68" s="45" t="s">
        <v>560</v>
      </c>
      <c r="B68" s="45" t="s">
        <v>561</v>
      </c>
      <c r="C68" s="45" t="s">
        <v>562</v>
      </c>
      <c r="D68" s="45" t="str">
        <f>"0,7291"</f>
        <v>0,7291</v>
      </c>
      <c r="E68" s="45" t="s">
        <v>27</v>
      </c>
      <c r="F68" s="45" t="s">
        <v>343</v>
      </c>
      <c r="G68" s="45" t="s">
        <v>484</v>
      </c>
      <c r="H68" s="46" t="s">
        <v>32</v>
      </c>
      <c r="I68" s="46"/>
      <c r="J68" s="47">
        <v>107.5</v>
      </c>
      <c r="K68" s="45" t="str">
        <f>"78,3746"</f>
        <v>78,3746</v>
      </c>
      <c r="L68" s="45"/>
    </row>
    <row r="69" ht="14.25" customHeight="1">
      <c r="A69" s="45" t="s">
        <v>566</v>
      </c>
      <c r="B69" s="45" t="s">
        <v>567</v>
      </c>
      <c r="C69" s="45" t="s">
        <v>568</v>
      </c>
      <c r="D69" s="45" t="str">
        <f>"0,7644"</f>
        <v>0,7644</v>
      </c>
      <c r="E69" s="45" t="s">
        <v>27</v>
      </c>
      <c r="F69" s="45" t="s">
        <v>83</v>
      </c>
      <c r="G69" s="46" t="s">
        <v>132</v>
      </c>
      <c r="H69" s="45" t="s">
        <v>132</v>
      </c>
      <c r="I69" s="46"/>
      <c r="J69" s="47">
        <v>127.5</v>
      </c>
      <c r="K69" s="45" t="str">
        <f>"97,4629"</f>
        <v>97,4629</v>
      </c>
      <c r="L69" s="45"/>
    </row>
    <row r="70" ht="14.25" customHeight="1">
      <c r="A70" s="45" t="s">
        <v>570</v>
      </c>
      <c r="B70" s="45" t="s">
        <v>571</v>
      </c>
      <c r="C70" s="45" t="s">
        <v>572</v>
      </c>
      <c r="D70" s="45" t="str">
        <f>"0,7863"</f>
        <v>0,7863</v>
      </c>
      <c r="E70" s="45" t="s">
        <v>27</v>
      </c>
      <c r="F70" s="45" t="s">
        <v>32</v>
      </c>
      <c r="G70" s="45" t="s">
        <v>113</v>
      </c>
      <c r="H70" s="46" t="s">
        <v>83</v>
      </c>
      <c r="I70" s="46"/>
      <c r="J70" s="47">
        <v>115.0</v>
      </c>
      <c r="K70" s="45" t="str">
        <f>"90,4239"</f>
        <v>90,4239</v>
      </c>
      <c r="L70" s="45"/>
    </row>
    <row r="71" ht="14.25" customHeight="1">
      <c r="A71" s="45" t="s">
        <v>573</v>
      </c>
      <c r="B71" s="45" t="s">
        <v>574</v>
      </c>
      <c r="C71" s="45" t="s">
        <v>575</v>
      </c>
      <c r="D71" s="45" t="str">
        <f>"0,7953"</f>
        <v>0,7953</v>
      </c>
      <c r="E71" s="45" t="s">
        <v>27</v>
      </c>
      <c r="F71" s="45" t="s">
        <v>51</v>
      </c>
      <c r="G71" s="46" t="s">
        <v>69</v>
      </c>
      <c r="H71" s="45" t="s">
        <v>69</v>
      </c>
      <c r="I71" s="46"/>
      <c r="J71" s="47">
        <v>150.0</v>
      </c>
      <c r="K71" s="45" t="str">
        <f>"119,2997"</f>
        <v>119,2997</v>
      </c>
      <c r="L71" s="45"/>
    </row>
    <row r="72" ht="14.25" customHeight="1">
      <c r="A72" s="45" t="s">
        <v>579</v>
      </c>
      <c r="B72" s="45" t="s">
        <v>580</v>
      </c>
      <c r="C72" s="45" t="s">
        <v>568</v>
      </c>
      <c r="D72" s="45" t="str">
        <f>"0,9711"</f>
        <v>0,9711</v>
      </c>
      <c r="E72" s="45" t="s">
        <v>582</v>
      </c>
      <c r="F72" s="45" t="s">
        <v>113</v>
      </c>
      <c r="G72" s="46" t="s">
        <v>65</v>
      </c>
      <c r="H72" s="46" t="s">
        <v>65</v>
      </c>
      <c r="I72" s="46"/>
      <c r="J72" s="47" t="s">
        <v>583</v>
      </c>
      <c r="K72" s="45" t="s">
        <v>584</v>
      </c>
      <c r="L72" s="45"/>
    </row>
    <row r="73" ht="14.25" customHeight="1">
      <c r="A73" s="41" t="s">
        <v>585</v>
      </c>
      <c r="B73" s="41" t="s">
        <v>586</v>
      </c>
      <c r="C73" s="41" t="s">
        <v>587</v>
      </c>
      <c r="D73" s="41" t="str">
        <f>"1,3041"</f>
        <v>1,3041</v>
      </c>
      <c r="E73" s="41" t="s">
        <v>27</v>
      </c>
      <c r="F73" s="41" t="s">
        <v>413</v>
      </c>
      <c r="G73" s="41" t="s">
        <v>338</v>
      </c>
      <c r="H73" s="41" t="s">
        <v>445</v>
      </c>
      <c r="I73" s="43"/>
      <c r="J73" s="44">
        <v>85.0</v>
      </c>
      <c r="K73" s="41" t="str">
        <f>"110,8523"</f>
        <v>110,8523</v>
      </c>
      <c r="L73" s="41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32"/>
      <c r="K74" s="25"/>
      <c r="L74" s="25"/>
    </row>
    <row r="75" ht="14.25" customHeight="1">
      <c r="A75" s="30" t="s">
        <v>34</v>
      </c>
      <c r="L75" s="25"/>
    </row>
    <row r="76" ht="14.25" customHeight="1">
      <c r="A76" s="45" t="s">
        <v>592</v>
      </c>
      <c r="B76" s="45" t="s">
        <v>593</v>
      </c>
      <c r="C76" s="45" t="s">
        <v>594</v>
      </c>
      <c r="D76" s="45" t="str">
        <f>"0,6177"</f>
        <v>0,6177</v>
      </c>
      <c r="E76" s="45" t="s">
        <v>27</v>
      </c>
      <c r="F76" s="45" t="s">
        <v>52</v>
      </c>
      <c r="G76" s="46" t="s">
        <v>189</v>
      </c>
      <c r="H76" s="46" t="s">
        <v>554</v>
      </c>
      <c r="I76" s="46"/>
      <c r="J76" s="47" t="s">
        <v>595</v>
      </c>
      <c r="K76" s="45" t="s">
        <v>596</v>
      </c>
      <c r="L76" s="45"/>
    </row>
    <row r="77" ht="14.25" customHeight="1">
      <c r="A77" s="34" t="s">
        <v>597</v>
      </c>
      <c r="B77" s="34" t="s">
        <v>598</v>
      </c>
      <c r="C77" s="34" t="s">
        <v>599</v>
      </c>
      <c r="D77" s="34" t="str">
        <f>"0,6234"</f>
        <v>0,6234</v>
      </c>
      <c r="E77" s="34" t="s">
        <v>27</v>
      </c>
      <c r="F77" s="34" t="s">
        <v>53</v>
      </c>
      <c r="G77" s="34" t="s">
        <v>137</v>
      </c>
      <c r="H77" s="37" t="s">
        <v>145</v>
      </c>
      <c r="I77" s="37"/>
      <c r="J77" s="39">
        <v>147.5</v>
      </c>
      <c r="K77" s="34" t="str">
        <f>"91,9515"</f>
        <v>91,9515</v>
      </c>
      <c r="L77" s="34"/>
    </row>
    <row r="78" ht="14.25" customHeight="1">
      <c r="A78" s="45" t="s">
        <v>454</v>
      </c>
      <c r="B78" s="45" t="s">
        <v>455</v>
      </c>
      <c r="C78" s="45" t="s">
        <v>594</v>
      </c>
      <c r="D78" s="45" t="str">
        <f>"0,6177"</f>
        <v>0,6177</v>
      </c>
      <c r="E78" s="45" t="s">
        <v>27</v>
      </c>
      <c r="F78" s="46" t="s">
        <v>83</v>
      </c>
      <c r="G78" s="46"/>
      <c r="H78" s="46"/>
      <c r="I78" s="46"/>
      <c r="J78" s="47">
        <v>0.0</v>
      </c>
      <c r="K78" s="45" t="str">
        <f>"0,0000"</f>
        <v>0,0000</v>
      </c>
      <c r="L78" s="45"/>
    </row>
    <row r="79" ht="14.25" customHeight="1">
      <c r="A79" s="45" t="s">
        <v>606</v>
      </c>
      <c r="B79" s="45" t="s">
        <v>607</v>
      </c>
      <c r="C79" s="45" t="s">
        <v>608</v>
      </c>
      <c r="D79" s="45" t="str">
        <f>"0,6141"</f>
        <v>0,6141</v>
      </c>
      <c r="E79" s="45" t="s">
        <v>27</v>
      </c>
      <c r="F79" s="45" t="s">
        <v>163</v>
      </c>
      <c r="G79" s="45" t="s">
        <v>609</v>
      </c>
      <c r="H79" s="45" t="s">
        <v>178</v>
      </c>
      <c r="I79" s="46"/>
      <c r="J79" s="47">
        <v>202.5</v>
      </c>
      <c r="K79" s="45" t="str">
        <f>"124,3654"</f>
        <v>124,3654</v>
      </c>
      <c r="L79" s="45"/>
    </row>
    <row r="80" ht="14.25" customHeight="1">
      <c r="A80" s="45" t="s">
        <v>610</v>
      </c>
      <c r="B80" s="45" t="s">
        <v>611</v>
      </c>
      <c r="C80" s="45" t="s">
        <v>612</v>
      </c>
      <c r="D80" s="45" t="str">
        <f>"0,6201"</f>
        <v>0,6201</v>
      </c>
      <c r="E80" s="45" t="s">
        <v>27</v>
      </c>
      <c r="F80" s="45" t="s">
        <v>163</v>
      </c>
      <c r="G80" s="46" t="s">
        <v>218</v>
      </c>
      <c r="H80" s="46" t="s">
        <v>218</v>
      </c>
      <c r="I80" s="46"/>
      <c r="J80" s="47" t="s">
        <v>613</v>
      </c>
      <c r="K80" s="45" t="s">
        <v>596</v>
      </c>
      <c r="L80" s="45"/>
    </row>
    <row r="81" ht="14.25" customHeight="1">
      <c r="A81" s="45" t="s">
        <v>614</v>
      </c>
      <c r="B81" s="45" t="s">
        <v>615</v>
      </c>
      <c r="C81" s="45" t="s">
        <v>241</v>
      </c>
      <c r="D81" s="45" t="str">
        <f>"0,6165"</f>
        <v>0,6165</v>
      </c>
      <c r="E81" s="45" t="s">
        <v>26</v>
      </c>
      <c r="F81" s="45" t="s">
        <v>517</v>
      </c>
      <c r="G81" s="45" t="s">
        <v>201</v>
      </c>
      <c r="H81" s="46"/>
      <c r="I81" s="46"/>
      <c r="J81" s="47">
        <v>162.5</v>
      </c>
      <c r="K81" s="45" t="str">
        <f>"100,1731"</f>
        <v>100,1731</v>
      </c>
      <c r="L81" s="45"/>
    </row>
    <row r="82" ht="14.25" customHeight="1">
      <c r="A82" s="45" t="s">
        <v>616</v>
      </c>
      <c r="B82" s="45" t="s">
        <v>617</v>
      </c>
      <c r="C82" s="45" t="s">
        <v>618</v>
      </c>
      <c r="D82" s="45" t="str">
        <f>"0,6238"</f>
        <v>0,6238</v>
      </c>
      <c r="E82" s="45" t="s">
        <v>27</v>
      </c>
      <c r="F82" s="45" t="s">
        <v>65</v>
      </c>
      <c r="G82" s="45" t="s">
        <v>351</v>
      </c>
      <c r="H82" s="45" t="s">
        <v>538</v>
      </c>
      <c r="I82" s="46"/>
      <c r="J82" s="47">
        <v>137.5</v>
      </c>
      <c r="K82" s="45" t="str">
        <f>"85,7794"</f>
        <v>85,7794</v>
      </c>
      <c r="L82" s="45"/>
    </row>
    <row r="83" ht="14.25" customHeight="1">
      <c r="A83" s="45" t="s">
        <v>619</v>
      </c>
      <c r="B83" s="45" t="s">
        <v>620</v>
      </c>
      <c r="C83" s="45" t="s">
        <v>621</v>
      </c>
      <c r="D83" s="45" t="str">
        <f>"0,6181"</f>
        <v>0,6181</v>
      </c>
      <c r="E83" s="45" t="s">
        <v>27</v>
      </c>
      <c r="F83" s="45" t="s">
        <v>30</v>
      </c>
      <c r="G83" s="45" t="s">
        <v>83</v>
      </c>
      <c r="H83" s="45" t="s">
        <v>50</v>
      </c>
      <c r="I83" s="46"/>
      <c r="J83" s="47">
        <v>135.0</v>
      </c>
      <c r="K83" s="45" t="str">
        <f>"83,4435"</f>
        <v>83,4435</v>
      </c>
      <c r="L83" s="45"/>
    </row>
    <row r="84" ht="14.25" customHeight="1">
      <c r="A84" s="45" t="s">
        <v>622</v>
      </c>
      <c r="B84" s="45" t="s">
        <v>623</v>
      </c>
      <c r="C84" s="45" t="s">
        <v>624</v>
      </c>
      <c r="D84" s="45" t="str">
        <f>"0,6213"</f>
        <v>0,6213</v>
      </c>
      <c r="E84" s="45" t="s">
        <v>27</v>
      </c>
      <c r="F84" s="46" t="s">
        <v>65</v>
      </c>
      <c r="G84" s="45" t="s">
        <v>351</v>
      </c>
      <c r="H84" s="46" t="s">
        <v>538</v>
      </c>
      <c r="I84" s="46"/>
      <c r="J84" s="47">
        <v>132.5</v>
      </c>
      <c r="K84" s="45" t="str">
        <f>"82,3289"</f>
        <v>82,3289</v>
      </c>
      <c r="L84" s="45"/>
    </row>
    <row r="85" ht="14.25" customHeight="1">
      <c r="A85" s="45" t="s">
        <v>625</v>
      </c>
      <c r="B85" s="45" t="s">
        <v>626</v>
      </c>
      <c r="C85" s="45" t="s">
        <v>594</v>
      </c>
      <c r="D85" s="45" t="str">
        <f>"0,6177"</f>
        <v>0,6177</v>
      </c>
      <c r="E85" s="45" t="s">
        <v>27</v>
      </c>
      <c r="F85" s="45" t="s">
        <v>83</v>
      </c>
      <c r="G85" s="46" t="s">
        <v>132</v>
      </c>
      <c r="H85" s="45" t="s">
        <v>351</v>
      </c>
      <c r="I85" s="46"/>
      <c r="J85" s="47">
        <v>132.5</v>
      </c>
      <c r="K85" s="45" t="str">
        <f>"81,8452"</f>
        <v>81,8452</v>
      </c>
      <c r="L85" s="45"/>
    </row>
    <row r="86" ht="14.25" customHeight="1">
      <c r="A86" s="45" t="s">
        <v>627</v>
      </c>
      <c r="B86" s="45" t="s">
        <v>493</v>
      </c>
      <c r="C86" s="45" t="s">
        <v>630</v>
      </c>
      <c r="D86" s="45" t="str">
        <f>"0,6210"</f>
        <v>0,6210</v>
      </c>
      <c r="E86" s="45" t="s">
        <v>27</v>
      </c>
      <c r="F86" s="45" t="s">
        <v>163</v>
      </c>
      <c r="G86" s="46" t="s">
        <v>54</v>
      </c>
      <c r="H86" s="46" t="s">
        <v>54</v>
      </c>
      <c r="I86" s="46"/>
      <c r="J86" s="47" t="s">
        <v>613</v>
      </c>
      <c r="K86" s="45" t="s">
        <v>631</v>
      </c>
      <c r="L86" s="45"/>
    </row>
    <row r="87" ht="14.25" customHeight="1">
      <c r="A87" s="45" t="s">
        <v>614</v>
      </c>
      <c r="B87" s="45" t="s">
        <v>632</v>
      </c>
      <c r="C87" s="45" t="s">
        <v>241</v>
      </c>
      <c r="D87" s="45" t="str">
        <f>"0,6356"</f>
        <v>0,6356</v>
      </c>
      <c r="E87" s="45" t="s">
        <v>26</v>
      </c>
      <c r="F87" s="45" t="s">
        <v>517</v>
      </c>
      <c r="G87" s="45" t="s">
        <v>201</v>
      </c>
      <c r="H87" s="46" t="s">
        <v>532</v>
      </c>
      <c r="I87" s="46"/>
      <c r="J87" s="47">
        <v>162.5</v>
      </c>
      <c r="K87" s="45" t="str">
        <f>"103,2785"</f>
        <v>103,2785</v>
      </c>
      <c r="L87" s="45"/>
    </row>
    <row r="88" ht="14.25" customHeight="1">
      <c r="A88" s="45" t="s">
        <v>606</v>
      </c>
      <c r="B88" s="45" t="s">
        <v>634</v>
      </c>
      <c r="C88" s="45" t="s">
        <v>608</v>
      </c>
      <c r="D88" s="45" t="str">
        <f>"0,6479"</f>
        <v>0,6479</v>
      </c>
      <c r="E88" s="45" t="s">
        <v>27</v>
      </c>
      <c r="F88" s="45" t="s">
        <v>163</v>
      </c>
      <c r="G88" s="45" t="s">
        <v>609</v>
      </c>
      <c r="H88" s="45" t="s">
        <v>178</v>
      </c>
      <c r="I88" s="46"/>
      <c r="J88" s="47">
        <v>202.5</v>
      </c>
      <c r="K88" s="45" t="str">
        <f>"131,2055"</f>
        <v>131,2055</v>
      </c>
      <c r="L88" s="45"/>
    </row>
    <row r="89" ht="14.25" customHeight="1">
      <c r="A89" s="45" t="s">
        <v>636</v>
      </c>
      <c r="B89" s="45" t="s">
        <v>637</v>
      </c>
      <c r="C89" s="45" t="s">
        <v>639</v>
      </c>
      <c r="D89" s="45" t="str">
        <f>"0,6547"</f>
        <v>0,6547</v>
      </c>
      <c r="E89" s="45" t="s">
        <v>27</v>
      </c>
      <c r="F89" s="45" t="s">
        <v>70</v>
      </c>
      <c r="G89" s="46" t="s">
        <v>89</v>
      </c>
      <c r="H89" s="45" t="s">
        <v>89</v>
      </c>
      <c r="I89" s="46"/>
      <c r="J89" s="47">
        <v>170.0</v>
      </c>
      <c r="K89" s="45" t="str">
        <f>"111,2963"</f>
        <v>111,2963</v>
      </c>
      <c r="L89" s="45"/>
    </row>
    <row r="90" ht="14.25" customHeight="1">
      <c r="A90" s="45" t="s">
        <v>643</v>
      </c>
      <c r="B90" s="45" t="s">
        <v>644</v>
      </c>
      <c r="C90" s="45" t="s">
        <v>630</v>
      </c>
      <c r="D90" s="45" t="str">
        <f>"0,6745"</f>
        <v>0,6745</v>
      </c>
      <c r="E90" s="45" t="s">
        <v>27</v>
      </c>
      <c r="F90" s="45" t="s">
        <v>65</v>
      </c>
      <c r="G90" s="45" t="s">
        <v>351</v>
      </c>
      <c r="H90" s="46" t="s">
        <v>50</v>
      </c>
      <c r="I90" s="46"/>
      <c r="J90" s="47">
        <v>132.5</v>
      </c>
      <c r="K90" s="45" t="str">
        <f>"89,3773"</f>
        <v>89,3773</v>
      </c>
      <c r="L90" s="45"/>
    </row>
    <row r="91" ht="14.25" customHeight="1">
      <c r="A91" s="45" t="s">
        <v>645</v>
      </c>
      <c r="B91" s="45" t="s">
        <v>646</v>
      </c>
      <c r="C91" s="45" t="s">
        <v>621</v>
      </c>
      <c r="D91" s="45" t="str">
        <f>"0,6688"</f>
        <v>0,6688</v>
      </c>
      <c r="E91" s="45" t="s">
        <v>27</v>
      </c>
      <c r="F91" s="46" t="s">
        <v>70</v>
      </c>
      <c r="G91" s="46" t="s">
        <v>70</v>
      </c>
      <c r="H91" s="46" t="s">
        <v>70</v>
      </c>
      <c r="I91" s="46"/>
      <c r="J91" s="47">
        <v>0.0</v>
      </c>
      <c r="K91" s="45" t="str">
        <f>"0,0000"</f>
        <v>0,0000</v>
      </c>
      <c r="L91" s="45"/>
    </row>
    <row r="92" ht="14.25" customHeight="1">
      <c r="A92" s="41" t="s">
        <v>651</v>
      </c>
      <c r="B92" s="41" t="s">
        <v>652</v>
      </c>
      <c r="C92" s="41" t="s">
        <v>565</v>
      </c>
      <c r="D92" s="41" t="str">
        <f>"0,8989"</f>
        <v>0,8989</v>
      </c>
      <c r="E92" s="41" t="s">
        <v>27</v>
      </c>
      <c r="F92" s="41" t="s">
        <v>72</v>
      </c>
      <c r="G92" s="41" t="s">
        <v>51</v>
      </c>
      <c r="H92" s="43" t="s">
        <v>98</v>
      </c>
      <c r="I92" s="43"/>
      <c r="J92" s="44">
        <v>140.0</v>
      </c>
      <c r="K92" s="41" t="str">
        <f>"125,8494"</f>
        <v>125,8494</v>
      </c>
      <c r="L92" s="41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32"/>
      <c r="K93" s="25"/>
      <c r="L93" s="25"/>
    </row>
    <row r="94" ht="14.25" customHeight="1">
      <c r="A94" s="30" t="s">
        <v>15</v>
      </c>
      <c r="L94" s="25"/>
    </row>
    <row r="95" ht="14.25" customHeight="1">
      <c r="A95" s="34" t="s">
        <v>660</v>
      </c>
      <c r="B95" s="34" t="s">
        <v>661</v>
      </c>
      <c r="C95" s="34" t="s">
        <v>662</v>
      </c>
      <c r="D95" s="34" t="str">
        <f>"0,5891"</f>
        <v>0,5891</v>
      </c>
      <c r="E95" s="34" t="s">
        <v>27</v>
      </c>
      <c r="F95" s="34" t="s">
        <v>113</v>
      </c>
      <c r="G95" s="34" t="s">
        <v>83</v>
      </c>
      <c r="H95" s="37" t="s">
        <v>65</v>
      </c>
      <c r="I95" s="37"/>
      <c r="J95" s="39">
        <v>120.0</v>
      </c>
      <c r="K95" s="34" t="str">
        <f>"70,6920"</f>
        <v>70,6920</v>
      </c>
      <c r="L95" s="34"/>
    </row>
    <row r="96" ht="14.25" customHeight="1">
      <c r="A96" s="45" t="s">
        <v>663</v>
      </c>
      <c r="B96" s="45" t="s">
        <v>666</v>
      </c>
      <c r="C96" s="45" t="s">
        <v>667</v>
      </c>
      <c r="D96" s="45" t="str">
        <f>"0,5875"</f>
        <v>0,5875</v>
      </c>
      <c r="E96" s="45" t="s">
        <v>27</v>
      </c>
      <c r="F96" s="46" t="s">
        <v>484</v>
      </c>
      <c r="G96" s="45" t="s">
        <v>484</v>
      </c>
      <c r="H96" s="46" t="s">
        <v>113</v>
      </c>
      <c r="I96" s="46"/>
      <c r="J96" s="47">
        <v>107.5</v>
      </c>
      <c r="K96" s="45" t="str">
        <f>"63,1509"</f>
        <v>63,1509</v>
      </c>
      <c r="L96" s="45"/>
    </row>
    <row r="97" ht="14.25" customHeight="1">
      <c r="A97" s="45" t="s">
        <v>672</v>
      </c>
      <c r="B97" s="45" t="s">
        <v>673</v>
      </c>
      <c r="C97" s="45" t="s">
        <v>86</v>
      </c>
      <c r="D97" s="45" t="str">
        <f>"0,5840"</f>
        <v>0,5840</v>
      </c>
      <c r="E97" s="45" t="s">
        <v>27</v>
      </c>
      <c r="F97" s="45" t="s">
        <v>145</v>
      </c>
      <c r="G97" s="45" t="s">
        <v>138</v>
      </c>
      <c r="H97" s="46" t="s">
        <v>201</v>
      </c>
      <c r="I97" s="46"/>
      <c r="J97" s="47">
        <v>157.5</v>
      </c>
      <c r="K97" s="45" t="str">
        <f>"91,9879"</f>
        <v>91,9879</v>
      </c>
      <c r="L97" s="45"/>
    </row>
    <row r="98" ht="14.25" customHeight="1">
      <c r="A98" s="45" t="s">
        <v>674</v>
      </c>
      <c r="B98" s="45" t="s">
        <v>675</v>
      </c>
      <c r="C98" s="45" t="s">
        <v>248</v>
      </c>
      <c r="D98" s="45" t="str">
        <f>"0,5843"</f>
        <v>0,5843</v>
      </c>
      <c r="E98" s="45" t="s">
        <v>27</v>
      </c>
      <c r="F98" s="45" t="s">
        <v>180</v>
      </c>
      <c r="G98" s="45" t="s">
        <v>28</v>
      </c>
      <c r="H98" s="45" t="s">
        <v>29</v>
      </c>
      <c r="I98" s="46"/>
      <c r="J98" s="47">
        <v>230.0</v>
      </c>
      <c r="K98" s="45" t="str">
        <f>"134,3890"</f>
        <v>134,3890</v>
      </c>
      <c r="L98" s="45"/>
    </row>
    <row r="99" ht="14.25" customHeight="1">
      <c r="A99" s="45" t="s">
        <v>676</v>
      </c>
      <c r="B99" s="45" t="s">
        <v>677</v>
      </c>
      <c r="C99" s="45" t="s">
        <v>75</v>
      </c>
      <c r="D99" s="45" t="str">
        <f>"0,5848"</f>
        <v>0,5848</v>
      </c>
      <c r="E99" s="45" t="s">
        <v>27</v>
      </c>
      <c r="F99" s="45" t="s">
        <v>189</v>
      </c>
      <c r="G99" s="45" t="s">
        <v>554</v>
      </c>
      <c r="H99" s="45" t="s">
        <v>218</v>
      </c>
      <c r="I99" s="46"/>
      <c r="J99" s="47">
        <v>195.0</v>
      </c>
      <c r="K99" s="45" t="str">
        <f>"114,0360"</f>
        <v>114,0360</v>
      </c>
      <c r="L99" s="45"/>
    </row>
    <row r="100" ht="14.25" customHeight="1">
      <c r="A100" s="45" t="s">
        <v>678</v>
      </c>
      <c r="B100" s="45" t="s">
        <v>679</v>
      </c>
      <c r="C100" s="45" t="s">
        <v>680</v>
      </c>
      <c r="D100" s="45" t="str">
        <f>"0,5984"</f>
        <v>0,5984</v>
      </c>
      <c r="E100" s="45" t="s">
        <v>27</v>
      </c>
      <c r="F100" s="45" t="s">
        <v>89</v>
      </c>
      <c r="G100" s="45" t="s">
        <v>163</v>
      </c>
      <c r="H100" s="46" t="s">
        <v>218</v>
      </c>
      <c r="I100" s="46"/>
      <c r="J100" s="47">
        <v>190.0</v>
      </c>
      <c r="K100" s="45" t="str">
        <f>"113,6960"</f>
        <v>113,6960</v>
      </c>
      <c r="L100" s="45"/>
    </row>
    <row r="101" ht="14.25" customHeight="1">
      <c r="A101" s="45" t="s">
        <v>681</v>
      </c>
      <c r="B101" s="45" t="s">
        <v>682</v>
      </c>
      <c r="C101" s="45" t="s">
        <v>683</v>
      </c>
      <c r="D101" s="45" t="str">
        <f>"0,5859"</f>
        <v>0,5859</v>
      </c>
      <c r="E101" s="45" t="s">
        <v>27</v>
      </c>
      <c r="F101" s="45" t="s">
        <v>201</v>
      </c>
      <c r="G101" s="46" t="s">
        <v>532</v>
      </c>
      <c r="H101" s="46" t="s">
        <v>532</v>
      </c>
      <c r="I101" s="46" t="s">
        <v>684</v>
      </c>
      <c r="J101" s="47" t="s">
        <v>201</v>
      </c>
      <c r="K101" s="45" t="s">
        <v>685</v>
      </c>
      <c r="L101" s="45"/>
    </row>
    <row r="102" ht="14.25" customHeight="1">
      <c r="A102" s="45" t="s">
        <v>360</v>
      </c>
      <c r="B102" s="45" t="s">
        <v>361</v>
      </c>
      <c r="C102" s="45" t="s">
        <v>362</v>
      </c>
      <c r="D102" s="45" t="str">
        <f>"0,5846"</f>
        <v>0,5846</v>
      </c>
      <c r="E102" s="45" t="s">
        <v>363</v>
      </c>
      <c r="F102" s="45" t="s">
        <v>69</v>
      </c>
      <c r="G102" s="46" t="s">
        <v>167</v>
      </c>
      <c r="H102" s="46" t="s">
        <v>167</v>
      </c>
      <c r="I102" s="46"/>
      <c r="J102" s="47" t="s">
        <v>686</v>
      </c>
      <c r="K102" s="45" t="s">
        <v>687</v>
      </c>
      <c r="L102" s="45"/>
    </row>
    <row r="103" ht="14.25" customHeight="1">
      <c r="A103" s="45" t="s">
        <v>688</v>
      </c>
      <c r="B103" s="45" t="s">
        <v>689</v>
      </c>
      <c r="C103" s="45" t="s">
        <v>690</v>
      </c>
      <c r="D103" s="45" t="str">
        <f>"0,5880"</f>
        <v>0,5880</v>
      </c>
      <c r="E103" s="45" t="s">
        <v>27</v>
      </c>
      <c r="F103" s="46" t="s">
        <v>72</v>
      </c>
      <c r="G103" s="46" t="s">
        <v>51</v>
      </c>
      <c r="H103" s="46" t="s">
        <v>51</v>
      </c>
      <c r="I103" s="46"/>
      <c r="J103" s="47" t="s">
        <v>684</v>
      </c>
      <c r="K103" s="45" t="str">
        <f>"0,0000"</f>
        <v>0,0000</v>
      </c>
      <c r="L103" s="45"/>
    </row>
    <row r="104" ht="14.25" customHeight="1">
      <c r="A104" s="45" t="s">
        <v>691</v>
      </c>
      <c r="B104" s="45" t="s">
        <v>692</v>
      </c>
      <c r="C104" s="45" t="s">
        <v>693</v>
      </c>
      <c r="D104" s="45" t="str">
        <f>"0,6038"</f>
        <v>0,6038</v>
      </c>
      <c r="E104" s="45" t="s">
        <v>27</v>
      </c>
      <c r="F104" s="45" t="s">
        <v>70</v>
      </c>
      <c r="G104" s="46" t="s">
        <v>167</v>
      </c>
      <c r="H104" s="45" t="s">
        <v>167</v>
      </c>
      <c r="I104" s="46"/>
      <c r="J104" s="47">
        <v>165.0</v>
      </c>
      <c r="K104" s="45" t="str">
        <f>"99,6252"</f>
        <v>99,6252</v>
      </c>
      <c r="L104" s="45"/>
    </row>
    <row r="105" ht="14.25" customHeight="1">
      <c r="A105" s="45" t="s">
        <v>694</v>
      </c>
      <c r="B105" s="45" t="s">
        <v>695</v>
      </c>
      <c r="C105" s="45" t="s">
        <v>696</v>
      </c>
      <c r="D105" s="45" t="str">
        <f>"0,6358"</f>
        <v>0,6358</v>
      </c>
      <c r="E105" s="45" t="s">
        <v>27</v>
      </c>
      <c r="F105" s="46" t="s">
        <v>69</v>
      </c>
      <c r="G105" s="45" t="s">
        <v>69</v>
      </c>
      <c r="H105" s="45" t="s">
        <v>70</v>
      </c>
      <c r="I105" s="46"/>
      <c r="J105" s="47">
        <v>160.0</v>
      </c>
      <c r="K105" s="45" t="str">
        <f>"101,7273"</f>
        <v>101,7273</v>
      </c>
      <c r="L105" s="45"/>
    </row>
    <row r="106" ht="14.25" customHeight="1">
      <c r="A106" s="45" t="s">
        <v>697</v>
      </c>
      <c r="B106" s="45" t="s">
        <v>698</v>
      </c>
      <c r="C106" s="45" t="s">
        <v>359</v>
      </c>
      <c r="D106" s="45" t="str">
        <f>"0,6594"</f>
        <v>0,6594</v>
      </c>
      <c r="E106" s="45" t="s">
        <v>27</v>
      </c>
      <c r="F106" s="45" t="s">
        <v>167</v>
      </c>
      <c r="G106" s="45" t="s">
        <v>217</v>
      </c>
      <c r="H106" s="46" t="s">
        <v>52</v>
      </c>
      <c r="I106" s="46"/>
      <c r="J106" s="47">
        <v>175.0</v>
      </c>
      <c r="K106" s="45" t="str">
        <f>"115,3970"</f>
        <v>115,3970</v>
      </c>
      <c r="L106" s="45"/>
    </row>
    <row r="107" ht="14.25" customHeight="1">
      <c r="A107" s="45" t="s">
        <v>699</v>
      </c>
      <c r="B107" s="45" t="s">
        <v>700</v>
      </c>
      <c r="C107" s="45" t="s">
        <v>248</v>
      </c>
      <c r="D107" s="45" t="str">
        <f>"0,7035"</f>
        <v>0,7035</v>
      </c>
      <c r="E107" s="45" t="s">
        <v>27</v>
      </c>
      <c r="F107" s="45" t="s">
        <v>167</v>
      </c>
      <c r="G107" s="45" t="s">
        <v>89</v>
      </c>
      <c r="H107" s="46" t="s">
        <v>197</v>
      </c>
      <c r="I107" s="46"/>
      <c r="J107" s="47">
        <v>170.0</v>
      </c>
      <c r="K107" s="45" t="str">
        <f>"119,5945"</f>
        <v>119,5945</v>
      </c>
      <c r="L107" s="45"/>
    </row>
    <row r="108" ht="14.25" customHeight="1">
      <c r="A108" s="45" t="s">
        <v>18</v>
      </c>
      <c r="B108" s="45" t="s">
        <v>20</v>
      </c>
      <c r="C108" s="45" t="s">
        <v>22</v>
      </c>
      <c r="D108" s="45" t="str">
        <f>"0,7693"</f>
        <v>0,7693</v>
      </c>
      <c r="E108" s="45" t="s">
        <v>27</v>
      </c>
      <c r="F108" s="45" t="s">
        <v>51</v>
      </c>
      <c r="G108" s="45" t="s">
        <v>137</v>
      </c>
      <c r="H108" s="45" t="s">
        <v>145</v>
      </c>
      <c r="I108" s="46"/>
      <c r="J108" s="47">
        <v>152.5</v>
      </c>
      <c r="K108" s="45" t="str">
        <f>"117,3245"</f>
        <v>117,3245</v>
      </c>
      <c r="L108" s="45"/>
    </row>
    <row r="109" ht="14.25" customHeight="1">
      <c r="A109" s="45" t="s">
        <v>701</v>
      </c>
      <c r="B109" s="45" t="s">
        <v>702</v>
      </c>
      <c r="C109" s="45" t="s">
        <v>703</v>
      </c>
      <c r="D109" s="45" t="str">
        <f>"0,7750"</f>
        <v>0,7750</v>
      </c>
      <c r="E109" s="45" t="s">
        <v>27</v>
      </c>
      <c r="F109" s="45" t="s">
        <v>51</v>
      </c>
      <c r="G109" s="45" t="s">
        <v>98</v>
      </c>
      <c r="H109" s="46" t="s">
        <v>69</v>
      </c>
      <c r="I109" s="46"/>
      <c r="J109" s="47">
        <v>145.0</v>
      </c>
      <c r="K109" s="45" t="str">
        <f>"112,3732"</f>
        <v>112,3732</v>
      </c>
      <c r="L109" s="45"/>
    </row>
    <row r="110" ht="14.25" customHeight="1">
      <c r="A110" s="41" t="s">
        <v>704</v>
      </c>
      <c r="B110" s="41" t="s">
        <v>705</v>
      </c>
      <c r="C110" s="41" t="s">
        <v>706</v>
      </c>
      <c r="D110" s="41" t="str">
        <f>"0,7671"</f>
        <v>0,7671</v>
      </c>
      <c r="E110" s="41" t="s">
        <v>453</v>
      </c>
      <c r="F110" s="41" t="s">
        <v>50</v>
      </c>
      <c r="G110" s="43" t="s">
        <v>51</v>
      </c>
      <c r="H110" s="41" t="s">
        <v>51</v>
      </c>
      <c r="I110" s="43"/>
      <c r="J110" s="44">
        <v>140.0</v>
      </c>
      <c r="K110" s="41" t="str">
        <f>"107,3996"</f>
        <v>107,3996</v>
      </c>
      <c r="L110" s="41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32"/>
      <c r="K111" s="25"/>
      <c r="L111" s="25"/>
    </row>
    <row r="112" ht="14.25" customHeight="1">
      <c r="A112" s="30" t="s">
        <v>266</v>
      </c>
      <c r="L112" s="25"/>
    </row>
    <row r="113" ht="14.25" customHeight="1">
      <c r="A113" s="34" t="s">
        <v>707</v>
      </c>
      <c r="B113" s="34" t="s">
        <v>708</v>
      </c>
      <c r="C113" s="34" t="s">
        <v>709</v>
      </c>
      <c r="D113" s="34" t="str">
        <f>"0,5670"</f>
        <v>0,5670</v>
      </c>
      <c r="E113" s="34" t="s">
        <v>710</v>
      </c>
      <c r="F113" s="34" t="s">
        <v>54</v>
      </c>
      <c r="G113" s="34" t="s">
        <v>223</v>
      </c>
      <c r="H113" s="34" t="s">
        <v>179</v>
      </c>
      <c r="I113" s="37"/>
      <c r="J113" s="39">
        <v>210.0</v>
      </c>
      <c r="K113" s="34" t="str">
        <f>"119,0595"</f>
        <v>119,0595</v>
      </c>
      <c r="L113" s="34"/>
    </row>
    <row r="114" ht="14.25" customHeight="1">
      <c r="A114" s="45" t="s">
        <v>711</v>
      </c>
      <c r="B114" s="45" t="s">
        <v>712</v>
      </c>
      <c r="C114" s="45" t="s">
        <v>713</v>
      </c>
      <c r="D114" s="45" t="str">
        <f>"0,5765"</f>
        <v>0,5765</v>
      </c>
      <c r="E114" s="45" t="s">
        <v>27</v>
      </c>
      <c r="F114" s="45" t="s">
        <v>89</v>
      </c>
      <c r="G114" s="46" t="s">
        <v>52</v>
      </c>
      <c r="H114" s="45" t="s">
        <v>52</v>
      </c>
      <c r="I114" s="46"/>
      <c r="J114" s="47">
        <v>180.0</v>
      </c>
      <c r="K114" s="45" t="str">
        <f>"103,7700"</f>
        <v>103,7700</v>
      </c>
      <c r="L114" s="45"/>
    </row>
    <row r="115" ht="14.25" customHeight="1">
      <c r="A115" s="45" t="s">
        <v>714</v>
      </c>
      <c r="B115" s="45" t="s">
        <v>715</v>
      </c>
      <c r="C115" s="45" t="s">
        <v>716</v>
      </c>
      <c r="D115" s="45" t="str">
        <f>"0,5625"</f>
        <v>0,5625</v>
      </c>
      <c r="E115" s="45" t="s">
        <v>27</v>
      </c>
      <c r="F115" s="45" t="s">
        <v>217</v>
      </c>
      <c r="G115" s="46" t="s">
        <v>189</v>
      </c>
      <c r="H115" s="46" t="s">
        <v>189</v>
      </c>
      <c r="I115" s="46"/>
      <c r="J115" s="47">
        <v>175.0</v>
      </c>
      <c r="K115" s="45" t="str">
        <f>"98,4375"</f>
        <v>98,4375</v>
      </c>
      <c r="L115" s="45"/>
    </row>
    <row r="116" ht="14.25" customHeight="1">
      <c r="A116" s="45" t="s">
        <v>717</v>
      </c>
      <c r="B116" s="45" t="s">
        <v>718</v>
      </c>
      <c r="C116" s="45" t="s">
        <v>719</v>
      </c>
      <c r="D116" s="45" t="str">
        <f>"0,5648"</f>
        <v>0,5648</v>
      </c>
      <c r="E116" s="45" t="s">
        <v>27</v>
      </c>
      <c r="F116" s="45" t="s">
        <v>145</v>
      </c>
      <c r="G116" s="45" t="s">
        <v>201</v>
      </c>
      <c r="H116" s="46" t="s">
        <v>532</v>
      </c>
      <c r="I116" s="46"/>
      <c r="J116" s="47">
        <v>162.5</v>
      </c>
      <c r="K116" s="45" t="str">
        <f>"91,7881"</f>
        <v>91,7881</v>
      </c>
      <c r="L116" s="45"/>
    </row>
    <row r="117" ht="14.25" customHeight="1">
      <c r="A117" s="45" t="s">
        <v>720</v>
      </c>
      <c r="B117" s="45" t="s">
        <v>721</v>
      </c>
      <c r="C117" s="45" t="s">
        <v>722</v>
      </c>
      <c r="D117" s="45" t="str">
        <f>"0,5844"</f>
        <v>0,5844</v>
      </c>
      <c r="E117" s="45" t="s">
        <v>27</v>
      </c>
      <c r="F117" s="45" t="s">
        <v>89</v>
      </c>
      <c r="G117" s="45" t="s">
        <v>217</v>
      </c>
      <c r="H117" s="45" t="s">
        <v>52</v>
      </c>
      <c r="I117" s="46"/>
      <c r="J117" s="47">
        <v>180.0</v>
      </c>
      <c r="K117" s="45" t="str">
        <f>"105,1936"</f>
        <v>105,1936</v>
      </c>
      <c r="L117" s="45"/>
    </row>
    <row r="118" ht="14.25" customHeight="1">
      <c r="A118" s="45" t="s">
        <v>723</v>
      </c>
      <c r="B118" s="45" t="s">
        <v>724</v>
      </c>
      <c r="C118" s="45" t="s">
        <v>725</v>
      </c>
      <c r="D118" s="45" t="str">
        <f>"0,5907"</f>
        <v>0,5907</v>
      </c>
      <c r="E118" s="45" t="s">
        <v>27</v>
      </c>
      <c r="F118" s="45" t="s">
        <v>532</v>
      </c>
      <c r="G118" s="45" t="s">
        <v>71</v>
      </c>
      <c r="H118" s="46" t="s">
        <v>217</v>
      </c>
      <c r="I118" s="46"/>
      <c r="J118" s="47">
        <v>172.5</v>
      </c>
      <c r="K118" s="45" t="str">
        <f>"101,9015"</f>
        <v>101,9015</v>
      </c>
      <c r="L118" s="45"/>
    </row>
    <row r="119" ht="14.25" customHeight="1">
      <c r="A119" s="45" t="s">
        <v>726</v>
      </c>
      <c r="B119" s="45" t="s">
        <v>727</v>
      </c>
      <c r="C119" s="45" t="s">
        <v>728</v>
      </c>
      <c r="D119" s="45" t="str">
        <f>"0,5741"</f>
        <v>0,5741</v>
      </c>
      <c r="E119" s="45" t="s">
        <v>27</v>
      </c>
      <c r="F119" s="45" t="s">
        <v>70</v>
      </c>
      <c r="G119" s="46" t="s">
        <v>89</v>
      </c>
      <c r="H119" s="45" t="s">
        <v>89</v>
      </c>
      <c r="I119" s="46"/>
      <c r="J119" s="47">
        <v>170.0</v>
      </c>
      <c r="K119" s="45" t="str">
        <f>"97,6029"</f>
        <v>97,6029</v>
      </c>
      <c r="L119" s="45"/>
    </row>
    <row r="120" ht="14.25" customHeight="1">
      <c r="A120" s="45" t="s">
        <v>729</v>
      </c>
      <c r="B120" s="45" t="s">
        <v>730</v>
      </c>
      <c r="C120" s="45" t="s">
        <v>731</v>
      </c>
      <c r="D120" s="45" t="str">
        <f>"0,6185"</f>
        <v>0,6185</v>
      </c>
      <c r="E120" s="45" t="s">
        <v>27</v>
      </c>
      <c r="F120" s="45" t="s">
        <v>167</v>
      </c>
      <c r="G120" s="46" t="s">
        <v>89</v>
      </c>
      <c r="H120" s="46" t="s">
        <v>89</v>
      </c>
      <c r="I120" s="46"/>
      <c r="J120" s="47" t="s">
        <v>167</v>
      </c>
      <c r="K120" s="45" t="s">
        <v>732</v>
      </c>
      <c r="L120" s="45"/>
    </row>
    <row r="121" ht="14.25" customHeight="1">
      <c r="A121" s="45" t="s">
        <v>465</v>
      </c>
      <c r="B121" s="45" t="s">
        <v>733</v>
      </c>
      <c r="C121" s="45" t="s">
        <v>734</v>
      </c>
      <c r="D121" s="45" t="str">
        <f>"0,6567"</f>
        <v>0,6567</v>
      </c>
      <c r="E121" s="45" t="s">
        <v>27</v>
      </c>
      <c r="F121" s="46" t="s">
        <v>69</v>
      </c>
      <c r="G121" s="45" t="s">
        <v>69</v>
      </c>
      <c r="H121" s="45" t="s">
        <v>145</v>
      </c>
      <c r="I121" s="46"/>
      <c r="J121" s="47">
        <v>152.5</v>
      </c>
      <c r="K121" s="45" t="str">
        <f>"100,1490"</f>
        <v>100,1490</v>
      </c>
      <c r="L121" s="45"/>
    </row>
    <row r="122" ht="14.25" customHeight="1">
      <c r="A122" s="45" t="s">
        <v>273</v>
      </c>
      <c r="B122" s="45" t="s">
        <v>274</v>
      </c>
      <c r="C122" s="45" t="s">
        <v>275</v>
      </c>
      <c r="D122" s="45" t="str">
        <f>"0,7076"</f>
        <v>0,7076</v>
      </c>
      <c r="E122" s="45" t="s">
        <v>27</v>
      </c>
      <c r="F122" s="45" t="s">
        <v>72</v>
      </c>
      <c r="G122" s="45" t="s">
        <v>51</v>
      </c>
      <c r="H122" s="45" t="s">
        <v>98</v>
      </c>
      <c r="I122" s="46"/>
      <c r="J122" s="47">
        <v>145.0</v>
      </c>
      <c r="K122" s="45" t="str">
        <f>"102,5962"</f>
        <v>102,5962</v>
      </c>
      <c r="L122" s="45"/>
    </row>
    <row r="123" ht="14.25" customHeight="1">
      <c r="A123" s="41" t="s">
        <v>735</v>
      </c>
      <c r="B123" s="41" t="s">
        <v>736</v>
      </c>
      <c r="C123" s="41" t="s">
        <v>737</v>
      </c>
      <c r="D123" s="41" t="str">
        <f>"0,7099"</f>
        <v>0,7099</v>
      </c>
      <c r="E123" s="41" t="s">
        <v>27</v>
      </c>
      <c r="F123" s="41" t="s">
        <v>72</v>
      </c>
      <c r="G123" s="41" t="s">
        <v>53</v>
      </c>
      <c r="H123" s="43" t="s">
        <v>137</v>
      </c>
      <c r="I123" s="43"/>
      <c r="J123" s="44">
        <v>142.5</v>
      </c>
      <c r="K123" s="41" t="str">
        <f>"101,1620"</f>
        <v>101,1620</v>
      </c>
      <c r="L123" s="41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32"/>
      <c r="K124" s="25"/>
      <c r="L124" s="25"/>
    </row>
    <row r="125" ht="14.25" customHeight="1">
      <c r="A125" s="30" t="s">
        <v>276</v>
      </c>
      <c r="L125" s="25"/>
    </row>
    <row r="126" ht="14.25" customHeight="1">
      <c r="A126" s="34" t="s">
        <v>738</v>
      </c>
      <c r="B126" s="34" t="s">
        <v>739</v>
      </c>
      <c r="C126" s="34" t="s">
        <v>740</v>
      </c>
      <c r="D126" s="34" t="str">
        <f>"0,5522"</f>
        <v>0,5522</v>
      </c>
      <c r="E126" s="34" t="s">
        <v>27</v>
      </c>
      <c r="F126" s="34" t="s">
        <v>163</v>
      </c>
      <c r="G126" s="34" t="s">
        <v>218</v>
      </c>
      <c r="H126" s="37" t="s">
        <v>54</v>
      </c>
      <c r="I126" s="37"/>
      <c r="J126" s="39">
        <v>195.0</v>
      </c>
      <c r="K126" s="34" t="str">
        <f>"107,6790"</f>
        <v>107,6790</v>
      </c>
      <c r="L126" s="34"/>
    </row>
    <row r="127" ht="14.25" customHeight="1">
      <c r="A127" s="45" t="s">
        <v>741</v>
      </c>
      <c r="B127" s="45" t="s">
        <v>742</v>
      </c>
      <c r="C127" s="45" t="s">
        <v>743</v>
      </c>
      <c r="D127" s="45" t="str">
        <f>"0,5526"</f>
        <v>0,5526</v>
      </c>
      <c r="E127" s="45" t="s">
        <v>27</v>
      </c>
      <c r="F127" s="45" t="s">
        <v>52</v>
      </c>
      <c r="G127" s="46" t="s">
        <v>163</v>
      </c>
      <c r="H127" s="46" t="s">
        <v>163</v>
      </c>
      <c r="I127" s="46"/>
      <c r="J127" s="47" t="s">
        <v>595</v>
      </c>
      <c r="K127" s="45" t="s">
        <v>744</v>
      </c>
      <c r="L127" s="45"/>
    </row>
    <row r="128" ht="14.25" customHeight="1">
      <c r="A128" s="45" t="s">
        <v>745</v>
      </c>
      <c r="B128" s="45" t="s">
        <v>746</v>
      </c>
      <c r="C128" s="45" t="s">
        <v>747</v>
      </c>
      <c r="D128" s="45" t="str">
        <f>"0,5558"</f>
        <v>0,5558</v>
      </c>
      <c r="E128" s="45" t="s">
        <v>27</v>
      </c>
      <c r="F128" s="45" t="s">
        <v>51</v>
      </c>
      <c r="G128" s="45" t="s">
        <v>145</v>
      </c>
      <c r="H128" s="45" t="s">
        <v>70</v>
      </c>
      <c r="I128" s="46"/>
      <c r="J128" s="47">
        <v>160.0</v>
      </c>
      <c r="K128" s="45" t="str">
        <f>"88,9200"</f>
        <v>88,9200</v>
      </c>
      <c r="L128" s="45"/>
    </row>
    <row r="129" ht="14.25" customHeight="1">
      <c r="A129" s="45" t="s">
        <v>748</v>
      </c>
      <c r="B129" s="45" t="s">
        <v>749</v>
      </c>
      <c r="C129" s="45" t="s">
        <v>750</v>
      </c>
      <c r="D129" s="45" t="str">
        <f>"0,5454"</f>
        <v>0,5454</v>
      </c>
      <c r="E129" s="45" t="s">
        <v>27</v>
      </c>
      <c r="F129" s="46" t="s">
        <v>69</v>
      </c>
      <c r="G129" s="45" t="s">
        <v>69</v>
      </c>
      <c r="H129" s="46" t="s">
        <v>52</v>
      </c>
      <c r="I129" s="46"/>
      <c r="J129" s="47">
        <v>150.0</v>
      </c>
      <c r="K129" s="45" t="str">
        <f>"81,8100"</f>
        <v>81,8100</v>
      </c>
      <c r="L129" s="45"/>
    </row>
    <row r="130" ht="14.25" customHeight="1">
      <c r="A130" s="45" t="s">
        <v>751</v>
      </c>
      <c r="B130" s="45" t="s">
        <v>752</v>
      </c>
      <c r="C130" s="45" t="s">
        <v>753</v>
      </c>
      <c r="D130" s="45" t="str">
        <f>"0,5667"</f>
        <v>0,5667</v>
      </c>
      <c r="E130" s="45" t="s">
        <v>27</v>
      </c>
      <c r="F130" s="45" t="s">
        <v>217</v>
      </c>
      <c r="G130" s="45" t="s">
        <v>189</v>
      </c>
      <c r="H130" s="45" t="s">
        <v>754</v>
      </c>
      <c r="I130" s="46"/>
      <c r="J130" s="47">
        <v>192.5</v>
      </c>
      <c r="K130" s="45" t="str">
        <f>"109,0976"</f>
        <v>109,0976</v>
      </c>
      <c r="L130" s="45"/>
    </row>
    <row r="131" ht="14.25" customHeight="1">
      <c r="A131" s="45" t="s">
        <v>755</v>
      </c>
      <c r="B131" s="45" t="s">
        <v>756</v>
      </c>
      <c r="C131" s="45" t="s">
        <v>757</v>
      </c>
      <c r="D131" s="45" t="str">
        <f>"0,5494"</f>
        <v>0,5494</v>
      </c>
      <c r="E131" s="45" t="s">
        <v>27</v>
      </c>
      <c r="F131" s="46" t="s">
        <v>217</v>
      </c>
      <c r="G131" s="46" t="s">
        <v>217</v>
      </c>
      <c r="H131" s="46" t="s">
        <v>217</v>
      </c>
      <c r="I131" s="46"/>
      <c r="J131" s="47">
        <v>0.0</v>
      </c>
      <c r="K131" s="45" t="str">
        <f>"0,0000"</f>
        <v>0,0000</v>
      </c>
      <c r="L131" s="45"/>
    </row>
    <row r="132" ht="14.25" customHeight="1">
      <c r="A132" s="45" t="s">
        <v>758</v>
      </c>
      <c r="B132" s="45" t="s">
        <v>759</v>
      </c>
      <c r="C132" s="45" t="s">
        <v>760</v>
      </c>
      <c r="D132" s="45" t="str">
        <f>"0,5757"</f>
        <v>0,5757</v>
      </c>
      <c r="E132" s="45" t="s">
        <v>27</v>
      </c>
      <c r="F132" s="45" t="s">
        <v>554</v>
      </c>
      <c r="G132" s="45" t="s">
        <v>754</v>
      </c>
      <c r="H132" s="45" t="s">
        <v>218</v>
      </c>
      <c r="I132" s="46"/>
      <c r="J132" s="47">
        <v>195.0</v>
      </c>
      <c r="K132" s="45" t="str">
        <f>"112,2538"</f>
        <v>112,2538</v>
      </c>
      <c r="L132" s="45"/>
    </row>
    <row r="133" ht="14.25" customHeight="1">
      <c r="A133" s="45" t="s">
        <v>761</v>
      </c>
      <c r="B133" s="45" t="s">
        <v>762</v>
      </c>
      <c r="C133" s="45" t="s">
        <v>763</v>
      </c>
      <c r="D133" s="45" t="str">
        <f>"0,5859"</f>
        <v>0,5859</v>
      </c>
      <c r="E133" s="45" t="s">
        <v>453</v>
      </c>
      <c r="F133" s="45" t="s">
        <v>71</v>
      </c>
      <c r="G133" s="45" t="s">
        <v>217</v>
      </c>
      <c r="H133" s="46" t="s">
        <v>52</v>
      </c>
      <c r="I133" s="46"/>
      <c r="J133" s="47">
        <v>175.0</v>
      </c>
      <c r="K133" s="45" t="str">
        <f>"102,5315"</f>
        <v>102,5315</v>
      </c>
      <c r="L133" s="45"/>
    </row>
    <row r="134" ht="14.25" customHeight="1">
      <c r="A134" s="45" t="s">
        <v>764</v>
      </c>
      <c r="B134" s="45" t="s">
        <v>765</v>
      </c>
      <c r="C134" s="45" t="s">
        <v>766</v>
      </c>
      <c r="D134" s="45" t="str">
        <f>"0,6023"</f>
        <v>0,6023</v>
      </c>
      <c r="E134" s="45" t="s">
        <v>27</v>
      </c>
      <c r="F134" s="45" t="s">
        <v>71</v>
      </c>
      <c r="G134" s="45" t="s">
        <v>71</v>
      </c>
      <c r="H134" s="46" t="s">
        <v>197</v>
      </c>
      <c r="I134" s="46"/>
      <c r="J134" s="47">
        <v>172.5</v>
      </c>
      <c r="K134" s="45" t="str">
        <f>"103,8959"</f>
        <v>103,8959</v>
      </c>
      <c r="L134" s="45"/>
    </row>
    <row r="135" ht="14.25" customHeight="1">
      <c r="A135" s="41" t="s">
        <v>767</v>
      </c>
      <c r="B135" s="41" t="s">
        <v>768</v>
      </c>
      <c r="C135" s="41" t="s">
        <v>769</v>
      </c>
      <c r="D135" s="41" t="str">
        <f>"0,6459"</f>
        <v>0,6459</v>
      </c>
      <c r="E135" s="41" t="s">
        <v>27</v>
      </c>
      <c r="F135" s="41" t="s">
        <v>89</v>
      </c>
      <c r="G135" s="41" t="s">
        <v>197</v>
      </c>
      <c r="H135" s="41" t="s">
        <v>52</v>
      </c>
      <c r="I135" s="43"/>
      <c r="J135" s="44">
        <v>180.0</v>
      </c>
      <c r="K135" s="41" t="str">
        <f>"116,2570"</f>
        <v>116,2570</v>
      </c>
      <c r="L135" s="41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32"/>
      <c r="K136" s="25"/>
      <c r="L136" s="25"/>
    </row>
    <row r="137" ht="14.25" customHeight="1">
      <c r="A137" s="30" t="s">
        <v>770</v>
      </c>
      <c r="L137" s="25"/>
    </row>
    <row r="138" ht="14.25" customHeight="1">
      <c r="A138" s="34" t="s">
        <v>771</v>
      </c>
      <c r="B138" s="34" t="s">
        <v>772</v>
      </c>
      <c r="C138" s="34" t="s">
        <v>773</v>
      </c>
      <c r="D138" s="34" t="str">
        <f>"0,5439"</f>
        <v>0,5439</v>
      </c>
      <c r="E138" s="34" t="s">
        <v>27</v>
      </c>
      <c r="F138" s="34" t="s">
        <v>167</v>
      </c>
      <c r="G138" s="34" t="s">
        <v>217</v>
      </c>
      <c r="H138" s="37" t="s">
        <v>52</v>
      </c>
      <c r="I138" s="37"/>
      <c r="J138" s="39">
        <v>175.0</v>
      </c>
      <c r="K138" s="34" t="str">
        <f>"95,1772"</f>
        <v>95,1772</v>
      </c>
      <c r="L138" s="34"/>
    </row>
    <row r="139" ht="14.25" customHeight="1">
      <c r="A139" s="45" t="s">
        <v>774</v>
      </c>
      <c r="B139" s="45" t="s">
        <v>775</v>
      </c>
      <c r="C139" s="45" t="s">
        <v>776</v>
      </c>
      <c r="D139" s="45" t="str">
        <f>"0,5434"</f>
        <v>0,5434</v>
      </c>
      <c r="E139" s="45" t="s">
        <v>27</v>
      </c>
      <c r="F139" s="45" t="s">
        <v>132</v>
      </c>
      <c r="G139" s="45" t="s">
        <v>50</v>
      </c>
      <c r="H139" s="45" t="s">
        <v>53</v>
      </c>
      <c r="I139" s="46"/>
      <c r="J139" s="47">
        <v>142.5</v>
      </c>
      <c r="K139" s="45" t="str">
        <f>"77,4302"</f>
        <v>77,4302</v>
      </c>
      <c r="L139" s="45"/>
    </row>
    <row r="140" ht="14.25" customHeight="1">
      <c r="A140" s="41" t="s">
        <v>771</v>
      </c>
      <c r="B140" s="41" t="s">
        <v>777</v>
      </c>
      <c r="C140" s="41" t="s">
        <v>773</v>
      </c>
      <c r="D140" s="41" t="str">
        <f>"0,5439"</f>
        <v>0,5439</v>
      </c>
      <c r="E140" s="41" t="s">
        <v>27</v>
      </c>
      <c r="F140" s="41" t="s">
        <v>167</v>
      </c>
      <c r="G140" s="41" t="s">
        <v>217</v>
      </c>
      <c r="H140" s="43" t="s">
        <v>52</v>
      </c>
      <c r="I140" s="43"/>
      <c r="J140" s="44">
        <v>175.0</v>
      </c>
      <c r="K140" s="41" t="str">
        <f>"95,1772"</f>
        <v>95,1772</v>
      </c>
      <c r="L140" s="41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32"/>
      <c r="K141" s="25"/>
      <c r="L141" s="25"/>
    </row>
    <row r="142" ht="14.25" customHeight="1">
      <c r="A142" s="30" t="s">
        <v>367</v>
      </c>
      <c r="L142" s="25"/>
    </row>
    <row r="143" ht="14.25" customHeight="1">
      <c r="A143" s="34" t="s">
        <v>778</v>
      </c>
      <c r="B143" s="34" t="s">
        <v>779</v>
      </c>
      <c r="C143" s="34" t="s">
        <v>780</v>
      </c>
      <c r="D143" s="34" t="str">
        <f>"0,5149"</f>
        <v>0,5149</v>
      </c>
      <c r="E143" s="34" t="s">
        <v>27</v>
      </c>
      <c r="F143" s="34" t="s">
        <v>69</v>
      </c>
      <c r="G143" s="34" t="s">
        <v>201</v>
      </c>
      <c r="H143" s="37" t="s">
        <v>532</v>
      </c>
      <c r="I143" s="37"/>
      <c r="J143" s="39">
        <v>162.5</v>
      </c>
      <c r="K143" s="34" t="str">
        <f>"83,6704"</f>
        <v>83,6704</v>
      </c>
      <c r="L143" s="34"/>
    </row>
    <row r="144" ht="14.25" customHeight="1">
      <c r="A144" s="41" t="s">
        <v>781</v>
      </c>
      <c r="B144" s="41" t="s">
        <v>782</v>
      </c>
      <c r="C144" s="41" t="s">
        <v>783</v>
      </c>
      <c r="D144" s="41" t="str">
        <f>"0,5545"</f>
        <v>0,5545</v>
      </c>
      <c r="E144" s="41" t="s">
        <v>27</v>
      </c>
      <c r="F144" s="41" t="s">
        <v>55</v>
      </c>
      <c r="G144" s="43" t="s">
        <v>29</v>
      </c>
      <c r="H144" s="43"/>
      <c r="I144" s="43"/>
      <c r="J144" s="44" t="s">
        <v>784</v>
      </c>
      <c r="K144" s="41" t="s">
        <v>785</v>
      </c>
      <c r="L144" s="41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32"/>
      <c r="K145" s="25"/>
      <c r="L145" s="25"/>
    </row>
    <row r="146" ht="14.25" customHeight="1">
      <c r="A146" s="25"/>
      <c r="B146" s="25"/>
      <c r="C146" s="25"/>
      <c r="D146" s="25"/>
      <c r="E146" s="29" t="s">
        <v>33</v>
      </c>
      <c r="F146" s="25"/>
      <c r="G146" s="25"/>
      <c r="H146" s="25"/>
      <c r="I146" s="25"/>
      <c r="J146" s="32"/>
      <c r="K146" s="25"/>
      <c r="L146" s="25"/>
    </row>
    <row r="147" ht="14.25" customHeight="1">
      <c r="A147" s="25"/>
      <c r="B147" s="25"/>
      <c r="C147" s="25"/>
      <c r="D147" s="25"/>
      <c r="E147" s="29" t="s">
        <v>35</v>
      </c>
      <c r="F147" s="25"/>
      <c r="G147" s="25"/>
      <c r="H147" s="25"/>
      <c r="I147" s="25"/>
      <c r="J147" s="32"/>
      <c r="K147" s="25"/>
      <c r="L147" s="25"/>
    </row>
    <row r="148" ht="14.25" customHeight="1">
      <c r="A148" s="25"/>
      <c r="B148" s="25"/>
      <c r="C148" s="25"/>
      <c r="D148" s="25"/>
      <c r="E148" s="29" t="s">
        <v>36</v>
      </c>
      <c r="F148" s="25"/>
      <c r="G148" s="25"/>
      <c r="H148" s="25"/>
      <c r="I148" s="25"/>
      <c r="J148" s="32"/>
      <c r="K148" s="25"/>
      <c r="L148" s="25"/>
    </row>
    <row r="149" ht="14.25" customHeight="1">
      <c r="A149" s="25"/>
      <c r="B149" s="25"/>
      <c r="C149" s="25"/>
      <c r="D149" s="25"/>
      <c r="E149" s="25" t="s">
        <v>37</v>
      </c>
      <c r="F149" s="25"/>
      <c r="G149" s="25"/>
      <c r="H149" s="25"/>
      <c r="I149" s="25"/>
      <c r="J149" s="32"/>
      <c r="K149" s="25"/>
      <c r="L149" s="25"/>
    </row>
    <row r="150" ht="14.25" customHeight="1">
      <c r="A150" s="25"/>
      <c r="B150" s="25"/>
      <c r="C150" s="25"/>
      <c r="D150" s="25"/>
      <c r="E150" s="25" t="s">
        <v>38</v>
      </c>
      <c r="F150" s="25"/>
      <c r="G150" s="25"/>
      <c r="H150" s="25"/>
      <c r="I150" s="25"/>
      <c r="J150" s="32"/>
      <c r="K150" s="25"/>
      <c r="L150" s="25"/>
    </row>
    <row r="151" ht="14.25" customHeight="1">
      <c r="A151" s="25"/>
      <c r="B151" s="25"/>
      <c r="C151" s="25"/>
      <c r="D151" s="25"/>
      <c r="E151" s="25" t="s">
        <v>39</v>
      </c>
      <c r="F151" s="25"/>
      <c r="G151" s="25"/>
      <c r="H151" s="25"/>
      <c r="I151" s="25"/>
      <c r="J151" s="32"/>
      <c r="K151" s="25"/>
      <c r="L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32"/>
      <c r="K152" s="25"/>
      <c r="L152" s="25"/>
    </row>
    <row r="153" ht="14.25" customHeight="1">
      <c r="A153" s="31" t="s">
        <v>40</v>
      </c>
      <c r="B153" s="31"/>
      <c r="C153" s="25"/>
      <c r="D153" s="25"/>
      <c r="E153" s="25"/>
      <c r="F153" s="25"/>
      <c r="G153" s="25"/>
      <c r="H153" s="25"/>
      <c r="I153" s="25"/>
      <c r="J153" s="32"/>
      <c r="K153" s="25"/>
      <c r="L153" s="25"/>
    </row>
    <row r="154" ht="14.25" customHeight="1">
      <c r="A154" s="33" t="s">
        <v>97</v>
      </c>
      <c r="B154" s="33"/>
      <c r="C154" s="25"/>
      <c r="D154" s="25"/>
      <c r="E154" s="25"/>
      <c r="F154" s="25"/>
      <c r="G154" s="25"/>
      <c r="H154" s="25"/>
      <c r="I154" s="25"/>
      <c r="J154" s="32"/>
      <c r="K154" s="25"/>
      <c r="L154" s="25"/>
    </row>
    <row r="155" ht="14.25" customHeight="1">
      <c r="A155" s="35" t="s">
        <v>99</v>
      </c>
      <c r="B155" s="36"/>
      <c r="C155" s="25"/>
      <c r="D155" s="25"/>
      <c r="E155" s="25"/>
      <c r="F155" s="25"/>
      <c r="G155" s="25"/>
      <c r="H155" s="25"/>
      <c r="I155" s="25"/>
      <c r="J155" s="32"/>
      <c r="K155" s="25"/>
      <c r="L155" s="25"/>
    </row>
    <row r="156" ht="14.25" customHeight="1">
      <c r="A156" s="38" t="s">
        <v>3</v>
      </c>
      <c r="B156" s="38" t="s">
        <v>56</v>
      </c>
      <c r="C156" s="38" t="s">
        <v>57</v>
      </c>
      <c r="D156" s="38" t="s">
        <v>10</v>
      </c>
      <c r="E156" s="38" t="s">
        <v>58</v>
      </c>
      <c r="F156" s="25"/>
      <c r="G156" s="25"/>
      <c r="H156" s="25"/>
      <c r="I156" s="25"/>
      <c r="J156" s="32"/>
      <c r="K156" s="25"/>
      <c r="L156" s="25"/>
    </row>
    <row r="157" ht="14.25" customHeight="1">
      <c r="A157" s="40" t="s">
        <v>385</v>
      </c>
      <c r="B157" s="25" t="s">
        <v>308</v>
      </c>
      <c r="C157" s="25" t="s">
        <v>302</v>
      </c>
      <c r="D157" s="25" t="s">
        <v>388</v>
      </c>
      <c r="E157" s="42" t="s">
        <v>786</v>
      </c>
      <c r="F157" s="25"/>
      <c r="G157" s="25"/>
      <c r="H157" s="25"/>
      <c r="I157" s="25"/>
      <c r="J157" s="32"/>
      <c r="K157" s="25"/>
      <c r="L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32"/>
      <c r="K158" s="25"/>
      <c r="L158" s="25"/>
    </row>
    <row r="159" ht="14.25" customHeight="1">
      <c r="A159" s="35" t="s">
        <v>103</v>
      </c>
      <c r="B159" s="36"/>
      <c r="C159" s="25"/>
      <c r="D159" s="25"/>
      <c r="E159" s="25"/>
      <c r="F159" s="25"/>
      <c r="G159" s="25"/>
      <c r="H159" s="25"/>
      <c r="I159" s="25"/>
      <c r="J159" s="32"/>
      <c r="K159" s="25"/>
      <c r="L159" s="25"/>
    </row>
    <row r="160" ht="14.25" customHeight="1">
      <c r="A160" s="38" t="s">
        <v>3</v>
      </c>
      <c r="B160" s="38" t="s">
        <v>56</v>
      </c>
      <c r="C160" s="38" t="s">
        <v>57</v>
      </c>
      <c r="D160" s="38" t="s">
        <v>10</v>
      </c>
      <c r="E160" s="38" t="s">
        <v>58</v>
      </c>
      <c r="F160" s="25"/>
      <c r="G160" s="25"/>
      <c r="H160" s="25"/>
      <c r="I160" s="25"/>
      <c r="J160" s="32"/>
      <c r="K160" s="25"/>
      <c r="L160" s="25"/>
    </row>
    <row r="161" ht="14.25" customHeight="1">
      <c r="A161" s="40" t="s">
        <v>409</v>
      </c>
      <c r="B161" s="25" t="s">
        <v>103</v>
      </c>
      <c r="C161" s="25" t="s">
        <v>101</v>
      </c>
      <c r="D161" s="25" t="s">
        <v>414</v>
      </c>
      <c r="E161" s="42" t="s">
        <v>787</v>
      </c>
      <c r="F161" s="25"/>
      <c r="G161" s="25"/>
      <c r="H161" s="25"/>
      <c r="I161" s="25"/>
      <c r="J161" s="32"/>
      <c r="K161" s="25"/>
      <c r="L161" s="25"/>
    </row>
    <row r="162" ht="14.25" customHeight="1">
      <c r="A162" s="40" t="s">
        <v>427</v>
      </c>
      <c r="B162" s="25" t="s">
        <v>103</v>
      </c>
      <c r="C162" s="25" t="s">
        <v>638</v>
      </c>
      <c r="D162" s="25" t="s">
        <v>413</v>
      </c>
      <c r="E162" s="42" t="s">
        <v>788</v>
      </c>
      <c r="F162" s="25"/>
      <c r="G162" s="25"/>
      <c r="H162" s="25"/>
      <c r="I162" s="25"/>
      <c r="J162" s="32"/>
      <c r="K162" s="25"/>
      <c r="L162" s="25"/>
    </row>
    <row r="163" ht="14.25" customHeight="1">
      <c r="A163" s="40" t="s">
        <v>432</v>
      </c>
      <c r="B163" s="25" t="s">
        <v>103</v>
      </c>
      <c r="C163" s="25" t="s">
        <v>638</v>
      </c>
      <c r="D163" s="25" t="s">
        <v>430</v>
      </c>
      <c r="E163" s="42" t="s">
        <v>789</v>
      </c>
      <c r="F163" s="25"/>
      <c r="G163" s="25"/>
      <c r="H163" s="25"/>
      <c r="I163" s="25"/>
      <c r="J163" s="32"/>
      <c r="K163" s="25"/>
      <c r="L163" s="25"/>
    </row>
    <row r="164" ht="14.25" customHeight="1">
      <c r="A164" s="40" t="s">
        <v>421</v>
      </c>
      <c r="B164" s="25" t="s">
        <v>103</v>
      </c>
      <c r="C164" s="25" t="s">
        <v>284</v>
      </c>
      <c r="D164" s="25" t="s">
        <v>401</v>
      </c>
      <c r="E164" s="42" t="s">
        <v>790</v>
      </c>
      <c r="F164" s="25"/>
      <c r="G164" s="25"/>
      <c r="H164" s="25"/>
      <c r="I164" s="25"/>
      <c r="J164" s="32"/>
      <c r="K164" s="25"/>
      <c r="L164" s="25"/>
    </row>
    <row r="165" ht="14.25" customHeight="1">
      <c r="A165" s="40" t="s">
        <v>425</v>
      </c>
      <c r="B165" s="25" t="s">
        <v>103</v>
      </c>
      <c r="C165" s="25" t="s">
        <v>284</v>
      </c>
      <c r="D165" s="25" t="s">
        <v>420</v>
      </c>
      <c r="E165" s="42" t="s">
        <v>791</v>
      </c>
      <c r="F165" s="25"/>
      <c r="G165" s="25"/>
      <c r="H165" s="25"/>
      <c r="I165" s="25"/>
      <c r="J165" s="32"/>
      <c r="K165" s="25"/>
      <c r="L165" s="25"/>
    </row>
    <row r="166" ht="14.25" customHeight="1">
      <c r="A166" s="40" t="s">
        <v>437</v>
      </c>
      <c r="B166" s="25" t="s">
        <v>103</v>
      </c>
      <c r="C166" s="25" t="s">
        <v>293</v>
      </c>
      <c r="D166" s="25" t="s">
        <v>424</v>
      </c>
      <c r="E166" s="42" t="s">
        <v>792</v>
      </c>
      <c r="F166" s="25"/>
      <c r="G166" s="25"/>
      <c r="H166" s="25"/>
      <c r="I166" s="25"/>
      <c r="J166" s="32"/>
      <c r="K166" s="25"/>
      <c r="L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32"/>
      <c r="K167" s="25"/>
      <c r="L167" s="25"/>
    </row>
    <row r="168" ht="14.25" customHeight="1">
      <c r="A168" s="35" t="s">
        <v>45</v>
      </c>
      <c r="B168" s="36"/>
      <c r="C168" s="25"/>
      <c r="D168" s="25"/>
      <c r="E168" s="25"/>
      <c r="F168" s="25"/>
      <c r="G168" s="25"/>
      <c r="H168" s="25"/>
      <c r="I168" s="25"/>
      <c r="J168" s="32"/>
      <c r="K168" s="25"/>
      <c r="L168" s="25"/>
    </row>
    <row r="169" ht="14.25" customHeight="1">
      <c r="A169" s="38" t="s">
        <v>3</v>
      </c>
      <c r="B169" s="38" t="s">
        <v>56</v>
      </c>
      <c r="C169" s="38" t="s">
        <v>57</v>
      </c>
      <c r="D169" s="38" t="s">
        <v>10</v>
      </c>
      <c r="E169" s="38" t="s">
        <v>58</v>
      </c>
      <c r="F169" s="25"/>
      <c r="G169" s="25"/>
      <c r="H169" s="25"/>
      <c r="I169" s="25"/>
      <c r="J169" s="32"/>
      <c r="K169" s="25"/>
      <c r="L169" s="25"/>
    </row>
    <row r="170" ht="14.25" customHeight="1">
      <c r="A170" s="40" t="s">
        <v>447</v>
      </c>
      <c r="B170" s="25" t="s">
        <v>300</v>
      </c>
      <c r="C170" s="25" t="s">
        <v>293</v>
      </c>
      <c r="D170" s="25" t="s">
        <v>443</v>
      </c>
      <c r="E170" s="42" t="s">
        <v>793</v>
      </c>
      <c r="F170" s="25"/>
      <c r="G170" s="25"/>
      <c r="H170" s="25"/>
      <c r="I170" s="25"/>
      <c r="J170" s="32"/>
      <c r="K170" s="25"/>
      <c r="L170" s="25"/>
    </row>
    <row r="171" ht="14.25" customHeight="1">
      <c r="A171" s="40" t="s">
        <v>427</v>
      </c>
      <c r="B171" s="25" t="s">
        <v>300</v>
      </c>
      <c r="C171" s="25" t="s">
        <v>638</v>
      </c>
      <c r="D171" s="25" t="s">
        <v>431</v>
      </c>
      <c r="E171" s="42" t="s">
        <v>794</v>
      </c>
      <c r="F171" s="25"/>
      <c r="G171" s="25"/>
      <c r="H171" s="25"/>
      <c r="I171" s="25"/>
      <c r="J171" s="32"/>
      <c r="K171" s="25"/>
      <c r="L171" s="25"/>
    </row>
    <row r="172" ht="14.25" customHeight="1">
      <c r="A172" s="40" t="s">
        <v>415</v>
      </c>
      <c r="B172" s="25" t="s">
        <v>300</v>
      </c>
      <c r="C172" s="25" t="s">
        <v>101</v>
      </c>
      <c r="D172" s="25" t="s">
        <v>419</v>
      </c>
      <c r="E172" s="42" t="s">
        <v>795</v>
      </c>
      <c r="F172" s="25"/>
      <c r="G172" s="25"/>
      <c r="H172" s="25"/>
      <c r="I172" s="25"/>
      <c r="J172" s="32"/>
      <c r="K172" s="25"/>
      <c r="L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32"/>
      <c r="K173" s="25"/>
      <c r="L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32"/>
      <c r="K174" s="25"/>
      <c r="L174" s="25"/>
    </row>
    <row r="175" ht="14.25" customHeight="1">
      <c r="A175" s="33" t="s">
        <v>42</v>
      </c>
      <c r="B175" s="33"/>
      <c r="C175" s="25"/>
      <c r="D175" s="25"/>
      <c r="E175" s="25"/>
      <c r="F175" s="25"/>
      <c r="G175" s="25"/>
      <c r="H175" s="25"/>
      <c r="I175" s="25"/>
      <c r="J175" s="32"/>
      <c r="K175" s="25"/>
      <c r="L175" s="25"/>
    </row>
    <row r="176" ht="14.25" customHeight="1">
      <c r="A176" s="35" t="s">
        <v>99</v>
      </c>
      <c r="B176" s="36"/>
      <c r="C176" s="25"/>
      <c r="D176" s="25"/>
      <c r="E176" s="25"/>
      <c r="F176" s="25"/>
      <c r="G176" s="25"/>
      <c r="H176" s="25"/>
      <c r="I176" s="25"/>
      <c r="J176" s="32"/>
      <c r="K176" s="25"/>
      <c r="L176" s="25"/>
    </row>
    <row r="177" ht="14.25" customHeight="1">
      <c r="A177" s="38" t="s">
        <v>3</v>
      </c>
      <c r="B177" s="38" t="s">
        <v>56</v>
      </c>
      <c r="C177" s="38" t="s">
        <v>57</v>
      </c>
      <c r="D177" s="38" t="s">
        <v>10</v>
      </c>
      <c r="E177" s="38" t="s">
        <v>58</v>
      </c>
      <c r="F177" s="25"/>
      <c r="G177" s="25"/>
      <c r="H177" s="25"/>
      <c r="I177" s="25"/>
      <c r="J177" s="32"/>
      <c r="K177" s="25"/>
      <c r="L177" s="25"/>
    </row>
    <row r="178" ht="14.25" customHeight="1">
      <c r="A178" s="40" t="s">
        <v>462</v>
      </c>
      <c r="B178" s="25" t="s">
        <v>796</v>
      </c>
      <c r="C178" s="25" t="s">
        <v>638</v>
      </c>
      <c r="D178" s="25" t="s">
        <v>83</v>
      </c>
      <c r="E178" s="42" t="s">
        <v>797</v>
      </c>
      <c r="F178" s="25"/>
      <c r="G178" s="25"/>
      <c r="H178" s="25"/>
      <c r="I178" s="25"/>
      <c r="J178" s="32"/>
      <c r="K178" s="25"/>
      <c r="L178" s="25"/>
    </row>
    <row r="179" ht="14.25" customHeight="1">
      <c r="A179" s="40" t="s">
        <v>502</v>
      </c>
      <c r="B179" s="25" t="s">
        <v>100</v>
      </c>
      <c r="C179" s="25" t="s">
        <v>286</v>
      </c>
      <c r="D179" s="25" t="s">
        <v>53</v>
      </c>
      <c r="E179" s="42" t="s">
        <v>798</v>
      </c>
      <c r="F179" s="25"/>
      <c r="G179" s="25"/>
      <c r="H179" s="25"/>
      <c r="I179" s="25"/>
      <c r="J179" s="32"/>
      <c r="K179" s="25"/>
      <c r="L179" s="25"/>
    </row>
    <row r="180" ht="14.25" customHeight="1">
      <c r="A180" s="40" t="s">
        <v>478</v>
      </c>
      <c r="B180" s="25" t="s">
        <v>796</v>
      </c>
      <c r="C180" s="25" t="s">
        <v>293</v>
      </c>
      <c r="D180" s="25" t="s">
        <v>457</v>
      </c>
      <c r="E180" s="42" t="s">
        <v>799</v>
      </c>
      <c r="F180" s="25"/>
      <c r="G180" s="25"/>
      <c r="H180" s="25"/>
      <c r="I180" s="25"/>
      <c r="J180" s="32"/>
      <c r="K180" s="25"/>
      <c r="L180" s="25"/>
    </row>
    <row r="181" ht="14.25" customHeight="1">
      <c r="A181" s="40" t="s">
        <v>472</v>
      </c>
      <c r="B181" s="25" t="s">
        <v>308</v>
      </c>
      <c r="C181" s="25" t="s">
        <v>293</v>
      </c>
      <c r="D181" s="25" t="s">
        <v>93</v>
      </c>
      <c r="E181" s="42" t="s">
        <v>800</v>
      </c>
      <c r="F181" s="25"/>
      <c r="G181" s="25"/>
      <c r="H181" s="25"/>
      <c r="I181" s="25"/>
      <c r="J181" s="32"/>
      <c r="K181" s="25"/>
      <c r="L181" s="25"/>
    </row>
    <row r="182" ht="14.25" customHeight="1">
      <c r="A182" s="40" t="s">
        <v>340</v>
      </c>
      <c r="B182" s="25" t="s">
        <v>100</v>
      </c>
      <c r="C182" s="25" t="s">
        <v>286</v>
      </c>
      <c r="D182" s="25" t="s">
        <v>31</v>
      </c>
      <c r="E182" s="42" t="s">
        <v>801</v>
      </c>
      <c r="F182" s="25"/>
      <c r="G182" s="25"/>
      <c r="H182" s="25"/>
      <c r="I182" s="25"/>
      <c r="J182" s="32"/>
      <c r="K182" s="25"/>
      <c r="L182" s="25"/>
    </row>
    <row r="183" ht="14.25" customHeight="1">
      <c r="A183" s="40" t="s">
        <v>660</v>
      </c>
      <c r="B183" s="25" t="s">
        <v>796</v>
      </c>
      <c r="C183" s="25" t="s">
        <v>61</v>
      </c>
      <c r="D183" s="25" t="s">
        <v>83</v>
      </c>
      <c r="E183" s="42" t="s">
        <v>802</v>
      </c>
      <c r="F183" s="25"/>
      <c r="G183" s="25"/>
      <c r="H183" s="25"/>
      <c r="I183" s="25"/>
      <c r="J183" s="32"/>
      <c r="K183" s="25"/>
      <c r="L183" s="25"/>
    </row>
    <row r="184" ht="14.25" customHeight="1">
      <c r="A184" s="40" t="s">
        <v>499</v>
      </c>
      <c r="B184" s="25" t="s">
        <v>796</v>
      </c>
      <c r="C184" s="25" t="s">
        <v>286</v>
      </c>
      <c r="D184" s="25" t="s">
        <v>31</v>
      </c>
      <c r="E184" s="42" t="s">
        <v>803</v>
      </c>
      <c r="F184" s="25"/>
      <c r="G184" s="25"/>
      <c r="H184" s="25"/>
      <c r="I184" s="25"/>
      <c r="J184" s="32"/>
      <c r="K184" s="25"/>
      <c r="L184" s="25"/>
    </row>
    <row r="185" ht="14.25" customHeight="1">
      <c r="A185" s="40" t="s">
        <v>663</v>
      </c>
      <c r="B185" s="25" t="s">
        <v>100</v>
      </c>
      <c r="C185" s="25" t="s">
        <v>61</v>
      </c>
      <c r="D185" s="25" t="s">
        <v>484</v>
      </c>
      <c r="E185" s="42" t="s">
        <v>804</v>
      </c>
      <c r="F185" s="25"/>
      <c r="G185" s="25"/>
      <c r="H185" s="25"/>
      <c r="I185" s="25"/>
      <c r="J185" s="32"/>
      <c r="K185" s="25"/>
      <c r="L185" s="25"/>
    </row>
    <row r="186" ht="14.25" customHeight="1">
      <c r="A186" s="40" t="s">
        <v>494</v>
      </c>
      <c r="B186" s="25" t="s">
        <v>308</v>
      </c>
      <c r="C186" s="25" t="s">
        <v>286</v>
      </c>
      <c r="D186" s="25" t="s">
        <v>30</v>
      </c>
      <c r="E186" s="42" t="s">
        <v>805</v>
      </c>
      <c r="F186" s="25"/>
      <c r="G186" s="25"/>
      <c r="H186" s="25"/>
      <c r="I186" s="25"/>
      <c r="J186" s="32"/>
      <c r="K186" s="25"/>
      <c r="L186" s="25"/>
    </row>
    <row r="187" ht="14.25" customHeight="1">
      <c r="A187" s="40" t="s">
        <v>496</v>
      </c>
      <c r="B187" s="25" t="s">
        <v>308</v>
      </c>
      <c r="C187" s="25" t="s">
        <v>286</v>
      </c>
      <c r="D187" s="25" t="s">
        <v>444</v>
      </c>
      <c r="E187" s="42" t="s">
        <v>806</v>
      </c>
      <c r="F187" s="25"/>
      <c r="G187" s="25"/>
      <c r="H187" s="25"/>
      <c r="I187" s="25"/>
      <c r="J187" s="32"/>
      <c r="K187" s="25"/>
      <c r="L187" s="25"/>
    </row>
    <row r="188" ht="14.25" customHeight="1">
      <c r="A188" s="40" t="s">
        <v>475</v>
      </c>
      <c r="B188" s="25" t="s">
        <v>308</v>
      </c>
      <c r="C188" s="25" t="s">
        <v>293</v>
      </c>
      <c r="D188" s="25" t="s">
        <v>414</v>
      </c>
      <c r="E188" s="42" t="s">
        <v>807</v>
      </c>
      <c r="F188" s="25"/>
      <c r="G188" s="25"/>
      <c r="H188" s="25"/>
      <c r="I188" s="25"/>
      <c r="J188" s="32"/>
      <c r="K188" s="25"/>
      <c r="L188" s="25"/>
    </row>
    <row r="189" ht="14.25" customHeight="1">
      <c r="A189" s="40" t="s">
        <v>450</v>
      </c>
      <c r="B189" s="25" t="s">
        <v>308</v>
      </c>
      <c r="C189" s="25" t="s">
        <v>101</v>
      </c>
      <c r="D189" s="25" t="s">
        <v>393</v>
      </c>
      <c r="E189" s="42" t="s">
        <v>808</v>
      </c>
      <c r="F189" s="25"/>
      <c r="G189" s="25"/>
      <c r="H189" s="25"/>
      <c r="I189" s="25"/>
      <c r="J189" s="32"/>
      <c r="K189" s="25"/>
      <c r="L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32"/>
      <c r="K190" s="25"/>
      <c r="L190" s="25"/>
    </row>
    <row r="191" ht="14.25" customHeight="1">
      <c r="A191" s="35" t="s">
        <v>282</v>
      </c>
      <c r="B191" s="36"/>
      <c r="C191" s="25"/>
      <c r="D191" s="25"/>
      <c r="E191" s="25"/>
      <c r="F191" s="25"/>
      <c r="G191" s="25"/>
      <c r="H191" s="25"/>
      <c r="I191" s="25"/>
      <c r="J191" s="32"/>
      <c r="K191" s="25"/>
      <c r="L191" s="25"/>
    </row>
    <row r="192" ht="14.25" customHeight="1">
      <c r="A192" s="38" t="s">
        <v>3</v>
      </c>
      <c r="B192" s="38" t="s">
        <v>56</v>
      </c>
      <c r="C192" s="38" t="s">
        <v>57</v>
      </c>
      <c r="D192" s="38" t="s">
        <v>10</v>
      </c>
      <c r="E192" s="38" t="s">
        <v>58</v>
      </c>
      <c r="F192" s="25"/>
      <c r="G192" s="25"/>
      <c r="H192" s="25"/>
      <c r="I192" s="25"/>
      <c r="J192" s="32"/>
      <c r="K192" s="25"/>
      <c r="L192" s="25"/>
    </row>
    <row r="193" ht="14.25" customHeight="1">
      <c r="A193" s="40" t="s">
        <v>738</v>
      </c>
      <c r="B193" s="25" t="s">
        <v>283</v>
      </c>
      <c r="C193" s="25" t="s">
        <v>381</v>
      </c>
      <c r="D193" s="25" t="s">
        <v>218</v>
      </c>
      <c r="E193" s="42" t="s">
        <v>809</v>
      </c>
      <c r="F193" s="25"/>
      <c r="G193" s="25"/>
      <c r="H193" s="25"/>
      <c r="I193" s="25"/>
      <c r="J193" s="32"/>
      <c r="K193" s="25"/>
      <c r="L193" s="25"/>
    </row>
    <row r="194" ht="14.25" customHeight="1">
      <c r="A194" s="40" t="s">
        <v>454</v>
      </c>
      <c r="B194" s="25" t="s">
        <v>283</v>
      </c>
      <c r="C194" s="25" t="s">
        <v>101</v>
      </c>
      <c r="D194" s="25" t="s">
        <v>31</v>
      </c>
      <c r="E194" s="42" t="s">
        <v>810</v>
      </c>
      <c r="F194" s="25"/>
      <c r="G194" s="25"/>
      <c r="H194" s="25"/>
      <c r="I194" s="25"/>
      <c r="J194" s="32"/>
      <c r="K194" s="25"/>
      <c r="L194" s="25"/>
    </row>
    <row r="195" ht="14.25" customHeight="1">
      <c r="A195" s="40" t="s">
        <v>672</v>
      </c>
      <c r="B195" s="25" t="s">
        <v>283</v>
      </c>
      <c r="C195" s="25" t="s">
        <v>61</v>
      </c>
      <c r="D195" s="25" t="s">
        <v>138</v>
      </c>
      <c r="E195" s="42" t="s">
        <v>811</v>
      </c>
      <c r="F195" s="25"/>
      <c r="G195" s="25"/>
      <c r="H195" s="25"/>
      <c r="I195" s="25"/>
      <c r="J195" s="32"/>
      <c r="K195" s="25"/>
      <c r="L195" s="25"/>
    </row>
    <row r="196" ht="14.25" customHeight="1">
      <c r="A196" s="40" t="s">
        <v>597</v>
      </c>
      <c r="B196" s="25" t="s">
        <v>283</v>
      </c>
      <c r="C196" s="25" t="s">
        <v>108</v>
      </c>
      <c r="D196" s="25" t="s">
        <v>137</v>
      </c>
      <c r="E196" s="42" t="s">
        <v>812</v>
      </c>
      <c r="F196" s="25"/>
      <c r="G196" s="25"/>
      <c r="H196" s="25"/>
      <c r="I196" s="25"/>
      <c r="J196" s="32"/>
      <c r="K196" s="25"/>
      <c r="L196" s="25"/>
    </row>
    <row r="197" ht="14.25" customHeight="1">
      <c r="A197" s="40" t="s">
        <v>509</v>
      </c>
      <c r="B197" s="25" t="s">
        <v>283</v>
      </c>
      <c r="C197" s="25" t="s">
        <v>286</v>
      </c>
      <c r="D197" s="25" t="s">
        <v>32</v>
      </c>
      <c r="E197" s="42" t="s">
        <v>813</v>
      </c>
      <c r="F197" s="25"/>
      <c r="G197" s="25"/>
      <c r="H197" s="25"/>
      <c r="I197" s="25"/>
      <c r="J197" s="32"/>
      <c r="K197" s="25"/>
      <c r="L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32"/>
      <c r="K198" s="25"/>
      <c r="L198" s="25"/>
    </row>
    <row r="199" ht="14.25" customHeight="1">
      <c r="A199" s="35" t="s">
        <v>103</v>
      </c>
      <c r="B199" s="36"/>
      <c r="C199" s="25"/>
      <c r="D199" s="25"/>
      <c r="E199" s="25"/>
      <c r="F199" s="25"/>
      <c r="G199" s="25"/>
      <c r="H199" s="25"/>
      <c r="I199" s="25"/>
      <c r="J199" s="32"/>
      <c r="K199" s="25"/>
      <c r="L199" s="25"/>
    </row>
    <row r="200" ht="14.25" customHeight="1">
      <c r="A200" s="38" t="s">
        <v>3</v>
      </c>
      <c r="B200" s="38" t="s">
        <v>56</v>
      </c>
      <c r="C200" s="38" t="s">
        <v>57</v>
      </c>
      <c r="D200" s="38" t="s">
        <v>10</v>
      </c>
      <c r="E200" s="38" t="s">
        <v>58</v>
      </c>
      <c r="F200" s="25"/>
      <c r="G200" s="25"/>
      <c r="H200" s="25"/>
      <c r="I200" s="25"/>
      <c r="J200" s="32"/>
      <c r="K200" s="25"/>
      <c r="L200" s="25"/>
    </row>
    <row r="201" ht="14.25" customHeight="1">
      <c r="A201" s="40" t="s">
        <v>674</v>
      </c>
      <c r="B201" s="25" t="s">
        <v>103</v>
      </c>
      <c r="C201" s="25" t="s">
        <v>61</v>
      </c>
      <c r="D201" s="25" t="s">
        <v>29</v>
      </c>
      <c r="E201" s="42" t="s">
        <v>814</v>
      </c>
      <c r="F201" s="25"/>
      <c r="G201" s="25"/>
      <c r="H201" s="25"/>
      <c r="I201" s="25"/>
      <c r="J201" s="32"/>
      <c r="K201" s="25"/>
      <c r="L201" s="25"/>
    </row>
    <row r="202" ht="14.25" customHeight="1">
      <c r="A202" s="40" t="s">
        <v>606</v>
      </c>
      <c r="B202" s="25" t="s">
        <v>103</v>
      </c>
      <c r="C202" s="25" t="s">
        <v>108</v>
      </c>
      <c r="D202" s="25" t="s">
        <v>178</v>
      </c>
      <c r="E202" s="42" t="s">
        <v>815</v>
      </c>
      <c r="F202" s="25"/>
      <c r="G202" s="25"/>
      <c r="H202" s="25"/>
      <c r="I202" s="25"/>
      <c r="J202" s="32"/>
      <c r="K202" s="25"/>
      <c r="L202" s="25"/>
    </row>
    <row r="203" ht="14.25" customHeight="1">
      <c r="A203" s="40" t="s">
        <v>707</v>
      </c>
      <c r="B203" s="25" t="s">
        <v>103</v>
      </c>
      <c r="C203" s="25" t="s">
        <v>317</v>
      </c>
      <c r="D203" s="25" t="s">
        <v>179</v>
      </c>
      <c r="E203" s="42" t="s">
        <v>816</v>
      </c>
      <c r="F203" s="25"/>
      <c r="G203" s="25"/>
      <c r="H203" s="25"/>
      <c r="I203" s="25"/>
      <c r="J203" s="32"/>
      <c r="K203" s="25"/>
      <c r="L203" s="25"/>
    </row>
    <row r="204" ht="14.25" customHeight="1">
      <c r="A204" s="40" t="s">
        <v>469</v>
      </c>
      <c r="B204" s="25" t="s">
        <v>103</v>
      </c>
      <c r="C204" s="25" t="s">
        <v>638</v>
      </c>
      <c r="D204" s="25" t="s">
        <v>51</v>
      </c>
      <c r="E204" s="42" t="s">
        <v>817</v>
      </c>
      <c r="F204" s="25"/>
      <c r="G204" s="25"/>
      <c r="H204" s="25"/>
      <c r="I204" s="25"/>
      <c r="J204" s="32"/>
      <c r="K204" s="25"/>
      <c r="L204" s="25"/>
    </row>
    <row r="205" ht="14.25" customHeight="1">
      <c r="A205" s="40" t="s">
        <v>676</v>
      </c>
      <c r="B205" s="25" t="s">
        <v>103</v>
      </c>
      <c r="C205" s="25" t="s">
        <v>61</v>
      </c>
      <c r="D205" s="25" t="s">
        <v>218</v>
      </c>
      <c r="E205" s="42" t="s">
        <v>818</v>
      </c>
      <c r="F205" s="25"/>
      <c r="G205" s="25"/>
      <c r="H205" s="25"/>
      <c r="I205" s="25"/>
      <c r="J205" s="32"/>
      <c r="K205" s="25"/>
      <c r="L205" s="25"/>
    </row>
    <row r="206" ht="14.25" customHeight="1">
      <c r="A206" s="40" t="s">
        <v>678</v>
      </c>
      <c r="B206" s="25" t="s">
        <v>103</v>
      </c>
      <c r="C206" s="25" t="s">
        <v>61</v>
      </c>
      <c r="D206" s="25" t="s">
        <v>163</v>
      </c>
      <c r="E206" s="42" t="s">
        <v>819</v>
      </c>
      <c r="F206" s="25"/>
      <c r="G206" s="25"/>
      <c r="H206" s="25"/>
      <c r="I206" s="25"/>
      <c r="J206" s="32"/>
      <c r="K206" s="25"/>
      <c r="L206" s="25"/>
    </row>
    <row r="207" ht="14.25" customHeight="1">
      <c r="A207" s="40" t="s">
        <v>528</v>
      </c>
      <c r="B207" s="25" t="s">
        <v>103</v>
      </c>
      <c r="C207" s="25" t="s">
        <v>306</v>
      </c>
      <c r="D207" s="25" t="s">
        <v>167</v>
      </c>
      <c r="E207" s="42" t="s">
        <v>820</v>
      </c>
      <c r="F207" s="25"/>
      <c r="G207" s="25"/>
      <c r="H207" s="25"/>
      <c r="I207" s="25"/>
      <c r="J207" s="32"/>
      <c r="K207" s="25"/>
      <c r="L207" s="25"/>
    </row>
    <row r="208" ht="14.25" customHeight="1">
      <c r="A208" s="40" t="s">
        <v>711</v>
      </c>
      <c r="B208" s="25" t="s">
        <v>103</v>
      </c>
      <c r="C208" s="25" t="s">
        <v>317</v>
      </c>
      <c r="D208" s="25" t="s">
        <v>52</v>
      </c>
      <c r="E208" s="42" t="s">
        <v>821</v>
      </c>
      <c r="F208" s="25"/>
      <c r="G208" s="25"/>
      <c r="H208" s="25"/>
      <c r="I208" s="25"/>
      <c r="J208" s="32"/>
      <c r="K208" s="25"/>
      <c r="L208" s="25"/>
    </row>
    <row r="209" ht="14.25" customHeight="1">
      <c r="A209" s="40" t="s">
        <v>614</v>
      </c>
      <c r="B209" s="25" t="s">
        <v>103</v>
      </c>
      <c r="C209" s="25" t="s">
        <v>108</v>
      </c>
      <c r="D209" s="25" t="s">
        <v>201</v>
      </c>
      <c r="E209" s="42" t="s">
        <v>822</v>
      </c>
      <c r="F209" s="25"/>
      <c r="G209" s="25"/>
      <c r="H209" s="25"/>
      <c r="I209" s="25"/>
      <c r="J209" s="32"/>
      <c r="K209" s="25"/>
      <c r="L209" s="25"/>
    </row>
    <row r="210" ht="14.25" customHeight="1">
      <c r="A210" s="40" t="s">
        <v>714</v>
      </c>
      <c r="B210" s="25" t="s">
        <v>103</v>
      </c>
      <c r="C210" s="25" t="s">
        <v>317</v>
      </c>
      <c r="D210" s="25" t="s">
        <v>217</v>
      </c>
      <c r="E210" s="42" t="s">
        <v>823</v>
      </c>
      <c r="F210" s="25"/>
      <c r="G210" s="25"/>
      <c r="H210" s="25"/>
      <c r="I210" s="25"/>
      <c r="J210" s="32"/>
      <c r="K210" s="25"/>
      <c r="L210" s="25"/>
    </row>
    <row r="211" ht="14.25" customHeight="1">
      <c r="A211" s="40" t="s">
        <v>771</v>
      </c>
      <c r="B211" s="25" t="s">
        <v>103</v>
      </c>
      <c r="C211" s="25" t="s">
        <v>824</v>
      </c>
      <c r="D211" s="25" t="s">
        <v>217</v>
      </c>
      <c r="E211" s="42" t="s">
        <v>825</v>
      </c>
      <c r="F211" s="25"/>
      <c r="G211" s="25"/>
      <c r="H211" s="25"/>
      <c r="I211" s="25"/>
      <c r="J211" s="32"/>
      <c r="K211" s="25"/>
      <c r="L211" s="25"/>
    </row>
    <row r="212" ht="14.25" customHeight="1">
      <c r="A212" s="40" t="s">
        <v>717</v>
      </c>
      <c r="B212" s="25" t="s">
        <v>103</v>
      </c>
      <c r="C212" s="25" t="s">
        <v>317</v>
      </c>
      <c r="D212" s="25" t="s">
        <v>201</v>
      </c>
      <c r="E212" s="42" t="s">
        <v>826</v>
      </c>
      <c r="F212" s="25"/>
      <c r="G212" s="25"/>
      <c r="H212" s="25"/>
      <c r="I212" s="25"/>
      <c r="J212" s="32"/>
      <c r="K212" s="25"/>
      <c r="L212" s="25"/>
    </row>
    <row r="213" ht="14.25" customHeight="1">
      <c r="A213" s="40" t="s">
        <v>745</v>
      </c>
      <c r="B213" s="25" t="s">
        <v>103</v>
      </c>
      <c r="C213" s="25" t="s">
        <v>381</v>
      </c>
      <c r="D213" s="25" t="s">
        <v>70</v>
      </c>
      <c r="E213" s="42" t="s">
        <v>827</v>
      </c>
      <c r="F213" s="25"/>
      <c r="G213" s="25"/>
      <c r="H213" s="25"/>
      <c r="I213" s="25"/>
      <c r="J213" s="32"/>
      <c r="K213" s="25"/>
      <c r="L213" s="25"/>
    </row>
    <row r="214" ht="14.25" customHeight="1">
      <c r="A214" s="40" t="s">
        <v>533</v>
      </c>
      <c r="B214" s="25" t="s">
        <v>103</v>
      </c>
      <c r="C214" s="25" t="s">
        <v>306</v>
      </c>
      <c r="D214" s="25" t="s">
        <v>50</v>
      </c>
      <c r="E214" s="42" t="s">
        <v>828</v>
      </c>
      <c r="F214" s="25"/>
      <c r="G214" s="25"/>
      <c r="H214" s="25"/>
      <c r="I214" s="25"/>
      <c r="J214" s="32"/>
      <c r="K214" s="25"/>
      <c r="L214" s="25"/>
    </row>
    <row r="215" ht="14.25" customHeight="1">
      <c r="A215" s="40" t="s">
        <v>616</v>
      </c>
      <c r="B215" s="25" t="s">
        <v>103</v>
      </c>
      <c r="C215" s="25" t="s">
        <v>108</v>
      </c>
      <c r="D215" s="25" t="s">
        <v>538</v>
      </c>
      <c r="E215" s="42" t="s">
        <v>829</v>
      </c>
      <c r="F215" s="25"/>
      <c r="G215" s="25"/>
      <c r="H215" s="25"/>
      <c r="I215" s="25"/>
      <c r="J215" s="32"/>
      <c r="K215" s="25"/>
      <c r="L215" s="25"/>
    </row>
    <row r="216" ht="14.25" customHeight="1">
      <c r="A216" s="40" t="s">
        <v>481</v>
      </c>
      <c r="B216" s="25" t="s">
        <v>103</v>
      </c>
      <c r="C216" s="25" t="s">
        <v>293</v>
      </c>
      <c r="D216" s="25" t="s">
        <v>32</v>
      </c>
      <c r="E216" s="42" t="s">
        <v>830</v>
      </c>
      <c r="F216" s="25"/>
      <c r="G216" s="25"/>
      <c r="H216" s="25"/>
      <c r="I216" s="25"/>
      <c r="J216" s="32"/>
      <c r="K216" s="25"/>
      <c r="L216" s="25"/>
    </row>
    <row r="217" ht="14.25" customHeight="1">
      <c r="A217" s="40" t="s">
        <v>778</v>
      </c>
      <c r="B217" s="25" t="s">
        <v>103</v>
      </c>
      <c r="C217" s="25" t="s">
        <v>379</v>
      </c>
      <c r="D217" s="25" t="s">
        <v>201</v>
      </c>
      <c r="E217" s="42" t="s">
        <v>831</v>
      </c>
      <c r="F217" s="25"/>
      <c r="G217" s="25"/>
      <c r="H217" s="25"/>
      <c r="I217" s="25"/>
      <c r="J217" s="32"/>
      <c r="K217" s="25"/>
      <c r="L217" s="25"/>
    </row>
    <row r="218" ht="14.25" customHeight="1">
      <c r="A218" s="40" t="s">
        <v>619</v>
      </c>
      <c r="B218" s="25" t="s">
        <v>103</v>
      </c>
      <c r="C218" s="25" t="s">
        <v>108</v>
      </c>
      <c r="D218" s="25" t="s">
        <v>50</v>
      </c>
      <c r="E218" s="42" t="s">
        <v>832</v>
      </c>
      <c r="F218" s="25"/>
      <c r="G218" s="25"/>
      <c r="H218" s="25"/>
      <c r="I218" s="25"/>
      <c r="J218" s="32"/>
      <c r="K218" s="25"/>
      <c r="L218" s="25"/>
    </row>
    <row r="219" ht="14.25" customHeight="1">
      <c r="A219" s="40" t="s">
        <v>622</v>
      </c>
      <c r="B219" s="25" t="s">
        <v>103</v>
      </c>
      <c r="C219" s="25" t="s">
        <v>108</v>
      </c>
      <c r="D219" s="25" t="s">
        <v>351</v>
      </c>
      <c r="E219" s="42" t="s">
        <v>833</v>
      </c>
      <c r="F219" s="25"/>
      <c r="G219" s="25"/>
      <c r="H219" s="25"/>
      <c r="I219" s="25"/>
      <c r="J219" s="32"/>
      <c r="K219" s="25"/>
      <c r="L219" s="25"/>
    </row>
    <row r="220" ht="14.25" customHeight="1">
      <c r="A220" s="40" t="s">
        <v>625</v>
      </c>
      <c r="B220" s="25" t="s">
        <v>103</v>
      </c>
      <c r="C220" s="25" t="s">
        <v>108</v>
      </c>
      <c r="D220" s="25" t="s">
        <v>351</v>
      </c>
      <c r="E220" s="42" t="s">
        <v>834</v>
      </c>
      <c r="F220" s="25"/>
      <c r="G220" s="25"/>
      <c r="H220" s="25"/>
      <c r="I220" s="25"/>
      <c r="J220" s="32"/>
      <c r="K220" s="25"/>
      <c r="L220" s="25"/>
    </row>
    <row r="221" ht="14.25" customHeight="1">
      <c r="A221" s="40" t="s">
        <v>748</v>
      </c>
      <c r="B221" s="25" t="s">
        <v>103</v>
      </c>
      <c r="C221" s="25" t="s">
        <v>381</v>
      </c>
      <c r="D221" s="25" t="s">
        <v>69</v>
      </c>
      <c r="E221" s="42" t="s">
        <v>835</v>
      </c>
      <c r="F221" s="25"/>
      <c r="G221" s="25"/>
      <c r="H221" s="25"/>
      <c r="I221" s="25"/>
      <c r="J221" s="32"/>
      <c r="K221" s="25"/>
      <c r="L221" s="25"/>
    </row>
    <row r="222" ht="14.25" customHeight="1">
      <c r="A222" s="40" t="s">
        <v>539</v>
      </c>
      <c r="B222" s="25" t="s">
        <v>103</v>
      </c>
      <c r="C222" s="25" t="s">
        <v>306</v>
      </c>
      <c r="D222" s="25" t="s">
        <v>83</v>
      </c>
      <c r="E222" s="42" t="s">
        <v>836</v>
      </c>
      <c r="F222" s="25"/>
      <c r="G222" s="25"/>
      <c r="H222" s="25"/>
      <c r="I222" s="25"/>
      <c r="J222" s="32"/>
      <c r="K222" s="25"/>
      <c r="L222" s="25"/>
    </row>
    <row r="223" ht="14.25" customHeight="1">
      <c r="A223" s="40" t="s">
        <v>774</v>
      </c>
      <c r="B223" s="25" t="s">
        <v>103</v>
      </c>
      <c r="C223" s="25" t="s">
        <v>824</v>
      </c>
      <c r="D223" s="25" t="s">
        <v>53</v>
      </c>
      <c r="E223" s="42" t="s">
        <v>837</v>
      </c>
      <c r="F223" s="25"/>
      <c r="G223" s="25"/>
      <c r="H223" s="25"/>
      <c r="I223" s="25"/>
      <c r="J223" s="32"/>
      <c r="K223" s="25"/>
      <c r="L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32"/>
      <c r="K224" s="25"/>
      <c r="L224" s="25"/>
    </row>
    <row r="225" ht="14.25" customHeight="1">
      <c r="A225" s="35" t="s">
        <v>45</v>
      </c>
      <c r="B225" s="36"/>
      <c r="C225" s="25"/>
      <c r="D225" s="25"/>
      <c r="E225" s="25"/>
      <c r="F225" s="25"/>
      <c r="G225" s="25"/>
      <c r="H225" s="25"/>
      <c r="I225" s="25"/>
      <c r="J225" s="32"/>
      <c r="K225" s="25"/>
      <c r="L225" s="25"/>
    </row>
    <row r="226" ht="14.25" customHeight="1">
      <c r="A226" s="38" t="s">
        <v>3</v>
      </c>
      <c r="B226" s="38" t="s">
        <v>56</v>
      </c>
      <c r="C226" s="38" t="s">
        <v>57</v>
      </c>
      <c r="D226" s="38" t="s">
        <v>10</v>
      </c>
      <c r="E226" s="38" t="s">
        <v>58</v>
      </c>
      <c r="F226" s="25"/>
      <c r="G226" s="25"/>
      <c r="H226" s="25"/>
      <c r="I226" s="25"/>
      <c r="J226" s="32"/>
      <c r="K226" s="25"/>
      <c r="L226" s="25"/>
    </row>
    <row r="227" ht="14.25" customHeight="1">
      <c r="A227" s="40" t="s">
        <v>606</v>
      </c>
      <c r="B227" s="25" t="s">
        <v>300</v>
      </c>
      <c r="C227" s="25" t="s">
        <v>108</v>
      </c>
      <c r="D227" s="25" t="s">
        <v>178</v>
      </c>
      <c r="E227" s="42" t="s">
        <v>838</v>
      </c>
      <c r="F227" s="25"/>
      <c r="G227" s="25"/>
      <c r="H227" s="25"/>
      <c r="I227" s="25"/>
      <c r="J227" s="32"/>
      <c r="K227" s="25"/>
      <c r="L227" s="25"/>
    </row>
    <row r="228" ht="14.25" customHeight="1">
      <c r="A228" s="40" t="s">
        <v>651</v>
      </c>
      <c r="B228" s="25" t="s">
        <v>120</v>
      </c>
      <c r="C228" s="25" t="s">
        <v>108</v>
      </c>
      <c r="D228" s="25" t="s">
        <v>51</v>
      </c>
      <c r="E228" s="42" t="s">
        <v>839</v>
      </c>
      <c r="F228" s="25"/>
      <c r="G228" s="25"/>
      <c r="H228" s="25"/>
      <c r="I228" s="25"/>
      <c r="J228" s="32"/>
      <c r="K228" s="25"/>
      <c r="L228" s="25"/>
    </row>
    <row r="229" ht="14.25" customHeight="1">
      <c r="A229" s="40" t="s">
        <v>699</v>
      </c>
      <c r="B229" s="25" t="s">
        <v>122</v>
      </c>
      <c r="C229" s="25" t="s">
        <v>61</v>
      </c>
      <c r="D229" s="25" t="s">
        <v>89</v>
      </c>
      <c r="E229" s="42" t="s">
        <v>840</v>
      </c>
      <c r="F229" s="25"/>
      <c r="G229" s="25"/>
      <c r="H229" s="25"/>
      <c r="I229" s="25"/>
      <c r="J229" s="32"/>
      <c r="K229" s="25"/>
      <c r="L229" s="25"/>
    </row>
    <row r="230" ht="14.25" customHeight="1">
      <c r="A230" s="40" t="s">
        <v>573</v>
      </c>
      <c r="B230" s="25" t="s">
        <v>59</v>
      </c>
      <c r="C230" s="25" t="s">
        <v>306</v>
      </c>
      <c r="D230" s="25" t="s">
        <v>69</v>
      </c>
      <c r="E230" s="42" t="s">
        <v>841</v>
      </c>
      <c r="F230" s="25"/>
      <c r="G230" s="25"/>
      <c r="H230" s="25"/>
      <c r="I230" s="25"/>
      <c r="J230" s="32"/>
      <c r="K230" s="25"/>
      <c r="L230" s="25"/>
    </row>
    <row r="231" ht="14.25" customHeight="1">
      <c r="A231" s="40" t="s">
        <v>18</v>
      </c>
      <c r="B231" s="25" t="s">
        <v>59</v>
      </c>
      <c r="C231" s="25" t="s">
        <v>61</v>
      </c>
      <c r="D231" s="25" t="s">
        <v>145</v>
      </c>
      <c r="E231" s="42" t="s">
        <v>842</v>
      </c>
      <c r="F231" s="25"/>
      <c r="G231" s="25"/>
      <c r="H231" s="25"/>
      <c r="I231" s="25"/>
      <c r="J231" s="32"/>
      <c r="K231" s="25"/>
      <c r="L231" s="25"/>
    </row>
    <row r="232" ht="14.25" customHeight="1">
      <c r="A232" s="40" t="s">
        <v>767</v>
      </c>
      <c r="B232" s="25" t="s">
        <v>122</v>
      </c>
      <c r="C232" s="25" t="s">
        <v>381</v>
      </c>
      <c r="D232" s="25" t="s">
        <v>52</v>
      </c>
      <c r="E232" s="42" t="s">
        <v>843</v>
      </c>
      <c r="F232" s="25"/>
      <c r="G232" s="25"/>
      <c r="H232" s="25"/>
      <c r="I232" s="25"/>
      <c r="J232" s="32"/>
      <c r="K232" s="25"/>
      <c r="L232" s="25"/>
    </row>
    <row r="233" ht="14.25" customHeight="1">
      <c r="A233" s="40" t="s">
        <v>555</v>
      </c>
      <c r="B233" s="25" t="s">
        <v>300</v>
      </c>
      <c r="C233" s="25" t="s">
        <v>306</v>
      </c>
      <c r="D233" s="25" t="s">
        <v>70</v>
      </c>
      <c r="E233" s="42" t="s">
        <v>844</v>
      </c>
      <c r="F233" s="25"/>
      <c r="G233" s="25"/>
      <c r="H233" s="25"/>
      <c r="I233" s="25"/>
      <c r="J233" s="32"/>
      <c r="K233" s="25"/>
      <c r="L233" s="25"/>
    </row>
    <row r="234" ht="14.25" customHeight="1">
      <c r="A234" s="40" t="s">
        <v>488</v>
      </c>
      <c r="B234" s="25" t="s">
        <v>59</v>
      </c>
      <c r="C234" s="25" t="s">
        <v>293</v>
      </c>
      <c r="D234" s="25" t="s">
        <v>65</v>
      </c>
      <c r="E234" s="42" t="s">
        <v>845</v>
      </c>
      <c r="F234" s="25"/>
      <c r="G234" s="25"/>
      <c r="H234" s="25"/>
      <c r="I234" s="25"/>
      <c r="J234" s="32"/>
      <c r="K234" s="25"/>
      <c r="L234" s="25"/>
    </row>
    <row r="235" ht="14.25" customHeight="1">
      <c r="A235" s="40" t="s">
        <v>697</v>
      </c>
      <c r="B235" s="25" t="s">
        <v>122</v>
      </c>
      <c r="C235" s="25" t="s">
        <v>61</v>
      </c>
      <c r="D235" s="25" t="s">
        <v>217</v>
      </c>
      <c r="E235" s="42" t="s">
        <v>846</v>
      </c>
      <c r="F235" s="25"/>
      <c r="G235" s="25"/>
      <c r="H235" s="25"/>
      <c r="I235" s="25"/>
      <c r="J235" s="32"/>
      <c r="K235" s="25"/>
      <c r="L235" s="25"/>
    </row>
    <row r="236" ht="14.25" customHeight="1">
      <c r="A236" s="40" t="s">
        <v>701</v>
      </c>
      <c r="B236" s="25" t="s">
        <v>59</v>
      </c>
      <c r="C236" s="25" t="s">
        <v>61</v>
      </c>
      <c r="D236" s="25" t="s">
        <v>98</v>
      </c>
      <c r="E236" s="42" t="s">
        <v>847</v>
      </c>
      <c r="F236" s="25"/>
      <c r="G236" s="25"/>
      <c r="H236" s="25"/>
      <c r="I236" s="25"/>
      <c r="J236" s="32"/>
      <c r="K236" s="25"/>
      <c r="L236" s="25"/>
    </row>
    <row r="237" ht="14.25" customHeight="1">
      <c r="A237" s="40" t="s">
        <v>758</v>
      </c>
      <c r="B237" s="25" t="s">
        <v>300</v>
      </c>
      <c r="C237" s="25" t="s">
        <v>381</v>
      </c>
      <c r="D237" s="25" t="s">
        <v>218</v>
      </c>
      <c r="E237" s="42" t="s">
        <v>848</v>
      </c>
      <c r="F237" s="25"/>
      <c r="G237" s="25"/>
      <c r="H237" s="25"/>
      <c r="I237" s="25"/>
      <c r="J237" s="32"/>
      <c r="K237" s="25"/>
      <c r="L237" s="25"/>
    </row>
    <row r="238" ht="14.25" customHeight="1">
      <c r="A238" s="40" t="s">
        <v>636</v>
      </c>
      <c r="B238" s="25" t="s">
        <v>300</v>
      </c>
      <c r="C238" s="25" t="s">
        <v>108</v>
      </c>
      <c r="D238" s="25" t="s">
        <v>89</v>
      </c>
      <c r="E238" s="42" t="s">
        <v>849</v>
      </c>
      <c r="F238" s="25"/>
      <c r="G238" s="25"/>
      <c r="H238" s="25"/>
      <c r="I238" s="25"/>
      <c r="J238" s="32"/>
      <c r="K238" s="25"/>
      <c r="L238" s="25"/>
    </row>
    <row r="239" ht="14.25" customHeight="1">
      <c r="A239" s="40" t="s">
        <v>585</v>
      </c>
      <c r="B239" s="25" t="s">
        <v>850</v>
      </c>
      <c r="C239" s="25" t="s">
        <v>306</v>
      </c>
      <c r="D239" s="25" t="s">
        <v>445</v>
      </c>
      <c r="E239" s="42" t="s">
        <v>851</v>
      </c>
      <c r="F239" s="25"/>
      <c r="G239" s="25"/>
      <c r="H239" s="25"/>
      <c r="I239" s="25"/>
      <c r="J239" s="32"/>
      <c r="K239" s="25"/>
      <c r="L239" s="25"/>
    </row>
    <row r="240" ht="14.25" customHeight="1">
      <c r="A240" s="40" t="s">
        <v>751</v>
      </c>
      <c r="B240" s="25" t="s">
        <v>115</v>
      </c>
      <c r="C240" s="25" t="s">
        <v>381</v>
      </c>
      <c r="D240" s="25" t="s">
        <v>754</v>
      </c>
      <c r="E240" s="42" t="s">
        <v>852</v>
      </c>
      <c r="F240" s="25"/>
      <c r="G240" s="25"/>
      <c r="H240" s="25"/>
      <c r="I240" s="25"/>
      <c r="J240" s="32"/>
      <c r="K240" s="25"/>
      <c r="L240" s="25"/>
    </row>
    <row r="241" ht="14.25" customHeight="1">
      <c r="A241" s="40" t="s">
        <v>704</v>
      </c>
      <c r="B241" s="25" t="s">
        <v>59</v>
      </c>
      <c r="C241" s="25" t="s">
        <v>61</v>
      </c>
      <c r="D241" s="25" t="s">
        <v>51</v>
      </c>
      <c r="E241" s="42" t="s">
        <v>853</v>
      </c>
      <c r="F241" s="25"/>
      <c r="G241" s="25"/>
      <c r="H241" s="25"/>
      <c r="I241" s="25"/>
      <c r="J241" s="32"/>
      <c r="K241" s="25"/>
      <c r="L241" s="25"/>
    </row>
    <row r="242" ht="14.25" customHeight="1">
      <c r="A242" s="40" t="s">
        <v>522</v>
      </c>
      <c r="B242" s="25" t="s">
        <v>115</v>
      </c>
      <c r="C242" s="25" t="s">
        <v>286</v>
      </c>
      <c r="D242" s="25" t="s">
        <v>69</v>
      </c>
      <c r="E242" s="42" t="s">
        <v>854</v>
      </c>
      <c r="F242" s="25"/>
      <c r="G242" s="25"/>
      <c r="H242" s="25"/>
      <c r="I242" s="25"/>
      <c r="J242" s="32"/>
      <c r="K242" s="25"/>
      <c r="L242" s="25"/>
    </row>
    <row r="243" ht="14.25" customHeight="1">
      <c r="A243" s="40" t="s">
        <v>720</v>
      </c>
      <c r="B243" s="25" t="s">
        <v>115</v>
      </c>
      <c r="C243" s="25" t="s">
        <v>317</v>
      </c>
      <c r="D243" s="25" t="s">
        <v>52</v>
      </c>
      <c r="E243" s="42" t="s">
        <v>855</v>
      </c>
      <c r="F243" s="25"/>
      <c r="G243" s="25"/>
      <c r="H243" s="25"/>
      <c r="I243" s="25"/>
      <c r="J243" s="32"/>
      <c r="K243" s="25"/>
      <c r="L243" s="25"/>
    </row>
    <row r="244" ht="14.25" customHeight="1">
      <c r="A244" s="40" t="s">
        <v>764</v>
      </c>
      <c r="B244" s="25" t="s">
        <v>300</v>
      </c>
      <c r="C244" s="25" t="s">
        <v>381</v>
      </c>
      <c r="D244" s="25" t="s">
        <v>71</v>
      </c>
      <c r="E244" s="42" t="s">
        <v>856</v>
      </c>
      <c r="F244" s="25"/>
      <c r="G244" s="25"/>
      <c r="H244" s="25"/>
      <c r="I244" s="25"/>
      <c r="J244" s="32"/>
      <c r="K244" s="25"/>
      <c r="L244" s="25"/>
    </row>
    <row r="245" ht="14.25" customHeight="1">
      <c r="A245" s="40" t="s">
        <v>614</v>
      </c>
      <c r="B245" s="25" t="s">
        <v>115</v>
      </c>
      <c r="C245" s="25" t="s">
        <v>108</v>
      </c>
      <c r="D245" s="25" t="s">
        <v>201</v>
      </c>
      <c r="E245" s="42" t="s">
        <v>857</v>
      </c>
      <c r="F245" s="25"/>
      <c r="G245" s="25"/>
      <c r="H245" s="25"/>
      <c r="I245" s="25"/>
      <c r="J245" s="32"/>
      <c r="K245" s="25"/>
      <c r="L245" s="25"/>
    </row>
    <row r="246" ht="14.25" customHeight="1">
      <c r="A246" s="40" t="s">
        <v>273</v>
      </c>
      <c r="B246" s="25" t="s">
        <v>59</v>
      </c>
      <c r="C246" s="25" t="s">
        <v>317</v>
      </c>
      <c r="D246" s="25" t="s">
        <v>98</v>
      </c>
      <c r="E246" s="42" t="s">
        <v>858</v>
      </c>
      <c r="F246" s="25"/>
      <c r="G246" s="25"/>
      <c r="H246" s="25"/>
      <c r="I246" s="25"/>
      <c r="J246" s="32"/>
      <c r="K246" s="25"/>
      <c r="L246" s="25"/>
    </row>
    <row r="247" ht="14.25" customHeight="1">
      <c r="A247" s="40" t="s">
        <v>761</v>
      </c>
      <c r="B247" s="25" t="s">
        <v>300</v>
      </c>
      <c r="C247" s="25" t="s">
        <v>381</v>
      </c>
      <c r="D247" s="25" t="s">
        <v>217</v>
      </c>
      <c r="E247" s="42" t="s">
        <v>859</v>
      </c>
      <c r="F247" s="25"/>
      <c r="G247" s="25"/>
      <c r="H247" s="25"/>
      <c r="I247" s="25"/>
      <c r="J247" s="32"/>
      <c r="K247" s="25"/>
      <c r="L247" s="25"/>
    </row>
    <row r="248" ht="14.25" customHeight="1">
      <c r="A248" s="40" t="s">
        <v>545</v>
      </c>
      <c r="B248" s="25" t="s">
        <v>115</v>
      </c>
      <c r="C248" s="25" t="s">
        <v>306</v>
      </c>
      <c r="D248" s="25" t="s">
        <v>517</v>
      </c>
      <c r="E248" s="42" t="s">
        <v>860</v>
      </c>
      <c r="F248" s="25"/>
      <c r="G248" s="25"/>
      <c r="H248" s="25"/>
      <c r="I248" s="25"/>
      <c r="J248" s="32"/>
      <c r="K248" s="25"/>
      <c r="L248" s="25"/>
    </row>
    <row r="249" ht="14.25" customHeight="1">
      <c r="A249" s="40" t="s">
        <v>723</v>
      </c>
      <c r="B249" s="25" t="s">
        <v>115</v>
      </c>
      <c r="C249" s="25" t="s">
        <v>317</v>
      </c>
      <c r="D249" s="25" t="s">
        <v>71</v>
      </c>
      <c r="E249" s="42" t="s">
        <v>861</v>
      </c>
      <c r="F249" s="25"/>
      <c r="G249" s="25"/>
      <c r="H249" s="25"/>
      <c r="I249" s="25"/>
      <c r="J249" s="32"/>
      <c r="K249" s="25"/>
      <c r="L249" s="25"/>
    </row>
    <row r="250" ht="14.25" customHeight="1">
      <c r="A250" s="40" t="s">
        <v>694</v>
      </c>
      <c r="B250" s="25" t="s">
        <v>300</v>
      </c>
      <c r="C250" s="25" t="s">
        <v>61</v>
      </c>
      <c r="D250" s="25" t="s">
        <v>70</v>
      </c>
      <c r="E250" s="42" t="s">
        <v>862</v>
      </c>
      <c r="F250" s="25"/>
      <c r="G250" s="25"/>
      <c r="H250" s="25"/>
      <c r="I250" s="25"/>
      <c r="J250" s="32"/>
      <c r="K250" s="25"/>
      <c r="L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32"/>
      <c r="K251" s="25"/>
      <c r="L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32"/>
      <c r="K252" s="25"/>
      <c r="L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32"/>
      <c r="K253" s="25"/>
      <c r="L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32"/>
      <c r="K254" s="25"/>
      <c r="L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32"/>
      <c r="K255" s="25"/>
      <c r="L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32"/>
      <c r="K256" s="25"/>
      <c r="L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32"/>
      <c r="K257" s="25"/>
      <c r="L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32"/>
      <c r="K258" s="25"/>
      <c r="L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32"/>
      <c r="K259" s="25"/>
      <c r="L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32"/>
      <c r="K260" s="25"/>
      <c r="L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32"/>
      <c r="K261" s="25"/>
      <c r="L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32"/>
      <c r="K262" s="25"/>
      <c r="L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32"/>
      <c r="K263" s="25"/>
      <c r="L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32"/>
      <c r="K264" s="25"/>
      <c r="L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32"/>
      <c r="K265" s="25"/>
      <c r="L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32"/>
      <c r="K266" s="25"/>
      <c r="L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32"/>
      <c r="K267" s="25"/>
      <c r="L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32"/>
      <c r="K268" s="25"/>
      <c r="L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32"/>
      <c r="K269" s="25"/>
      <c r="L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32"/>
      <c r="K270" s="25"/>
      <c r="L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32"/>
      <c r="K271" s="25"/>
      <c r="L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32"/>
      <c r="K272" s="25"/>
      <c r="L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32"/>
      <c r="K273" s="25"/>
      <c r="L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32"/>
      <c r="K274" s="25"/>
      <c r="L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32"/>
      <c r="K275" s="25"/>
      <c r="L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32"/>
      <c r="K276" s="25"/>
      <c r="L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32"/>
      <c r="K277" s="25"/>
      <c r="L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32"/>
      <c r="K278" s="25"/>
      <c r="L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32"/>
      <c r="K279" s="25"/>
      <c r="L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32"/>
      <c r="K280" s="25"/>
      <c r="L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32"/>
      <c r="K281" s="25"/>
      <c r="L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32"/>
      <c r="K282" s="25"/>
      <c r="L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32"/>
      <c r="K283" s="25"/>
      <c r="L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32"/>
      <c r="K284" s="25"/>
      <c r="L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32"/>
      <c r="K285" s="25"/>
      <c r="L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32"/>
      <c r="K286" s="25"/>
      <c r="L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32"/>
      <c r="K287" s="25"/>
      <c r="L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32"/>
      <c r="K288" s="25"/>
      <c r="L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32"/>
      <c r="K289" s="25"/>
      <c r="L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32"/>
      <c r="K290" s="25"/>
      <c r="L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32"/>
      <c r="K291" s="25"/>
      <c r="L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32"/>
      <c r="K292" s="25"/>
      <c r="L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32"/>
      <c r="K293" s="25"/>
      <c r="L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32"/>
      <c r="K294" s="25"/>
      <c r="L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32"/>
      <c r="K295" s="25"/>
      <c r="L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32"/>
      <c r="K296" s="25"/>
      <c r="L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32"/>
      <c r="K297" s="25"/>
      <c r="L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32"/>
      <c r="K298" s="25"/>
      <c r="L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32"/>
      <c r="K299" s="25"/>
      <c r="L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32"/>
      <c r="K300" s="25"/>
      <c r="L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32"/>
      <c r="K301" s="25"/>
      <c r="L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32"/>
      <c r="K302" s="25"/>
      <c r="L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32"/>
      <c r="K303" s="25"/>
      <c r="L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32"/>
      <c r="K304" s="25"/>
      <c r="L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32"/>
      <c r="K305" s="25"/>
      <c r="L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32"/>
      <c r="K306" s="25"/>
      <c r="L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32"/>
      <c r="K307" s="25"/>
      <c r="L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32"/>
      <c r="K308" s="25"/>
      <c r="L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32"/>
      <c r="K309" s="25"/>
      <c r="L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32"/>
      <c r="K310" s="25"/>
      <c r="L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32"/>
      <c r="K311" s="25"/>
      <c r="L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32"/>
      <c r="K312" s="25"/>
      <c r="L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32"/>
      <c r="K313" s="25"/>
      <c r="L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32"/>
      <c r="K314" s="25"/>
      <c r="L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32"/>
      <c r="K315" s="25"/>
      <c r="L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32"/>
      <c r="K316" s="25"/>
      <c r="L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32"/>
      <c r="K317" s="25"/>
      <c r="L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32"/>
      <c r="K318" s="25"/>
      <c r="L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32"/>
      <c r="K319" s="25"/>
      <c r="L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32"/>
      <c r="K320" s="25"/>
      <c r="L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32"/>
      <c r="K321" s="25"/>
      <c r="L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32"/>
      <c r="K322" s="25"/>
      <c r="L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32"/>
      <c r="K323" s="25"/>
      <c r="L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32"/>
      <c r="K324" s="25"/>
      <c r="L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32"/>
      <c r="K325" s="25"/>
      <c r="L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32"/>
      <c r="K326" s="25"/>
      <c r="L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32"/>
      <c r="K327" s="25"/>
      <c r="L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32"/>
      <c r="K328" s="25"/>
      <c r="L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32"/>
      <c r="K329" s="25"/>
      <c r="L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32"/>
      <c r="K330" s="25"/>
      <c r="L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32"/>
      <c r="K331" s="25"/>
      <c r="L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32"/>
      <c r="K332" s="25"/>
      <c r="L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32"/>
      <c r="K333" s="25"/>
      <c r="L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32"/>
      <c r="K334" s="25"/>
      <c r="L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32"/>
      <c r="K335" s="25"/>
      <c r="L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32"/>
      <c r="K336" s="25"/>
      <c r="L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32"/>
      <c r="K337" s="25"/>
      <c r="L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32"/>
      <c r="K338" s="25"/>
      <c r="L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32"/>
      <c r="K339" s="25"/>
      <c r="L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32"/>
      <c r="K340" s="25"/>
      <c r="L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32"/>
      <c r="K341" s="25"/>
      <c r="L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32"/>
      <c r="K342" s="25"/>
      <c r="L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32"/>
      <c r="K343" s="25"/>
      <c r="L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32"/>
      <c r="K344" s="25"/>
      <c r="L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32"/>
      <c r="K345" s="25"/>
      <c r="L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32"/>
      <c r="K346" s="25"/>
      <c r="L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32"/>
      <c r="K347" s="25"/>
      <c r="L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32"/>
      <c r="K348" s="25"/>
      <c r="L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32"/>
      <c r="K349" s="25"/>
      <c r="L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32"/>
      <c r="K350" s="25"/>
      <c r="L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32"/>
      <c r="K351" s="25"/>
      <c r="L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32"/>
      <c r="K352" s="25"/>
      <c r="L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32"/>
      <c r="K353" s="25"/>
      <c r="L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32"/>
      <c r="K354" s="25"/>
      <c r="L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32"/>
      <c r="K355" s="25"/>
      <c r="L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32"/>
      <c r="K356" s="25"/>
      <c r="L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32"/>
      <c r="K357" s="25"/>
      <c r="L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32"/>
      <c r="K358" s="25"/>
      <c r="L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32"/>
      <c r="K359" s="25"/>
      <c r="L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32"/>
      <c r="K360" s="25"/>
      <c r="L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32"/>
      <c r="K361" s="25"/>
      <c r="L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32"/>
      <c r="K362" s="25"/>
      <c r="L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32"/>
      <c r="K363" s="25"/>
      <c r="L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32"/>
      <c r="K364" s="25"/>
      <c r="L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32"/>
      <c r="K365" s="25"/>
      <c r="L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32"/>
      <c r="K366" s="25"/>
      <c r="L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32"/>
      <c r="K367" s="25"/>
      <c r="L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32"/>
      <c r="K368" s="25"/>
      <c r="L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32"/>
      <c r="K369" s="25"/>
      <c r="L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32"/>
      <c r="K370" s="25"/>
      <c r="L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32"/>
      <c r="K371" s="25"/>
      <c r="L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32"/>
      <c r="K372" s="25"/>
      <c r="L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32"/>
      <c r="K373" s="25"/>
      <c r="L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32"/>
      <c r="K374" s="25"/>
      <c r="L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32"/>
      <c r="K375" s="25"/>
      <c r="L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32"/>
      <c r="K376" s="25"/>
      <c r="L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32"/>
      <c r="K377" s="25"/>
      <c r="L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32"/>
      <c r="K378" s="25"/>
      <c r="L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32"/>
      <c r="K379" s="25"/>
      <c r="L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32"/>
      <c r="K380" s="25"/>
      <c r="L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32"/>
      <c r="K381" s="25"/>
      <c r="L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32"/>
      <c r="K382" s="25"/>
      <c r="L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32"/>
      <c r="K383" s="25"/>
      <c r="L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32"/>
      <c r="K384" s="25"/>
      <c r="L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32"/>
      <c r="K385" s="25"/>
      <c r="L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32"/>
      <c r="K386" s="25"/>
      <c r="L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32"/>
      <c r="K387" s="25"/>
      <c r="L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32"/>
      <c r="K388" s="25"/>
      <c r="L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32"/>
      <c r="K389" s="25"/>
      <c r="L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32"/>
      <c r="K390" s="25"/>
      <c r="L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32"/>
      <c r="K391" s="25"/>
      <c r="L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32"/>
      <c r="K392" s="25"/>
      <c r="L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32"/>
      <c r="K393" s="25"/>
      <c r="L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32"/>
      <c r="K394" s="25"/>
      <c r="L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32"/>
      <c r="K395" s="25"/>
      <c r="L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32"/>
      <c r="K396" s="25"/>
      <c r="L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32"/>
      <c r="K397" s="25"/>
      <c r="L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32"/>
      <c r="K398" s="25"/>
      <c r="L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32"/>
      <c r="K399" s="25"/>
      <c r="L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32"/>
      <c r="K400" s="25"/>
      <c r="L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32"/>
      <c r="K401" s="25"/>
      <c r="L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32"/>
      <c r="K402" s="25"/>
      <c r="L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32"/>
      <c r="K403" s="25"/>
      <c r="L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32"/>
      <c r="K404" s="25"/>
      <c r="L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32"/>
      <c r="K405" s="25"/>
      <c r="L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32"/>
      <c r="K406" s="25"/>
      <c r="L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32"/>
      <c r="K407" s="25"/>
      <c r="L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32"/>
      <c r="K408" s="25"/>
      <c r="L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32"/>
      <c r="K409" s="25"/>
      <c r="L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32"/>
      <c r="K410" s="25"/>
      <c r="L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32"/>
      <c r="K411" s="25"/>
      <c r="L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32"/>
      <c r="K412" s="25"/>
      <c r="L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32"/>
      <c r="K413" s="25"/>
      <c r="L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32"/>
      <c r="K414" s="25"/>
      <c r="L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32"/>
      <c r="K415" s="25"/>
      <c r="L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32"/>
      <c r="K416" s="25"/>
      <c r="L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32"/>
      <c r="K417" s="25"/>
      <c r="L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32"/>
      <c r="K418" s="25"/>
      <c r="L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32"/>
      <c r="K419" s="25"/>
      <c r="L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32"/>
      <c r="K420" s="25"/>
      <c r="L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32"/>
      <c r="K421" s="25"/>
      <c r="L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32"/>
      <c r="K422" s="25"/>
      <c r="L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32"/>
      <c r="K423" s="25"/>
      <c r="L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32"/>
      <c r="K424" s="25"/>
      <c r="L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32"/>
      <c r="K425" s="25"/>
      <c r="L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32"/>
      <c r="K426" s="25"/>
      <c r="L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32"/>
      <c r="K427" s="25"/>
      <c r="L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32"/>
      <c r="K428" s="25"/>
      <c r="L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32"/>
      <c r="K429" s="25"/>
      <c r="L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32"/>
      <c r="K430" s="25"/>
      <c r="L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32"/>
      <c r="K431" s="25"/>
      <c r="L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32"/>
      <c r="K432" s="25"/>
      <c r="L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32"/>
      <c r="K433" s="25"/>
      <c r="L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32"/>
      <c r="K434" s="25"/>
      <c r="L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32"/>
      <c r="K435" s="25"/>
      <c r="L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32"/>
      <c r="K436" s="25"/>
      <c r="L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32"/>
      <c r="K437" s="25"/>
      <c r="L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32"/>
      <c r="K438" s="25"/>
      <c r="L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32"/>
      <c r="K439" s="25"/>
      <c r="L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32"/>
      <c r="K440" s="25"/>
      <c r="L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32"/>
      <c r="K441" s="25"/>
      <c r="L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32"/>
      <c r="K442" s="25"/>
      <c r="L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32"/>
      <c r="K443" s="25"/>
      <c r="L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32"/>
      <c r="K444" s="25"/>
      <c r="L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32"/>
      <c r="K445" s="25"/>
      <c r="L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32"/>
      <c r="K446" s="25"/>
      <c r="L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32"/>
      <c r="K447" s="25"/>
      <c r="L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32"/>
      <c r="K448" s="25"/>
      <c r="L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32"/>
      <c r="K449" s="25"/>
      <c r="L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32"/>
      <c r="K450" s="25"/>
      <c r="L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32"/>
      <c r="K451" s="25"/>
      <c r="L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32"/>
      <c r="K452" s="25"/>
      <c r="L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32"/>
      <c r="K453" s="25"/>
      <c r="L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32"/>
      <c r="K454" s="25"/>
      <c r="L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32"/>
      <c r="K455" s="25"/>
      <c r="L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32"/>
      <c r="K456" s="25"/>
      <c r="L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32"/>
      <c r="K457" s="25"/>
      <c r="L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32"/>
      <c r="K458" s="25"/>
      <c r="L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32"/>
      <c r="K459" s="25"/>
      <c r="L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32"/>
      <c r="K460" s="25"/>
      <c r="L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32"/>
      <c r="K461" s="25"/>
      <c r="L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32"/>
      <c r="K462" s="25"/>
      <c r="L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32"/>
      <c r="K463" s="25"/>
      <c r="L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32"/>
      <c r="K464" s="25"/>
      <c r="L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32"/>
      <c r="K465" s="25"/>
      <c r="L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32"/>
      <c r="K466" s="25"/>
      <c r="L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32"/>
      <c r="K467" s="25"/>
      <c r="L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32"/>
      <c r="K468" s="25"/>
      <c r="L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32"/>
      <c r="K469" s="25"/>
      <c r="L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32"/>
      <c r="K470" s="25"/>
      <c r="L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32"/>
      <c r="K471" s="25"/>
      <c r="L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32"/>
      <c r="K472" s="25"/>
      <c r="L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32"/>
      <c r="K473" s="25"/>
      <c r="L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32"/>
      <c r="K474" s="25"/>
      <c r="L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32"/>
      <c r="K475" s="25"/>
      <c r="L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32"/>
      <c r="K476" s="25"/>
      <c r="L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32"/>
      <c r="K477" s="25"/>
      <c r="L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32"/>
      <c r="K478" s="25"/>
      <c r="L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32"/>
      <c r="K479" s="25"/>
      <c r="L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32"/>
      <c r="K480" s="25"/>
      <c r="L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32"/>
      <c r="K481" s="25"/>
      <c r="L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32"/>
      <c r="K482" s="25"/>
      <c r="L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32"/>
      <c r="K483" s="25"/>
      <c r="L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32"/>
      <c r="K484" s="25"/>
      <c r="L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32"/>
      <c r="K485" s="25"/>
      <c r="L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32"/>
      <c r="K486" s="25"/>
      <c r="L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32"/>
      <c r="K487" s="25"/>
      <c r="L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32"/>
      <c r="K488" s="25"/>
      <c r="L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32"/>
      <c r="K489" s="25"/>
      <c r="L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32"/>
      <c r="K490" s="25"/>
      <c r="L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32"/>
      <c r="K491" s="25"/>
      <c r="L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32"/>
      <c r="K492" s="25"/>
      <c r="L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32"/>
      <c r="K493" s="25"/>
      <c r="L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32"/>
      <c r="K494" s="25"/>
      <c r="L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32"/>
      <c r="K495" s="25"/>
      <c r="L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32"/>
      <c r="K496" s="25"/>
      <c r="L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32"/>
      <c r="K497" s="25"/>
      <c r="L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32"/>
      <c r="K498" s="25"/>
      <c r="L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32"/>
      <c r="K499" s="25"/>
      <c r="L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32"/>
      <c r="K500" s="25"/>
      <c r="L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32"/>
      <c r="K501" s="25"/>
      <c r="L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32"/>
      <c r="K502" s="25"/>
      <c r="L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32"/>
      <c r="K503" s="25"/>
      <c r="L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32"/>
      <c r="K504" s="25"/>
      <c r="L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32"/>
      <c r="K505" s="25"/>
      <c r="L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32"/>
      <c r="K506" s="25"/>
      <c r="L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32"/>
      <c r="K507" s="25"/>
      <c r="L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32"/>
      <c r="K508" s="25"/>
      <c r="L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32"/>
      <c r="K509" s="25"/>
      <c r="L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32"/>
      <c r="K510" s="25"/>
      <c r="L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32"/>
      <c r="K511" s="25"/>
      <c r="L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32"/>
      <c r="K512" s="25"/>
      <c r="L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32"/>
      <c r="K513" s="25"/>
      <c r="L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32"/>
      <c r="K514" s="25"/>
      <c r="L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32"/>
      <c r="K515" s="25"/>
      <c r="L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32"/>
      <c r="K516" s="25"/>
      <c r="L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32"/>
      <c r="K517" s="25"/>
      <c r="L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32"/>
      <c r="K518" s="25"/>
      <c r="L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32"/>
      <c r="K519" s="25"/>
      <c r="L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32"/>
      <c r="K520" s="25"/>
      <c r="L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32"/>
      <c r="K521" s="25"/>
      <c r="L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32"/>
      <c r="K522" s="25"/>
      <c r="L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32"/>
      <c r="K523" s="25"/>
      <c r="L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32"/>
      <c r="K524" s="25"/>
      <c r="L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32"/>
      <c r="K525" s="25"/>
      <c r="L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32"/>
      <c r="K526" s="25"/>
      <c r="L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32"/>
      <c r="K527" s="25"/>
      <c r="L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32"/>
      <c r="K528" s="25"/>
      <c r="L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32"/>
      <c r="K529" s="25"/>
      <c r="L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32"/>
      <c r="K530" s="25"/>
      <c r="L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32"/>
      <c r="K531" s="25"/>
      <c r="L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32"/>
      <c r="K532" s="25"/>
      <c r="L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32"/>
      <c r="K533" s="25"/>
      <c r="L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32"/>
      <c r="K534" s="25"/>
      <c r="L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32"/>
      <c r="K535" s="25"/>
      <c r="L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32"/>
      <c r="K536" s="25"/>
      <c r="L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32"/>
      <c r="K537" s="25"/>
      <c r="L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32"/>
      <c r="K538" s="25"/>
      <c r="L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32"/>
      <c r="K539" s="25"/>
      <c r="L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32"/>
      <c r="K540" s="25"/>
      <c r="L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32"/>
      <c r="K541" s="25"/>
      <c r="L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32"/>
      <c r="K542" s="25"/>
      <c r="L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32"/>
      <c r="K543" s="25"/>
      <c r="L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32"/>
      <c r="K544" s="25"/>
      <c r="L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32"/>
      <c r="K545" s="25"/>
      <c r="L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32"/>
      <c r="K546" s="25"/>
      <c r="L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32"/>
      <c r="K547" s="25"/>
      <c r="L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32"/>
      <c r="K548" s="25"/>
      <c r="L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32"/>
      <c r="K549" s="25"/>
      <c r="L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32"/>
      <c r="K550" s="25"/>
      <c r="L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32"/>
      <c r="K551" s="25"/>
      <c r="L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32"/>
      <c r="K552" s="25"/>
      <c r="L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32"/>
      <c r="K553" s="25"/>
      <c r="L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32"/>
      <c r="K554" s="25"/>
      <c r="L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32"/>
      <c r="K555" s="25"/>
      <c r="L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32"/>
      <c r="K556" s="25"/>
      <c r="L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32"/>
      <c r="K557" s="25"/>
      <c r="L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32"/>
      <c r="K558" s="25"/>
      <c r="L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32"/>
      <c r="K559" s="25"/>
      <c r="L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32"/>
      <c r="K560" s="25"/>
      <c r="L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32"/>
      <c r="K561" s="25"/>
      <c r="L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32"/>
      <c r="K562" s="25"/>
      <c r="L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32"/>
      <c r="K563" s="25"/>
      <c r="L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32"/>
      <c r="K564" s="25"/>
      <c r="L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32"/>
      <c r="K565" s="25"/>
      <c r="L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32"/>
      <c r="K566" s="25"/>
      <c r="L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32"/>
      <c r="K567" s="25"/>
      <c r="L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32"/>
      <c r="K568" s="25"/>
      <c r="L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32"/>
      <c r="K569" s="25"/>
      <c r="L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32"/>
      <c r="K570" s="25"/>
      <c r="L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32"/>
      <c r="K571" s="25"/>
      <c r="L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32"/>
      <c r="K572" s="25"/>
      <c r="L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32"/>
      <c r="K573" s="25"/>
      <c r="L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32"/>
      <c r="K574" s="25"/>
      <c r="L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32"/>
      <c r="K575" s="25"/>
      <c r="L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32"/>
      <c r="K576" s="25"/>
      <c r="L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32"/>
      <c r="K577" s="25"/>
      <c r="L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32"/>
      <c r="K578" s="25"/>
      <c r="L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32"/>
      <c r="K579" s="25"/>
      <c r="L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32"/>
      <c r="K580" s="25"/>
      <c r="L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32"/>
      <c r="K581" s="25"/>
      <c r="L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32"/>
      <c r="K582" s="25"/>
      <c r="L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32"/>
      <c r="K583" s="25"/>
      <c r="L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32"/>
      <c r="K584" s="25"/>
      <c r="L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32"/>
      <c r="K585" s="25"/>
      <c r="L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32"/>
      <c r="K586" s="25"/>
      <c r="L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32"/>
      <c r="K587" s="25"/>
      <c r="L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32"/>
      <c r="K588" s="25"/>
      <c r="L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32"/>
      <c r="K589" s="25"/>
      <c r="L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32"/>
      <c r="K590" s="25"/>
      <c r="L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32"/>
      <c r="K591" s="25"/>
      <c r="L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32"/>
      <c r="K592" s="25"/>
      <c r="L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32"/>
      <c r="K593" s="25"/>
      <c r="L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32"/>
      <c r="K594" s="25"/>
      <c r="L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32"/>
      <c r="K595" s="25"/>
      <c r="L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32"/>
      <c r="K596" s="25"/>
      <c r="L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32"/>
      <c r="K597" s="25"/>
      <c r="L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32"/>
      <c r="K598" s="25"/>
      <c r="L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32"/>
      <c r="K599" s="25"/>
      <c r="L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32"/>
      <c r="K600" s="25"/>
      <c r="L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32"/>
      <c r="K601" s="25"/>
      <c r="L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32"/>
      <c r="K602" s="25"/>
      <c r="L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32"/>
      <c r="K603" s="25"/>
      <c r="L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32"/>
      <c r="K604" s="25"/>
      <c r="L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32"/>
      <c r="K605" s="25"/>
      <c r="L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32"/>
      <c r="K606" s="25"/>
      <c r="L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32"/>
      <c r="K607" s="25"/>
      <c r="L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32"/>
      <c r="K608" s="25"/>
      <c r="L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32"/>
      <c r="K609" s="25"/>
      <c r="L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32"/>
      <c r="K610" s="25"/>
      <c r="L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32"/>
      <c r="K611" s="25"/>
      <c r="L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32"/>
      <c r="K612" s="25"/>
      <c r="L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32"/>
      <c r="K613" s="25"/>
      <c r="L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32"/>
      <c r="K614" s="25"/>
      <c r="L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32"/>
      <c r="K615" s="25"/>
      <c r="L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32"/>
      <c r="K616" s="25"/>
      <c r="L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32"/>
      <c r="K617" s="25"/>
      <c r="L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32"/>
      <c r="K618" s="25"/>
      <c r="L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32"/>
      <c r="K619" s="25"/>
      <c r="L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32"/>
      <c r="K620" s="25"/>
      <c r="L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32"/>
      <c r="K621" s="25"/>
      <c r="L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32"/>
      <c r="K622" s="25"/>
      <c r="L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32"/>
      <c r="K623" s="25"/>
      <c r="L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32"/>
      <c r="K624" s="25"/>
      <c r="L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32"/>
      <c r="K625" s="25"/>
      <c r="L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32"/>
      <c r="K626" s="25"/>
      <c r="L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32"/>
      <c r="K627" s="25"/>
      <c r="L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32"/>
      <c r="K628" s="25"/>
      <c r="L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32"/>
      <c r="K629" s="25"/>
      <c r="L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32"/>
      <c r="K630" s="25"/>
      <c r="L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32"/>
      <c r="K631" s="25"/>
      <c r="L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32"/>
      <c r="K632" s="25"/>
      <c r="L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32"/>
      <c r="K633" s="25"/>
      <c r="L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32"/>
      <c r="K634" s="25"/>
      <c r="L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32"/>
      <c r="K635" s="25"/>
      <c r="L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32"/>
      <c r="K636" s="25"/>
      <c r="L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32"/>
      <c r="K637" s="25"/>
      <c r="L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32"/>
      <c r="K638" s="25"/>
      <c r="L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32"/>
      <c r="K639" s="25"/>
      <c r="L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32"/>
      <c r="K640" s="25"/>
      <c r="L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32"/>
      <c r="K641" s="25"/>
      <c r="L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32"/>
      <c r="K642" s="25"/>
      <c r="L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32"/>
      <c r="K643" s="25"/>
      <c r="L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32"/>
      <c r="K644" s="25"/>
      <c r="L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32"/>
      <c r="K645" s="25"/>
      <c r="L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32"/>
      <c r="K646" s="25"/>
      <c r="L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32"/>
      <c r="K647" s="25"/>
      <c r="L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32"/>
      <c r="K648" s="25"/>
      <c r="L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32"/>
      <c r="K649" s="25"/>
      <c r="L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32"/>
      <c r="K650" s="25"/>
      <c r="L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32"/>
      <c r="K651" s="25"/>
      <c r="L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32"/>
      <c r="K652" s="25"/>
      <c r="L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32"/>
      <c r="K653" s="25"/>
      <c r="L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32"/>
      <c r="K654" s="25"/>
      <c r="L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32"/>
      <c r="K655" s="25"/>
      <c r="L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32"/>
      <c r="K656" s="25"/>
      <c r="L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32"/>
      <c r="K657" s="25"/>
      <c r="L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32"/>
      <c r="K658" s="25"/>
      <c r="L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32"/>
      <c r="K659" s="25"/>
      <c r="L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32"/>
      <c r="K660" s="25"/>
      <c r="L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32"/>
      <c r="K661" s="25"/>
      <c r="L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32"/>
      <c r="K662" s="25"/>
      <c r="L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32"/>
      <c r="K663" s="25"/>
      <c r="L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32"/>
      <c r="K664" s="25"/>
      <c r="L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32"/>
      <c r="K665" s="25"/>
      <c r="L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32"/>
      <c r="K666" s="25"/>
      <c r="L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32"/>
      <c r="K667" s="25"/>
      <c r="L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32"/>
      <c r="K668" s="25"/>
      <c r="L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32"/>
      <c r="K669" s="25"/>
      <c r="L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32"/>
      <c r="K670" s="25"/>
      <c r="L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32"/>
      <c r="K671" s="25"/>
      <c r="L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32"/>
      <c r="K672" s="25"/>
      <c r="L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32"/>
      <c r="K673" s="25"/>
      <c r="L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32"/>
      <c r="K674" s="25"/>
      <c r="L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32"/>
      <c r="K675" s="25"/>
      <c r="L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32"/>
      <c r="K676" s="25"/>
      <c r="L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32"/>
      <c r="K677" s="25"/>
      <c r="L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32"/>
      <c r="K678" s="25"/>
      <c r="L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32"/>
      <c r="K679" s="25"/>
      <c r="L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32"/>
      <c r="K680" s="25"/>
      <c r="L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32"/>
      <c r="K681" s="25"/>
      <c r="L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32"/>
      <c r="K682" s="25"/>
      <c r="L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32"/>
      <c r="K683" s="25"/>
      <c r="L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32"/>
      <c r="K684" s="25"/>
      <c r="L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32"/>
      <c r="K685" s="25"/>
      <c r="L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32"/>
      <c r="K686" s="25"/>
      <c r="L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32"/>
      <c r="K687" s="25"/>
      <c r="L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32"/>
      <c r="K688" s="25"/>
      <c r="L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32"/>
      <c r="K689" s="25"/>
      <c r="L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32"/>
      <c r="K690" s="25"/>
      <c r="L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32"/>
      <c r="K691" s="25"/>
      <c r="L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32"/>
      <c r="K692" s="25"/>
      <c r="L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32"/>
      <c r="K693" s="25"/>
      <c r="L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32"/>
      <c r="K694" s="25"/>
      <c r="L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32"/>
      <c r="K695" s="25"/>
      <c r="L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32"/>
      <c r="K696" s="25"/>
      <c r="L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32"/>
      <c r="K697" s="25"/>
      <c r="L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32"/>
      <c r="K698" s="25"/>
      <c r="L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32"/>
      <c r="K699" s="25"/>
      <c r="L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32"/>
      <c r="K700" s="25"/>
      <c r="L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32"/>
      <c r="K701" s="25"/>
      <c r="L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32"/>
      <c r="K702" s="25"/>
      <c r="L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32"/>
      <c r="K703" s="25"/>
      <c r="L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32"/>
      <c r="K704" s="25"/>
      <c r="L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32"/>
      <c r="K705" s="25"/>
      <c r="L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32"/>
      <c r="K706" s="25"/>
      <c r="L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32"/>
      <c r="K707" s="25"/>
      <c r="L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32"/>
      <c r="K708" s="25"/>
      <c r="L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32"/>
      <c r="K709" s="25"/>
      <c r="L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32"/>
      <c r="K710" s="25"/>
      <c r="L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32"/>
      <c r="K711" s="25"/>
      <c r="L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32"/>
      <c r="K712" s="25"/>
      <c r="L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32"/>
      <c r="K713" s="25"/>
      <c r="L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32"/>
      <c r="K714" s="25"/>
      <c r="L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32"/>
      <c r="K715" s="25"/>
      <c r="L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32"/>
      <c r="K716" s="25"/>
      <c r="L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32"/>
      <c r="K717" s="25"/>
      <c r="L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32"/>
      <c r="K718" s="25"/>
      <c r="L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32"/>
      <c r="K719" s="25"/>
      <c r="L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32"/>
      <c r="K720" s="25"/>
      <c r="L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32"/>
      <c r="K721" s="25"/>
      <c r="L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32"/>
      <c r="K722" s="25"/>
      <c r="L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32"/>
      <c r="K723" s="25"/>
      <c r="L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32"/>
      <c r="K724" s="25"/>
      <c r="L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32"/>
      <c r="K725" s="25"/>
      <c r="L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32"/>
      <c r="K726" s="25"/>
      <c r="L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32"/>
      <c r="K727" s="25"/>
      <c r="L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32"/>
      <c r="K728" s="25"/>
      <c r="L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32"/>
      <c r="K729" s="25"/>
      <c r="L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32"/>
      <c r="K730" s="25"/>
      <c r="L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32"/>
      <c r="K731" s="25"/>
      <c r="L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32"/>
      <c r="K732" s="25"/>
      <c r="L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32"/>
      <c r="K733" s="25"/>
      <c r="L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32"/>
      <c r="K734" s="25"/>
      <c r="L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32"/>
      <c r="K735" s="25"/>
      <c r="L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32"/>
      <c r="K736" s="25"/>
      <c r="L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32"/>
      <c r="K737" s="25"/>
      <c r="L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32"/>
      <c r="K738" s="25"/>
      <c r="L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32"/>
      <c r="K739" s="25"/>
      <c r="L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32"/>
      <c r="K740" s="25"/>
      <c r="L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32"/>
      <c r="K741" s="25"/>
      <c r="L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32"/>
      <c r="K742" s="25"/>
      <c r="L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32"/>
      <c r="K743" s="25"/>
      <c r="L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32"/>
      <c r="K744" s="25"/>
      <c r="L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32"/>
      <c r="K745" s="25"/>
      <c r="L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32"/>
      <c r="K746" s="25"/>
      <c r="L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32"/>
      <c r="K747" s="25"/>
      <c r="L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32"/>
      <c r="K748" s="25"/>
      <c r="L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32"/>
      <c r="K749" s="25"/>
      <c r="L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32"/>
      <c r="K750" s="25"/>
      <c r="L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32"/>
      <c r="K751" s="25"/>
      <c r="L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32"/>
      <c r="K752" s="25"/>
      <c r="L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32"/>
      <c r="K753" s="25"/>
      <c r="L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32"/>
      <c r="K754" s="25"/>
      <c r="L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32"/>
      <c r="K755" s="25"/>
      <c r="L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32"/>
      <c r="K756" s="25"/>
      <c r="L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32"/>
      <c r="K757" s="25"/>
      <c r="L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32"/>
      <c r="K758" s="25"/>
      <c r="L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32"/>
      <c r="K759" s="25"/>
      <c r="L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32"/>
      <c r="K760" s="25"/>
      <c r="L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32"/>
      <c r="K761" s="25"/>
      <c r="L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32"/>
      <c r="K762" s="25"/>
      <c r="L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32"/>
      <c r="K763" s="25"/>
      <c r="L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32"/>
      <c r="K764" s="25"/>
      <c r="L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32"/>
      <c r="K765" s="25"/>
      <c r="L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32"/>
      <c r="K766" s="25"/>
      <c r="L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32"/>
      <c r="K767" s="25"/>
      <c r="L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32"/>
      <c r="K768" s="25"/>
      <c r="L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32"/>
      <c r="K769" s="25"/>
      <c r="L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32"/>
      <c r="K770" s="25"/>
      <c r="L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32"/>
      <c r="K771" s="25"/>
      <c r="L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32"/>
      <c r="K772" s="25"/>
      <c r="L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32"/>
      <c r="K773" s="25"/>
      <c r="L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32"/>
      <c r="K774" s="25"/>
      <c r="L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32"/>
      <c r="K775" s="25"/>
      <c r="L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32"/>
      <c r="K776" s="25"/>
      <c r="L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32"/>
      <c r="K777" s="25"/>
      <c r="L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32"/>
      <c r="K778" s="25"/>
      <c r="L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32"/>
      <c r="K779" s="25"/>
      <c r="L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32"/>
      <c r="K780" s="25"/>
      <c r="L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32"/>
      <c r="K781" s="25"/>
      <c r="L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32"/>
      <c r="K782" s="25"/>
      <c r="L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32"/>
      <c r="K783" s="25"/>
      <c r="L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32"/>
      <c r="K784" s="25"/>
      <c r="L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32"/>
      <c r="K785" s="25"/>
      <c r="L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32"/>
      <c r="K786" s="25"/>
      <c r="L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32"/>
      <c r="K787" s="25"/>
      <c r="L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32"/>
      <c r="K788" s="25"/>
      <c r="L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32"/>
      <c r="K789" s="25"/>
      <c r="L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32"/>
      <c r="K790" s="25"/>
      <c r="L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32"/>
      <c r="K791" s="25"/>
      <c r="L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32"/>
      <c r="K792" s="25"/>
      <c r="L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32"/>
      <c r="K793" s="25"/>
      <c r="L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32"/>
      <c r="K794" s="25"/>
      <c r="L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32"/>
      <c r="K795" s="25"/>
      <c r="L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32"/>
      <c r="K796" s="25"/>
      <c r="L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32"/>
      <c r="K797" s="25"/>
      <c r="L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32"/>
      <c r="K798" s="25"/>
      <c r="L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32"/>
      <c r="K799" s="25"/>
      <c r="L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32"/>
      <c r="K800" s="25"/>
      <c r="L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32"/>
      <c r="K801" s="25"/>
      <c r="L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32"/>
      <c r="K802" s="25"/>
      <c r="L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32"/>
      <c r="K803" s="25"/>
      <c r="L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32"/>
      <c r="K804" s="25"/>
      <c r="L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32"/>
      <c r="K805" s="25"/>
      <c r="L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32"/>
      <c r="K806" s="25"/>
      <c r="L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32"/>
      <c r="K807" s="25"/>
      <c r="L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32"/>
      <c r="K808" s="25"/>
      <c r="L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32"/>
      <c r="K809" s="25"/>
      <c r="L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32"/>
      <c r="K810" s="25"/>
      <c r="L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32"/>
      <c r="K811" s="25"/>
      <c r="L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32"/>
      <c r="K812" s="25"/>
      <c r="L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32"/>
      <c r="K813" s="25"/>
      <c r="L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32"/>
      <c r="K814" s="25"/>
      <c r="L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32"/>
      <c r="K815" s="25"/>
      <c r="L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32"/>
      <c r="K816" s="25"/>
      <c r="L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32"/>
      <c r="K817" s="25"/>
      <c r="L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32"/>
      <c r="K818" s="25"/>
      <c r="L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32"/>
      <c r="K819" s="25"/>
      <c r="L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32"/>
      <c r="K820" s="25"/>
      <c r="L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32"/>
      <c r="K821" s="25"/>
      <c r="L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32"/>
      <c r="K822" s="25"/>
      <c r="L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32"/>
      <c r="K823" s="25"/>
      <c r="L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32"/>
      <c r="K824" s="25"/>
      <c r="L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32"/>
      <c r="K825" s="25"/>
      <c r="L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32"/>
      <c r="K826" s="25"/>
      <c r="L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32"/>
      <c r="K827" s="25"/>
      <c r="L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32"/>
      <c r="K828" s="25"/>
      <c r="L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32"/>
      <c r="K829" s="25"/>
      <c r="L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32"/>
      <c r="K830" s="25"/>
      <c r="L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32"/>
      <c r="K831" s="25"/>
      <c r="L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32"/>
      <c r="K832" s="25"/>
      <c r="L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32"/>
      <c r="K833" s="25"/>
      <c r="L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32"/>
      <c r="K834" s="25"/>
      <c r="L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32"/>
      <c r="K835" s="25"/>
      <c r="L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32"/>
      <c r="K836" s="25"/>
      <c r="L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32"/>
      <c r="K837" s="25"/>
      <c r="L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32"/>
      <c r="K838" s="25"/>
      <c r="L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32"/>
      <c r="K839" s="25"/>
      <c r="L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32"/>
      <c r="K840" s="25"/>
      <c r="L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32"/>
      <c r="K841" s="25"/>
      <c r="L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32"/>
      <c r="K842" s="25"/>
      <c r="L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32"/>
      <c r="K843" s="25"/>
      <c r="L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32"/>
      <c r="K844" s="25"/>
      <c r="L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32"/>
      <c r="K845" s="25"/>
      <c r="L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32"/>
      <c r="K846" s="25"/>
      <c r="L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32"/>
      <c r="K847" s="25"/>
      <c r="L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32"/>
      <c r="K848" s="25"/>
      <c r="L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32"/>
      <c r="K849" s="25"/>
      <c r="L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32"/>
      <c r="K850" s="25"/>
      <c r="L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32"/>
      <c r="K851" s="25"/>
      <c r="L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32"/>
      <c r="K852" s="25"/>
      <c r="L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32"/>
      <c r="K853" s="25"/>
      <c r="L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32"/>
      <c r="K854" s="25"/>
      <c r="L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32"/>
      <c r="K855" s="25"/>
      <c r="L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32"/>
      <c r="K856" s="25"/>
      <c r="L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32"/>
      <c r="K857" s="25"/>
      <c r="L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32"/>
      <c r="K858" s="25"/>
      <c r="L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32"/>
      <c r="K859" s="25"/>
      <c r="L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32"/>
      <c r="K860" s="25"/>
      <c r="L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32"/>
      <c r="K861" s="25"/>
      <c r="L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32"/>
      <c r="K862" s="25"/>
      <c r="L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32"/>
      <c r="K863" s="25"/>
      <c r="L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32"/>
      <c r="K864" s="25"/>
      <c r="L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32"/>
      <c r="K865" s="25"/>
      <c r="L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32"/>
      <c r="K866" s="25"/>
      <c r="L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32"/>
      <c r="K867" s="25"/>
      <c r="L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32"/>
      <c r="K868" s="25"/>
      <c r="L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32"/>
      <c r="K869" s="25"/>
      <c r="L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32"/>
      <c r="K870" s="25"/>
      <c r="L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32"/>
      <c r="K871" s="25"/>
      <c r="L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32"/>
      <c r="K872" s="25"/>
      <c r="L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32"/>
      <c r="K873" s="25"/>
      <c r="L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32"/>
      <c r="K874" s="25"/>
      <c r="L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32"/>
      <c r="K875" s="25"/>
      <c r="L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32"/>
      <c r="K876" s="25"/>
      <c r="L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32"/>
      <c r="K877" s="25"/>
      <c r="L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32"/>
      <c r="K878" s="25"/>
      <c r="L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32"/>
      <c r="K879" s="25"/>
      <c r="L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32"/>
      <c r="K880" s="25"/>
      <c r="L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32"/>
      <c r="K881" s="25"/>
      <c r="L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32"/>
      <c r="K882" s="25"/>
      <c r="L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32"/>
      <c r="K883" s="25"/>
      <c r="L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32"/>
      <c r="K884" s="25"/>
      <c r="L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32"/>
      <c r="K885" s="25"/>
      <c r="L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32"/>
      <c r="K886" s="25"/>
      <c r="L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32"/>
      <c r="K887" s="25"/>
      <c r="L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32"/>
      <c r="K888" s="25"/>
      <c r="L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32"/>
      <c r="K889" s="25"/>
      <c r="L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32"/>
      <c r="K890" s="25"/>
      <c r="L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32"/>
      <c r="K891" s="25"/>
      <c r="L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32"/>
      <c r="K892" s="25"/>
      <c r="L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32"/>
      <c r="K893" s="25"/>
      <c r="L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32"/>
      <c r="K894" s="25"/>
      <c r="L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32"/>
      <c r="K895" s="25"/>
      <c r="L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32"/>
      <c r="K896" s="25"/>
      <c r="L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32"/>
      <c r="K897" s="25"/>
      <c r="L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32"/>
      <c r="K898" s="25"/>
      <c r="L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32"/>
      <c r="K899" s="25"/>
      <c r="L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32"/>
      <c r="K900" s="25"/>
      <c r="L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32"/>
      <c r="K901" s="25"/>
      <c r="L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32"/>
      <c r="K902" s="25"/>
      <c r="L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32"/>
      <c r="K903" s="25"/>
      <c r="L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32"/>
      <c r="K904" s="25"/>
      <c r="L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32"/>
      <c r="K905" s="25"/>
      <c r="L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32"/>
      <c r="K906" s="25"/>
      <c r="L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32"/>
      <c r="K907" s="25"/>
      <c r="L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32"/>
      <c r="K908" s="25"/>
      <c r="L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32"/>
      <c r="K909" s="25"/>
      <c r="L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32"/>
      <c r="K910" s="25"/>
      <c r="L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32"/>
      <c r="K911" s="25"/>
      <c r="L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32"/>
      <c r="K912" s="25"/>
      <c r="L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32"/>
      <c r="K913" s="25"/>
      <c r="L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32"/>
      <c r="K914" s="25"/>
      <c r="L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32"/>
      <c r="K915" s="25"/>
      <c r="L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32"/>
      <c r="K916" s="25"/>
      <c r="L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32"/>
      <c r="K917" s="25"/>
      <c r="L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32"/>
      <c r="K918" s="25"/>
      <c r="L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32"/>
      <c r="K919" s="25"/>
      <c r="L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32"/>
      <c r="K920" s="25"/>
      <c r="L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32"/>
      <c r="K921" s="25"/>
      <c r="L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32"/>
      <c r="K922" s="25"/>
      <c r="L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32"/>
      <c r="K923" s="25"/>
      <c r="L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32"/>
      <c r="K924" s="25"/>
      <c r="L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32"/>
      <c r="K925" s="25"/>
      <c r="L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32"/>
      <c r="K926" s="25"/>
      <c r="L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32"/>
      <c r="K927" s="25"/>
      <c r="L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32"/>
      <c r="K928" s="25"/>
      <c r="L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32"/>
      <c r="K929" s="25"/>
      <c r="L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32"/>
      <c r="K930" s="25"/>
      <c r="L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32"/>
      <c r="K931" s="25"/>
      <c r="L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32"/>
      <c r="K932" s="25"/>
      <c r="L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32"/>
      <c r="K933" s="25"/>
      <c r="L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32"/>
      <c r="K934" s="25"/>
      <c r="L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32"/>
      <c r="K935" s="25"/>
      <c r="L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32"/>
      <c r="K936" s="25"/>
      <c r="L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32"/>
      <c r="K937" s="25"/>
      <c r="L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32"/>
      <c r="K938" s="25"/>
      <c r="L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32"/>
      <c r="K939" s="25"/>
      <c r="L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32"/>
      <c r="K940" s="25"/>
      <c r="L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32"/>
      <c r="K941" s="25"/>
      <c r="L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32"/>
      <c r="K942" s="25"/>
      <c r="L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32"/>
      <c r="K943" s="25"/>
      <c r="L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32"/>
      <c r="K944" s="25"/>
      <c r="L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32"/>
      <c r="K945" s="25"/>
      <c r="L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32"/>
      <c r="K946" s="25"/>
      <c r="L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32"/>
      <c r="K947" s="25"/>
      <c r="L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32"/>
      <c r="K948" s="25"/>
      <c r="L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32"/>
      <c r="K949" s="25"/>
      <c r="L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32"/>
      <c r="K950" s="25"/>
      <c r="L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32"/>
      <c r="K951" s="25"/>
      <c r="L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32"/>
      <c r="K952" s="25"/>
      <c r="L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32"/>
      <c r="K953" s="25"/>
      <c r="L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32"/>
      <c r="K954" s="25"/>
      <c r="L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32"/>
      <c r="K955" s="25"/>
      <c r="L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32"/>
      <c r="K956" s="25"/>
      <c r="L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32"/>
      <c r="K957" s="25"/>
      <c r="L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32"/>
      <c r="K958" s="25"/>
      <c r="L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32"/>
      <c r="K959" s="25"/>
      <c r="L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32"/>
      <c r="K960" s="25"/>
      <c r="L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32"/>
      <c r="K961" s="25"/>
      <c r="L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32"/>
      <c r="K962" s="25"/>
      <c r="L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32"/>
      <c r="K963" s="25"/>
      <c r="L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32"/>
      <c r="K964" s="25"/>
      <c r="L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32"/>
      <c r="K965" s="25"/>
      <c r="L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32"/>
      <c r="K966" s="25"/>
      <c r="L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32"/>
      <c r="K967" s="25"/>
      <c r="L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32"/>
      <c r="K968" s="25"/>
      <c r="L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32"/>
      <c r="K969" s="25"/>
      <c r="L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32"/>
      <c r="K970" s="25"/>
      <c r="L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32"/>
      <c r="K971" s="25"/>
      <c r="L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32"/>
      <c r="K972" s="25"/>
      <c r="L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32"/>
      <c r="K973" s="25"/>
      <c r="L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32"/>
      <c r="K974" s="25"/>
      <c r="L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32"/>
      <c r="K975" s="25"/>
      <c r="L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32"/>
      <c r="K976" s="25"/>
      <c r="L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32"/>
      <c r="K977" s="25"/>
      <c r="L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32"/>
      <c r="K978" s="25"/>
      <c r="L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32"/>
      <c r="K979" s="25"/>
      <c r="L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32"/>
      <c r="K980" s="25"/>
      <c r="L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32"/>
      <c r="K981" s="25"/>
      <c r="L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32"/>
      <c r="K982" s="25"/>
      <c r="L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32"/>
      <c r="K983" s="25"/>
      <c r="L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32"/>
      <c r="K984" s="25"/>
      <c r="L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32"/>
      <c r="K985" s="25"/>
      <c r="L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32"/>
      <c r="K986" s="25"/>
      <c r="L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32"/>
      <c r="K987" s="25"/>
      <c r="L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32"/>
      <c r="K988" s="25"/>
      <c r="L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32"/>
      <c r="K989" s="25"/>
      <c r="L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32"/>
      <c r="K990" s="25"/>
      <c r="L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32"/>
      <c r="K991" s="25"/>
      <c r="L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32"/>
      <c r="K992" s="25"/>
      <c r="L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32"/>
      <c r="K993" s="25"/>
      <c r="L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32"/>
      <c r="K994" s="25"/>
      <c r="L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32"/>
      <c r="K995" s="25"/>
      <c r="L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32"/>
      <c r="K996" s="25"/>
      <c r="L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32"/>
      <c r="K997" s="25"/>
      <c r="L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32"/>
      <c r="K998" s="25"/>
      <c r="L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32"/>
      <c r="K999" s="25"/>
      <c r="L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32"/>
      <c r="K1000" s="25"/>
      <c r="L1000" s="25"/>
    </row>
  </sheetData>
  <mergeCells count="27">
    <mergeCell ref="K3:K4"/>
    <mergeCell ref="L3:L4"/>
    <mergeCell ref="J3:J4"/>
    <mergeCell ref="A1:L2"/>
    <mergeCell ref="A3:A4"/>
    <mergeCell ref="B3:B4"/>
    <mergeCell ref="C3:C4"/>
    <mergeCell ref="D3:D4"/>
    <mergeCell ref="E3:E4"/>
    <mergeCell ref="A112:K112"/>
    <mergeCell ref="A125:K125"/>
    <mergeCell ref="A137:K137"/>
    <mergeCell ref="A142:K142"/>
    <mergeCell ref="A94:K94"/>
    <mergeCell ref="A31:K31"/>
    <mergeCell ref="A36:K36"/>
    <mergeCell ref="A41:K41"/>
    <mergeCell ref="A48:K48"/>
    <mergeCell ref="A61:K61"/>
    <mergeCell ref="A75:K75"/>
    <mergeCell ref="F3:I3"/>
    <mergeCell ref="A5:K5"/>
    <mergeCell ref="A9:K9"/>
    <mergeCell ref="A12:K12"/>
    <mergeCell ref="A17:K17"/>
    <mergeCell ref="A21:K21"/>
    <mergeCell ref="A26:K26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3.43"/>
    <col customWidth="1" min="2" max="2" width="25.0"/>
    <col customWidth="1" min="3" max="3" width="7.14"/>
    <col customWidth="1" min="4" max="4" width="6.14"/>
    <col customWidth="1" min="5" max="5" width="16.0"/>
    <col customWidth="1" min="6" max="12" width="5.29"/>
    <col customWidth="1" min="13" max="13" width="4.29"/>
    <col customWidth="1" min="14" max="16" width="5.29"/>
    <col customWidth="1" min="17" max="17" width="4.29"/>
    <col customWidth="1" min="18" max="18" width="6.0"/>
    <col customWidth="1" min="19" max="19" width="8.0"/>
    <col customWidth="1" min="20" max="20" width="6.71"/>
    <col customWidth="1" min="21" max="26" width="8.71"/>
  </cols>
  <sheetData>
    <row r="1" ht="15.0" customHeight="1">
      <c r="A1" s="1" t="s">
        <v>461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/>
      <c r="V1" s="4"/>
      <c r="W1" s="4"/>
      <c r="X1" s="4"/>
      <c r="Y1" s="4"/>
      <c r="Z1" s="4"/>
    </row>
    <row r="2" ht="54.75" customHeight="1">
      <c r="A2" s="5"/>
      <c r="T2" s="6"/>
      <c r="U2" s="4"/>
      <c r="V2" s="4"/>
      <c r="W2" s="4"/>
      <c r="X2" s="4"/>
      <c r="Y2" s="4"/>
      <c r="Z2" s="4"/>
    </row>
    <row r="3" ht="15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471</v>
      </c>
      <c r="G3" s="11"/>
      <c r="H3" s="11"/>
      <c r="I3" s="12"/>
      <c r="J3" s="10" t="s">
        <v>9</v>
      </c>
      <c r="K3" s="11"/>
      <c r="L3" s="11"/>
      <c r="M3" s="12"/>
      <c r="N3" s="10" t="s">
        <v>8</v>
      </c>
      <c r="O3" s="11"/>
      <c r="P3" s="11"/>
      <c r="Q3" s="12"/>
      <c r="R3" s="14" t="s">
        <v>10</v>
      </c>
      <c r="S3" s="9" t="s">
        <v>11</v>
      </c>
      <c r="T3" s="15" t="s">
        <v>12</v>
      </c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>
        <v>1.0</v>
      </c>
      <c r="G4" s="20">
        <v>2.0</v>
      </c>
      <c r="H4" s="20">
        <v>3.0</v>
      </c>
      <c r="I4" s="21" t="s">
        <v>13</v>
      </c>
      <c r="J4" s="19">
        <v>1.0</v>
      </c>
      <c r="K4" s="20">
        <v>2.0</v>
      </c>
      <c r="L4" s="20">
        <v>3.0</v>
      </c>
      <c r="M4" s="21" t="s">
        <v>13</v>
      </c>
      <c r="N4" s="19">
        <v>1.0</v>
      </c>
      <c r="O4" s="20">
        <v>2.0</v>
      </c>
      <c r="P4" s="20">
        <v>3.0</v>
      </c>
      <c r="Q4" s="21" t="s">
        <v>13</v>
      </c>
      <c r="R4" s="22"/>
      <c r="S4" s="18"/>
      <c r="T4" s="23"/>
      <c r="U4" s="16"/>
      <c r="V4" s="16"/>
      <c r="W4" s="16"/>
      <c r="X4" s="16"/>
      <c r="Y4" s="16"/>
      <c r="Z4" s="16"/>
    </row>
    <row r="5" ht="14.25" customHeight="1">
      <c r="A5" s="24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5"/>
    </row>
    <row r="6" ht="14.25" customHeight="1">
      <c r="A6" s="34" t="s">
        <v>485</v>
      </c>
      <c r="B6" s="34" t="s">
        <v>486</v>
      </c>
      <c r="C6" s="34" t="s">
        <v>487</v>
      </c>
      <c r="D6" s="34" t="str">
        <f>"1,3305"</f>
        <v>1,3305</v>
      </c>
      <c r="E6" s="34" t="s">
        <v>491</v>
      </c>
      <c r="F6" s="34" t="s">
        <v>435</v>
      </c>
      <c r="G6" s="34" t="s">
        <v>412</v>
      </c>
      <c r="H6" s="37" t="s">
        <v>414</v>
      </c>
      <c r="I6" s="37"/>
      <c r="J6" s="34" t="s">
        <v>492</v>
      </c>
      <c r="K6" s="37" t="s">
        <v>388</v>
      </c>
      <c r="L6" s="34" t="s">
        <v>388</v>
      </c>
      <c r="M6" s="37" t="s">
        <v>168</v>
      </c>
      <c r="N6" s="34" t="s">
        <v>402</v>
      </c>
      <c r="O6" s="34" t="s">
        <v>430</v>
      </c>
      <c r="P6" s="34" t="s">
        <v>431</v>
      </c>
      <c r="Q6" s="37"/>
      <c r="R6" s="34">
        <v>162.5</v>
      </c>
      <c r="S6" s="34" t="str">
        <f>"216,2063"</f>
        <v>216,2063</v>
      </c>
      <c r="T6" s="34"/>
    </row>
    <row r="7" ht="14.25" customHeight="1">
      <c r="A7" s="45" t="s">
        <v>485</v>
      </c>
      <c r="B7" s="45" t="s">
        <v>493</v>
      </c>
      <c r="C7" s="45" t="s">
        <v>487</v>
      </c>
      <c r="D7" s="45" t="str">
        <f>"1,3438"</f>
        <v>1,3438</v>
      </c>
      <c r="E7" s="45" t="s">
        <v>491</v>
      </c>
      <c r="F7" s="45" t="s">
        <v>435</v>
      </c>
      <c r="G7" s="45" t="s">
        <v>412</v>
      </c>
      <c r="H7" s="46" t="s">
        <v>414</v>
      </c>
      <c r="I7" s="46"/>
      <c r="J7" s="45" t="s">
        <v>492</v>
      </c>
      <c r="K7" s="46" t="s">
        <v>388</v>
      </c>
      <c r="L7" s="45" t="s">
        <v>388</v>
      </c>
      <c r="M7" s="46" t="s">
        <v>168</v>
      </c>
      <c r="N7" s="45" t="s">
        <v>402</v>
      </c>
      <c r="O7" s="45" t="s">
        <v>430</v>
      </c>
      <c r="P7" s="45" t="s">
        <v>431</v>
      </c>
      <c r="Q7" s="46"/>
      <c r="R7" s="45">
        <v>162.5</v>
      </c>
      <c r="S7" s="45" t="str">
        <f>"218,3683"</f>
        <v>218,3683</v>
      </c>
      <c r="T7" s="45"/>
    </row>
    <row r="8" ht="14.25" customHeight="1">
      <c r="A8" s="41" t="s">
        <v>17</v>
      </c>
      <c r="B8" s="41" t="s">
        <v>21</v>
      </c>
      <c r="C8" s="41" t="s">
        <v>498</v>
      </c>
      <c r="D8" s="41" t="str">
        <f>"1,4935"</f>
        <v>1,4935</v>
      </c>
      <c r="E8" s="41" t="s">
        <v>26</v>
      </c>
      <c r="F8" s="41" t="s">
        <v>435</v>
      </c>
      <c r="G8" s="41" t="s">
        <v>413</v>
      </c>
      <c r="H8" s="41" t="s">
        <v>338</v>
      </c>
      <c r="I8" s="41" t="s">
        <v>445</v>
      </c>
      <c r="J8" s="41" t="s">
        <v>393</v>
      </c>
      <c r="K8" s="43" t="s">
        <v>500</v>
      </c>
      <c r="L8" s="41" t="s">
        <v>500</v>
      </c>
      <c r="M8" s="43"/>
      <c r="N8" s="41" t="s">
        <v>30</v>
      </c>
      <c r="O8" s="41" t="s">
        <v>343</v>
      </c>
      <c r="P8" s="41" t="s">
        <v>32</v>
      </c>
      <c r="Q8" s="43"/>
      <c r="R8" s="41">
        <v>230.0</v>
      </c>
      <c r="S8" s="41" t="str">
        <f>"343,5098"</f>
        <v>343,5098</v>
      </c>
      <c r="T8" s="41"/>
    </row>
    <row r="9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ht="14.25" customHeight="1">
      <c r="A10" s="30" t="s">
        <v>124</v>
      </c>
      <c r="T10" s="25"/>
    </row>
    <row r="11" ht="14.25" customHeight="1">
      <c r="A11" s="26" t="s">
        <v>504</v>
      </c>
      <c r="B11" s="26" t="s">
        <v>506</v>
      </c>
      <c r="C11" s="26" t="s">
        <v>131</v>
      </c>
      <c r="D11" s="26" t="str">
        <f>"1,0024"</f>
        <v>1,0024</v>
      </c>
      <c r="E11" s="26" t="s">
        <v>508</v>
      </c>
      <c r="F11" s="26" t="s">
        <v>32</v>
      </c>
      <c r="G11" s="26" t="s">
        <v>107</v>
      </c>
      <c r="H11" s="26" t="s">
        <v>132</v>
      </c>
      <c r="I11" s="26" t="s">
        <v>50</v>
      </c>
      <c r="J11" s="26" t="s">
        <v>435</v>
      </c>
      <c r="K11" s="26" t="s">
        <v>430</v>
      </c>
      <c r="L11" s="27" t="s">
        <v>412</v>
      </c>
      <c r="M11" s="27"/>
      <c r="N11" s="26" t="s">
        <v>107</v>
      </c>
      <c r="O11" s="26" t="s">
        <v>65</v>
      </c>
      <c r="P11" s="26" t="s">
        <v>72</v>
      </c>
      <c r="Q11" s="27"/>
      <c r="R11" s="26">
        <v>320.0</v>
      </c>
      <c r="S11" s="26" t="str">
        <f>"320,7680"</f>
        <v>320,7680</v>
      </c>
      <c r="T11" s="26"/>
    </row>
    <row r="12" ht="1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ht="14.25" customHeight="1">
      <c r="A13" s="30" t="s">
        <v>205</v>
      </c>
      <c r="T13" s="25"/>
    </row>
    <row r="14" ht="14.25" customHeight="1">
      <c r="A14" s="26" t="s">
        <v>511</v>
      </c>
      <c r="B14" s="26" t="s">
        <v>512</v>
      </c>
      <c r="C14" s="26" t="s">
        <v>513</v>
      </c>
      <c r="D14" s="26" t="str">
        <f>"0,7955"</f>
        <v>0,7955</v>
      </c>
      <c r="E14" s="50" t="s">
        <v>508</v>
      </c>
      <c r="F14" s="26" t="s">
        <v>65</v>
      </c>
      <c r="G14" s="26" t="s">
        <v>351</v>
      </c>
      <c r="H14" s="26" t="s">
        <v>51</v>
      </c>
      <c r="I14" s="27"/>
      <c r="J14" s="26" t="s">
        <v>435</v>
      </c>
      <c r="K14" s="27" t="s">
        <v>430</v>
      </c>
      <c r="L14" s="26" t="s">
        <v>430</v>
      </c>
      <c r="M14" s="27"/>
      <c r="N14" s="26" t="s">
        <v>83</v>
      </c>
      <c r="O14" s="26" t="s">
        <v>72</v>
      </c>
      <c r="P14" s="27" t="s">
        <v>51</v>
      </c>
      <c r="Q14" s="27"/>
      <c r="R14" s="26">
        <v>332.5</v>
      </c>
      <c r="S14" s="26" t="str">
        <f>"264,5204"</f>
        <v>264,5204</v>
      </c>
      <c r="T14" s="26"/>
    </row>
    <row r="15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ht="14.25" customHeight="1">
      <c r="A16" s="30" t="s">
        <v>133</v>
      </c>
      <c r="T16" s="25"/>
    </row>
    <row r="17" ht="14.25" customHeight="1">
      <c r="A17" s="26" t="s">
        <v>534</v>
      </c>
      <c r="B17" s="26" t="s">
        <v>537</v>
      </c>
      <c r="C17" s="26" t="s">
        <v>483</v>
      </c>
      <c r="D17" s="26" t="str">
        <f>"1,0914"</f>
        <v>1,0914</v>
      </c>
      <c r="E17" s="26" t="s">
        <v>27</v>
      </c>
      <c r="F17" s="26" t="s">
        <v>31</v>
      </c>
      <c r="G17" s="26" t="s">
        <v>541</v>
      </c>
      <c r="H17" s="27"/>
      <c r="I17" s="27"/>
      <c r="J17" s="26" t="s">
        <v>445</v>
      </c>
      <c r="K17" s="26" t="s">
        <v>543</v>
      </c>
      <c r="L17" s="27"/>
      <c r="M17" s="27"/>
      <c r="N17" s="26" t="s">
        <v>32</v>
      </c>
      <c r="O17" s="26" t="s">
        <v>544</v>
      </c>
      <c r="P17" s="27"/>
      <c r="Q17" s="27"/>
      <c r="R17" s="26">
        <v>310.0</v>
      </c>
      <c r="S17" s="26" t="str">
        <f>"338,3337"</f>
        <v>338,3337</v>
      </c>
      <c r="T17" s="26"/>
    </row>
    <row r="18" ht="14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ht="14.25" customHeight="1">
      <c r="A19" s="30" t="s">
        <v>205</v>
      </c>
      <c r="T19" s="25"/>
    </row>
    <row r="20" ht="14.25" customHeight="1">
      <c r="A20" s="26" t="s">
        <v>551</v>
      </c>
      <c r="B20" s="26" t="s">
        <v>552</v>
      </c>
      <c r="C20" s="26" t="s">
        <v>553</v>
      </c>
      <c r="D20" s="26" t="str">
        <f>"0,6471"</f>
        <v>0,6471</v>
      </c>
      <c r="E20" s="26" t="s">
        <v>27</v>
      </c>
      <c r="F20" s="26" t="s">
        <v>532</v>
      </c>
      <c r="G20" s="26" t="s">
        <v>52</v>
      </c>
      <c r="H20" s="27" t="s">
        <v>554</v>
      </c>
      <c r="I20" s="27"/>
      <c r="J20" s="26" t="s">
        <v>93</v>
      </c>
      <c r="K20" s="26" t="s">
        <v>32</v>
      </c>
      <c r="L20" s="26" t="s">
        <v>557</v>
      </c>
      <c r="M20" s="27"/>
      <c r="N20" s="26" t="s">
        <v>167</v>
      </c>
      <c r="O20" s="26" t="s">
        <v>71</v>
      </c>
      <c r="P20" s="26" t="s">
        <v>559</v>
      </c>
      <c r="Q20" s="27"/>
      <c r="R20" s="26">
        <v>475.0</v>
      </c>
      <c r="S20" s="26" t="str">
        <f>"307,3962"</f>
        <v>307,3962</v>
      </c>
      <c r="T20" s="26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ht="14.25" customHeight="1">
      <c r="A22" s="30" t="s">
        <v>34</v>
      </c>
      <c r="T22" s="25"/>
    </row>
    <row r="23" ht="14.25" customHeight="1">
      <c r="A23" s="34" t="s">
        <v>563</v>
      </c>
      <c r="B23" s="34" t="s">
        <v>564</v>
      </c>
      <c r="C23" s="34" t="s">
        <v>565</v>
      </c>
      <c r="D23" s="34" t="str">
        <f>"0,6326"</f>
        <v>0,6326</v>
      </c>
      <c r="E23" s="34" t="s">
        <v>491</v>
      </c>
      <c r="F23" s="34" t="s">
        <v>54</v>
      </c>
      <c r="G23" s="34" t="s">
        <v>185</v>
      </c>
      <c r="H23" s="37"/>
      <c r="I23" s="37"/>
      <c r="J23" s="34" t="s">
        <v>32</v>
      </c>
      <c r="K23" s="34" t="s">
        <v>113</v>
      </c>
      <c r="L23" s="34" t="s">
        <v>83</v>
      </c>
      <c r="M23" s="37"/>
      <c r="N23" s="34" t="s">
        <v>179</v>
      </c>
      <c r="O23" s="34" t="s">
        <v>55</v>
      </c>
      <c r="P23" s="34" t="s">
        <v>28</v>
      </c>
      <c r="Q23" s="37"/>
      <c r="R23" s="34">
        <v>557.5</v>
      </c>
      <c r="S23" s="34" t="str">
        <f>"352,6745"</f>
        <v>352,6745</v>
      </c>
      <c r="T23" s="34"/>
    </row>
    <row r="24" ht="14.25" customHeight="1">
      <c r="A24" s="41" t="s">
        <v>41</v>
      </c>
      <c r="B24" s="41" t="s">
        <v>46</v>
      </c>
      <c r="C24" s="41" t="s">
        <v>569</v>
      </c>
      <c r="D24" s="41" t="str">
        <f>"0,6247"</f>
        <v>0,6247</v>
      </c>
      <c r="E24" s="41" t="s">
        <v>27</v>
      </c>
      <c r="F24" s="41" t="s">
        <v>72</v>
      </c>
      <c r="G24" s="41" t="s">
        <v>69</v>
      </c>
      <c r="H24" s="41" t="s">
        <v>70</v>
      </c>
      <c r="I24" s="43"/>
      <c r="J24" s="41" t="s">
        <v>338</v>
      </c>
      <c r="K24" s="41" t="s">
        <v>30</v>
      </c>
      <c r="L24" s="41" t="s">
        <v>31</v>
      </c>
      <c r="M24" s="43"/>
      <c r="N24" s="41" t="s">
        <v>163</v>
      </c>
      <c r="O24" s="43" t="s">
        <v>179</v>
      </c>
      <c r="P24" s="41" t="s">
        <v>180</v>
      </c>
      <c r="Q24" s="43"/>
      <c r="R24" s="41">
        <v>475.0</v>
      </c>
      <c r="S24" s="41" t="str">
        <f>"296,7088"</f>
        <v>296,7088</v>
      </c>
      <c r="T24" s="41"/>
    </row>
    <row r="25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ht="14.25" customHeight="1">
      <c r="A26" s="30" t="s">
        <v>15</v>
      </c>
      <c r="T26" s="25"/>
    </row>
    <row r="27" ht="14.25" customHeight="1">
      <c r="A27" s="34" t="s">
        <v>576</v>
      </c>
      <c r="B27" s="34" t="s">
        <v>577</v>
      </c>
      <c r="C27" s="34" t="s">
        <v>578</v>
      </c>
      <c r="D27" s="34" t="str">
        <f>"0,5971"</f>
        <v>0,5971</v>
      </c>
      <c r="E27" s="34" t="s">
        <v>581</v>
      </c>
      <c r="F27" s="37" t="s">
        <v>76</v>
      </c>
      <c r="G27" s="34" t="s">
        <v>76</v>
      </c>
      <c r="H27" s="37" t="s">
        <v>80</v>
      </c>
      <c r="I27" s="37"/>
      <c r="J27" s="34" t="s">
        <v>517</v>
      </c>
      <c r="K27" s="34" t="s">
        <v>167</v>
      </c>
      <c r="L27" s="34" t="s">
        <v>217</v>
      </c>
      <c r="M27" s="37"/>
      <c r="N27" s="34" t="s">
        <v>231</v>
      </c>
      <c r="O27" s="34" t="s">
        <v>236</v>
      </c>
      <c r="P27" s="37" t="s">
        <v>78</v>
      </c>
      <c r="Q27" s="37"/>
      <c r="R27" s="34">
        <v>660.0</v>
      </c>
      <c r="S27" s="34" t="str">
        <f>"394,0860"</f>
        <v>394,0860</v>
      </c>
      <c r="T27" s="34"/>
    </row>
    <row r="28" ht="14.25" customHeight="1">
      <c r="A28" s="45" t="s">
        <v>588</v>
      </c>
      <c r="B28" s="45" t="s">
        <v>589</v>
      </c>
      <c r="C28" s="45" t="s">
        <v>590</v>
      </c>
      <c r="D28" s="45" t="str">
        <f>"0,6216"</f>
        <v>0,6216</v>
      </c>
      <c r="E28" s="45" t="s">
        <v>27</v>
      </c>
      <c r="F28" s="45" t="s">
        <v>89</v>
      </c>
      <c r="G28" s="45" t="s">
        <v>189</v>
      </c>
      <c r="H28" s="45" t="s">
        <v>54</v>
      </c>
      <c r="I28" s="46"/>
      <c r="J28" s="45" t="s">
        <v>31</v>
      </c>
      <c r="K28" s="45" t="s">
        <v>32</v>
      </c>
      <c r="L28" s="45" t="s">
        <v>83</v>
      </c>
      <c r="M28" s="46"/>
      <c r="N28" s="45" t="s">
        <v>52</v>
      </c>
      <c r="O28" s="45" t="s">
        <v>179</v>
      </c>
      <c r="P28" s="45" t="s">
        <v>29</v>
      </c>
      <c r="Q28" s="46"/>
      <c r="R28" s="45">
        <v>550.0</v>
      </c>
      <c r="S28" s="45" t="str">
        <f>"341,8962"</f>
        <v>341,8962</v>
      </c>
      <c r="T28" s="45"/>
    </row>
    <row r="29" ht="14.25" customHeight="1">
      <c r="A29" s="41" t="s">
        <v>256</v>
      </c>
      <c r="B29" s="41" t="s">
        <v>257</v>
      </c>
      <c r="C29" s="41" t="s">
        <v>591</v>
      </c>
      <c r="D29" s="41" t="str">
        <f>"0,7658"</f>
        <v>0,7658</v>
      </c>
      <c r="E29" s="41" t="s">
        <v>259</v>
      </c>
      <c r="F29" s="41" t="s">
        <v>89</v>
      </c>
      <c r="G29" s="41" t="s">
        <v>554</v>
      </c>
      <c r="H29" s="41" t="s">
        <v>222</v>
      </c>
      <c r="I29" s="43"/>
      <c r="J29" s="41" t="s">
        <v>32</v>
      </c>
      <c r="K29" s="41" t="s">
        <v>107</v>
      </c>
      <c r="L29" s="41" t="s">
        <v>65</v>
      </c>
      <c r="M29" s="43"/>
      <c r="N29" s="41" t="s">
        <v>55</v>
      </c>
      <c r="O29" s="41" t="s">
        <v>28</v>
      </c>
      <c r="P29" s="41" t="s">
        <v>174</v>
      </c>
      <c r="Q29" s="43"/>
      <c r="R29" s="41">
        <v>562.5</v>
      </c>
      <c r="S29" s="41" t="str">
        <f>"430,7381"</f>
        <v>430,7381</v>
      </c>
      <c r="T29" s="41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ht="14.25" customHeight="1">
      <c r="A31" s="30" t="s">
        <v>266</v>
      </c>
      <c r="T31" s="25"/>
    </row>
    <row r="32" ht="14.25" customHeight="1">
      <c r="A32" s="26" t="s">
        <v>600</v>
      </c>
      <c r="B32" s="26" t="s">
        <v>601</v>
      </c>
      <c r="C32" s="26" t="s">
        <v>602</v>
      </c>
      <c r="D32" s="26" t="str">
        <f>"0,5692"</f>
        <v>0,5692</v>
      </c>
      <c r="E32" s="26" t="s">
        <v>27</v>
      </c>
      <c r="F32" s="26" t="s">
        <v>179</v>
      </c>
      <c r="G32" s="26" t="s">
        <v>28</v>
      </c>
      <c r="H32" s="26" t="s">
        <v>29</v>
      </c>
      <c r="I32" s="27"/>
      <c r="J32" s="26" t="s">
        <v>89</v>
      </c>
      <c r="K32" s="26" t="s">
        <v>52</v>
      </c>
      <c r="L32" s="26" t="s">
        <v>163</v>
      </c>
      <c r="M32" s="27"/>
      <c r="N32" s="26" t="s">
        <v>29</v>
      </c>
      <c r="O32" s="26" t="s">
        <v>227</v>
      </c>
      <c r="P32" s="27" t="s">
        <v>82</v>
      </c>
      <c r="Q32" s="27"/>
      <c r="R32" s="26">
        <v>670.0</v>
      </c>
      <c r="S32" s="26" t="str">
        <f>"381,3640"</f>
        <v>381,3640</v>
      </c>
      <c r="T32" s="26"/>
    </row>
    <row r="3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ht="14.25" customHeight="1">
      <c r="A34" s="30" t="s">
        <v>276</v>
      </c>
      <c r="T34" s="25"/>
    </row>
    <row r="35" ht="14.25" customHeight="1">
      <c r="A35" s="26" t="s">
        <v>603</v>
      </c>
      <c r="B35" s="26" t="s">
        <v>604</v>
      </c>
      <c r="C35" s="26" t="s">
        <v>605</v>
      </c>
      <c r="D35" s="26" t="str">
        <f>"0,5579"</f>
        <v>0,5579</v>
      </c>
      <c r="E35" s="26" t="s">
        <v>226</v>
      </c>
      <c r="F35" s="26" t="s">
        <v>180</v>
      </c>
      <c r="G35" s="26" t="s">
        <v>29</v>
      </c>
      <c r="H35" s="26" t="s">
        <v>76</v>
      </c>
      <c r="I35" s="27"/>
      <c r="J35" s="26" t="s">
        <v>72</v>
      </c>
      <c r="K35" s="26" t="s">
        <v>538</v>
      </c>
      <c r="L35" s="27" t="s">
        <v>53</v>
      </c>
      <c r="M35" s="27"/>
      <c r="N35" s="26" t="s">
        <v>55</v>
      </c>
      <c r="O35" s="26" t="s">
        <v>231</v>
      </c>
      <c r="P35" s="27"/>
      <c r="Q35" s="27"/>
      <c r="R35" s="26">
        <v>612.5</v>
      </c>
      <c r="S35" s="26" t="str">
        <f>"341,6831"</f>
        <v>341,6831</v>
      </c>
      <c r="T35" s="26"/>
    </row>
    <row r="36" ht="14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ht="14.25" customHeight="1">
      <c r="A37" s="25"/>
      <c r="B37" s="25"/>
      <c r="C37" s="25"/>
      <c r="D37" s="25"/>
      <c r="E37" s="29" t="s">
        <v>33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ht="14.25" customHeight="1">
      <c r="A38" s="25"/>
      <c r="B38" s="25"/>
      <c r="C38" s="25"/>
      <c r="D38" s="25"/>
      <c r="E38" s="29" t="s">
        <v>35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ht="14.25" customHeight="1">
      <c r="A39" s="25"/>
      <c r="B39" s="25"/>
      <c r="C39" s="25"/>
      <c r="D39" s="25"/>
      <c r="E39" s="29" t="s">
        <v>36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ht="14.25" customHeight="1">
      <c r="A40" s="25"/>
      <c r="B40" s="25"/>
      <c r="C40" s="25"/>
      <c r="D40" s="25"/>
      <c r="E40" s="25" t="s">
        <v>37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ht="14.25" customHeight="1">
      <c r="A41" s="25"/>
      <c r="B41" s="25"/>
      <c r="C41" s="25"/>
      <c r="D41" s="25"/>
      <c r="E41" s="25" t="s">
        <v>38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ht="14.25" customHeight="1">
      <c r="A42" s="25"/>
      <c r="B42" s="25"/>
      <c r="C42" s="25"/>
      <c r="D42" s="25"/>
      <c r="E42" s="25" t="s">
        <v>39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4.25" customHeight="1">
      <c r="A45" s="31" t="s">
        <v>40</v>
      </c>
      <c r="B45" s="3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ht="14.25" customHeight="1">
      <c r="A46" s="33" t="s">
        <v>97</v>
      </c>
      <c r="B46" s="3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ht="14.25" customHeight="1">
      <c r="A47" s="35" t="s">
        <v>282</v>
      </c>
      <c r="B47" s="3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ht="14.25" customHeight="1">
      <c r="A48" s="38" t="s">
        <v>3</v>
      </c>
      <c r="B48" s="38" t="s">
        <v>56</v>
      </c>
      <c r="C48" s="38" t="s">
        <v>57</v>
      </c>
      <c r="D48" s="38" t="s">
        <v>10</v>
      </c>
      <c r="E48" s="38" t="s">
        <v>58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ht="14.25" customHeight="1">
      <c r="A49" s="40" t="s">
        <v>511</v>
      </c>
      <c r="B49" s="25" t="s">
        <v>283</v>
      </c>
      <c r="C49" s="25" t="s">
        <v>306</v>
      </c>
      <c r="D49" s="25" t="s">
        <v>628</v>
      </c>
      <c r="E49" s="42" t="s">
        <v>629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ht="14.25" customHeight="1">
      <c r="A51" s="35" t="s">
        <v>103</v>
      </c>
      <c r="B51" s="3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ht="14.25" customHeight="1">
      <c r="A52" s="38" t="s">
        <v>3</v>
      </c>
      <c r="B52" s="38" t="s">
        <v>56</v>
      </c>
      <c r="C52" s="38" t="s">
        <v>57</v>
      </c>
      <c r="D52" s="38" t="s">
        <v>10</v>
      </c>
      <c r="E52" s="38" t="s">
        <v>58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ht="14.25" customHeight="1">
      <c r="A53" s="40" t="s">
        <v>485</v>
      </c>
      <c r="B53" s="25" t="s">
        <v>103</v>
      </c>
      <c r="C53" s="25" t="s">
        <v>302</v>
      </c>
      <c r="D53" s="25" t="s">
        <v>201</v>
      </c>
      <c r="E53" s="42" t="s">
        <v>633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ht="14.25" customHeight="1">
      <c r="A55" s="35" t="s">
        <v>45</v>
      </c>
      <c r="B55" s="3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ht="14.25" customHeight="1">
      <c r="A56" s="38" t="s">
        <v>3</v>
      </c>
      <c r="B56" s="38" t="s">
        <v>56</v>
      </c>
      <c r="C56" s="38" t="s">
        <v>57</v>
      </c>
      <c r="D56" s="38" t="s">
        <v>10</v>
      </c>
      <c r="E56" s="38" t="s">
        <v>58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ht="14.25" customHeight="1">
      <c r="A57" s="40" t="s">
        <v>17</v>
      </c>
      <c r="B57" s="25" t="s">
        <v>122</v>
      </c>
      <c r="C57" s="25" t="s">
        <v>302</v>
      </c>
      <c r="D57" s="25" t="s">
        <v>29</v>
      </c>
      <c r="E57" s="42" t="s">
        <v>635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ht="14.25" customHeight="1">
      <c r="A58" s="40" t="s">
        <v>504</v>
      </c>
      <c r="B58" s="25" t="s">
        <v>115</v>
      </c>
      <c r="C58" s="25" t="s">
        <v>638</v>
      </c>
      <c r="D58" s="25" t="s">
        <v>640</v>
      </c>
      <c r="E58" s="42" t="s">
        <v>641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ht="14.25" customHeight="1">
      <c r="A59" s="40" t="s">
        <v>485</v>
      </c>
      <c r="B59" s="25" t="s">
        <v>115</v>
      </c>
      <c r="C59" s="25" t="s">
        <v>302</v>
      </c>
      <c r="D59" s="25" t="s">
        <v>201</v>
      </c>
      <c r="E59" s="42" t="s">
        <v>642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ht="14.25" customHeight="1">
      <c r="A62" s="33" t="s">
        <v>42</v>
      </c>
      <c r="B62" s="33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ht="14.25" customHeight="1">
      <c r="A63" s="35" t="s">
        <v>103</v>
      </c>
      <c r="B63" s="36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ht="14.25" customHeight="1">
      <c r="A64" s="38" t="s">
        <v>3</v>
      </c>
      <c r="B64" s="38" t="s">
        <v>56</v>
      </c>
      <c r="C64" s="38" t="s">
        <v>57</v>
      </c>
      <c r="D64" s="38" t="s">
        <v>10</v>
      </c>
      <c r="E64" s="38" t="s">
        <v>58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ht="14.25" customHeight="1">
      <c r="A65" s="40" t="s">
        <v>576</v>
      </c>
      <c r="B65" s="25" t="s">
        <v>103</v>
      </c>
      <c r="C65" s="25" t="s">
        <v>61</v>
      </c>
      <c r="D65" s="25" t="s">
        <v>647</v>
      </c>
      <c r="E65" s="42" t="s">
        <v>648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ht="14.25" customHeight="1">
      <c r="A66" s="40" t="s">
        <v>600</v>
      </c>
      <c r="B66" s="25" t="s">
        <v>103</v>
      </c>
      <c r="C66" s="25" t="s">
        <v>317</v>
      </c>
      <c r="D66" s="25" t="s">
        <v>649</v>
      </c>
      <c r="E66" s="42" t="s">
        <v>650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ht="14.25" customHeight="1">
      <c r="A67" s="40" t="s">
        <v>563</v>
      </c>
      <c r="B67" s="25" t="s">
        <v>103</v>
      </c>
      <c r="C67" s="25" t="s">
        <v>108</v>
      </c>
      <c r="D67" s="25" t="s">
        <v>653</v>
      </c>
      <c r="E67" s="42" t="s">
        <v>654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ht="14.25" customHeight="1">
      <c r="A68" s="40" t="s">
        <v>603</v>
      </c>
      <c r="B68" s="25" t="s">
        <v>103</v>
      </c>
      <c r="C68" s="25" t="s">
        <v>381</v>
      </c>
      <c r="D68" s="25" t="s">
        <v>655</v>
      </c>
      <c r="E68" s="42" t="s">
        <v>656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ht="14.25" customHeight="1">
      <c r="A69" s="40" t="s">
        <v>551</v>
      </c>
      <c r="B69" s="25" t="s">
        <v>103</v>
      </c>
      <c r="C69" s="25" t="s">
        <v>306</v>
      </c>
      <c r="D69" s="25" t="s">
        <v>657</v>
      </c>
      <c r="E69" s="42" t="s">
        <v>658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ht="14.25" customHeight="1">
      <c r="A70" s="40" t="s">
        <v>41</v>
      </c>
      <c r="B70" s="25" t="s">
        <v>103</v>
      </c>
      <c r="C70" s="25" t="s">
        <v>108</v>
      </c>
      <c r="D70" s="25" t="s">
        <v>657</v>
      </c>
      <c r="E70" s="42" t="s">
        <v>659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ht="14.25" customHeight="1">
      <c r="A72" s="35" t="s">
        <v>45</v>
      </c>
      <c r="B72" s="36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ht="14.25" customHeight="1">
      <c r="A73" s="38" t="s">
        <v>3</v>
      </c>
      <c r="B73" s="38" t="s">
        <v>56</v>
      </c>
      <c r="C73" s="38" t="s">
        <v>57</v>
      </c>
      <c r="D73" s="38" t="s">
        <v>10</v>
      </c>
      <c r="E73" s="38" t="s">
        <v>58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ht="14.25" customHeight="1">
      <c r="A74" s="40" t="s">
        <v>256</v>
      </c>
      <c r="B74" s="25" t="s">
        <v>59</v>
      </c>
      <c r="C74" s="25" t="s">
        <v>61</v>
      </c>
      <c r="D74" s="25" t="s">
        <v>664</v>
      </c>
      <c r="E74" s="42" t="s">
        <v>665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ht="14.25" customHeight="1">
      <c r="A75" s="40" t="s">
        <v>588</v>
      </c>
      <c r="B75" s="25" t="s">
        <v>300</v>
      </c>
      <c r="C75" s="25" t="s">
        <v>61</v>
      </c>
      <c r="D75" s="25" t="s">
        <v>668</v>
      </c>
      <c r="E75" s="42" t="s">
        <v>669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ht="14.25" customHeight="1">
      <c r="A76" s="40" t="s">
        <v>534</v>
      </c>
      <c r="B76" s="25" t="s">
        <v>120</v>
      </c>
      <c r="C76" s="25" t="s">
        <v>293</v>
      </c>
      <c r="D76" s="25" t="s">
        <v>670</v>
      </c>
      <c r="E76" s="42" t="s">
        <v>671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</row>
  </sheetData>
  <mergeCells count="21">
    <mergeCell ref="C3:C4"/>
    <mergeCell ref="D3:D4"/>
    <mergeCell ref="S3:S4"/>
    <mergeCell ref="T3:T4"/>
    <mergeCell ref="A26:S26"/>
    <mergeCell ref="A31:S31"/>
    <mergeCell ref="A34:S34"/>
    <mergeCell ref="F3:I3"/>
    <mergeCell ref="A5:S5"/>
    <mergeCell ref="A10:S10"/>
    <mergeCell ref="A13:S13"/>
    <mergeCell ref="A16:S16"/>
    <mergeCell ref="A19:S19"/>
    <mergeCell ref="A22:S22"/>
    <mergeCell ref="J3:M3"/>
    <mergeCell ref="N3:Q3"/>
    <mergeCell ref="R3:R4"/>
    <mergeCell ref="A1:T2"/>
    <mergeCell ref="A3:A4"/>
    <mergeCell ref="B3:B4"/>
    <mergeCell ref="E3:E4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3.43"/>
    <col customWidth="1" min="2" max="2" width="18.0"/>
    <col customWidth="1" min="3" max="3" width="7.14"/>
    <col customWidth="1" min="4" max="4" width="6.14"/>
    <col customWidth="1" min="5" max="5" width="16.0"/>
    <col customWidth="1" min="6" max="6" width="6.0"/>
    <col customWidth="1" min="7" max="8" width="5.29"/>
    <col customWidth="1" min="9" max="9" width="4.29"/>
    <col customWidth="1" min="10" max="10" width="6.0"/>
    <col customWidth="1" min="11" max="12" width="5.29"/>
    <col customWidth="1" min="13" max="13" width="4.29"/>
    <col customWidth="1" min="14" max="14" width="6.0"/>
    <col customWidth="1" min="15" max="16" width="5.29"/>
    <col customWidth="1" min="17" max="17" width="4.29"/>
    <col customWidth="1" min="18" max="18" width="6.0"/>
    <col customWidth="1" min="19" max="19" width="8.0"/>
    <col customWidth="1" min="20" max="20" width="6.71"/>
    <col customWidth="1" min="21" max="26" width="8.71"/>
  </cols>
  <sheetData>
    <row r="1" ht="15.0" customHeight="1">
      <c r="A1" s="1" t="s">
        <v>863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/>
      <c r="V1" s="4"/>
      <c r="W1" s="4"/>
      <c r="X1" s="4"/>
      <c r="Y1" s="4"/>
      <c r="Z1" s="4"/>
    </row>
    <row r="2" ht="59.25" customHeight="1">
      <c r="A2" s="5"/>
      <c r="T2" s="6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471</v>
      </c>
      <c r="G3" s="11"/>
      <c r="H3" s="11"/>
      <c r="I3" s="12"/>
      <c r="J3" s="10" t="s">
        <v>9</v>
      </c>
      <c r="K3" s="11"/>
      <c r="L3" s="11"/>
      <c r="M3" s="12"/>
      <c r="N3" s="10" t="s">
        <v>8</v>
      </c>
      <c r="O3" s="11"/>
      <c r="P3" s="11"/>
      <c r="Q3" s="12"/>
      <c r="R3" s="14" t="s">
        <v>10</v>
      </c>
      <c r="S3" s="9" t="s">
        <v>11</v>
      </c>
      <c r="T3" s="15" t="s">
        <v>12</v>
      </c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>
        <v>1.0</v>
      </c>
      <c r="G4" s="20">
        <v>2.0</v>
      </c>
      <c r="H4" s="20">
        <v>3.0</v>
      </c>
      <c r="I4" s="21" t="s">
        <v>13</v>
      </c>
      <c r="J4" s="19">
        <v>1.0</v>
      </c>
      <c r="K4" s="20">
        <v>2.0</v>
      </c>
      <c r="L4" s="20">
        <v>3.0</v>
      </c>
      <c r="M4" s="21" t="s">
        <v>13</v>
      </c>
      <c r="N4" s="19">
        <v>1.0</v>
      </c>
      <c r="O4" s="20">
        <v>2.0</v>
      </c>
      <c r="P4" s="20">
        <v>3.0</v>
      </c>
      <c r="Q4" s="21" t="s">
        <v>13</v>
      </c>
      <c r="R4" s="22"/>
      <c r="S4" s="18"/>
      <c r="T4" s="23"/>
      <c r="U4" s="16"/>
      <c r="V4" s="16"/>
      <c r="W4" s="16"/>
      <c r="X4" s="16"/>
      <c r="Y4" s="16"/>
      <c r="Z4" s="16"/>
    </row>
    <row r="5" ht="14.25" customHeight="1">
      <c r="A5" s="24" t="s">
        <v>133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5"/>
    </row>
    <row r="6" ht="14.25" customHeight="1">
      <c r="A6" s="26" t="s">
        <v>864</v>
      </c>
      <c r="B6" s="26" t="s">
        <v>865</v>
      </c>
      <c r="C6" s="26" t="s">
        <v>866</v>
      </c>
      <c r="D6" s="26" t="str">
        <f>"0,7671"</f>
        <v>0,7671</v>
      </c>
      <c r="E6" s="26" t="s">
        <v>27</v>
      </c>
      <c r="F6" s="27" t="s">
        <v>76</v>
      </c>
      <c r="G6" s="26" t="s">
        <v>76</v>
      </c>
      <c r="H6" s="27" t="s">
        <v>78</v>
      </c>
      <c r="I6" s="27"/>
      <c r="J6" s="26" t="s">
        <v>72</v>
      </c>
      <c r="K6" s="27" t="s">
        <v>51</v>
      </c>
      <c r="L6" s="27" t="s">
        <v>51</v>
      </c>
      <c r="M6" s="27"/>
      <c r="N6" s="27" t="s">
        <v>55</v>
      </c>
      <c r="O6" s="26" t="s">
        <v>55</v>
      </c>
      <c r="P6" s="27" t="s">
        <v>76</v>
      </c>
      <c r="Q6" s="27"/>
      <c r="R6" s="26" t="s">
        <v>867</v>
      </c>
      <c r="S6" s="26" t="s">
        <v>868</v>
      </c>
      <c r="T6" s="26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ht="14.25" customHeight="1">
      <c r="A8" s="25"/>
      <c r="B8" s="25"/>
      <c r="C8" s="25"/>
      <c r="D8" s="25"/>
      <c r="E8" s="29" t="s">
        <v>33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ht="14.25" customHeight="1">
      <c r="A9" s="25"/>
      <c r="B9" s="25"/>
      <c r="C9" s="25"/>
      <c r="D9" s="25"/>
      <c r="E9" s="29" t="s">
        <v>35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ht="14.25" customHeight="1">
      <c r="A10" s="25"/>
      <c r="B10" s="25"/>
      <c r="C10" s="25"/>
      <c r="D10" s="25"/>
      <c r="E10" s="29" t="s">
        <v>36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ht="14.25" customHeight="1">
      <c r="A11" s="25"/>
      <c r="B11" s="25"/>
      <c r="C11" s="25"/>
      <c r="D11" s="25"/>
      <c r="E11" s="25" t="s">
        <v>37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ht="14.25" customHeight="1">
      <c r="A12" s="25"/>
      <c r="B12" s="25"/>
      <c r="C12" s="25"/>
      <c r="D12" s="25"/>
      <c r="E12" s="25" t="s">
        <v>38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ht="14.25" customHeight="1">
      <c r="A13" s="25"/>
      <c r="B13" s="25"/>
      <c r="C13" s="25"/>
      <c r="D13" s="25"/>
      <c r="E13" s="25" t="s">
        <v>39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ht="14.25" customHeight="1">
      <c r="A15" s="25"/>
      <c r="B15" s="31" t="s">
        <v>40</v>
      </c>
      <c r="C15" s="3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ht="14.25" customHeight="1">
      <c r="A16" s="25"/>
      <c r="B16" s="33" t="s">
        <v>42</v>
      </c>
      <c r="C16" s="33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ht="14.25" customHeight="1">
      <c r="A17" s="25"/>
      <c r="B17" s="35" t="s">
        <v>103</v>
      </c>
      <c r="C17" s="3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ht="14.25" customHeight="1">
      <c r="A18" s="25"/>
      <c r="B18" s="38" t="s">
        <v>3</v>
      </c>
      <c r="C18" s="38" t="s">
        <v>56</v>
      </c>
      <c r="D18" s="38" t="s">
        <v>57</v>
      </c>
      <c r="E18" s="38" t="s">
        <v>10</v>
      </c>
      <c r="F18" s="38" t="s">
        <v>58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ht="14.25" customHeight="1">
      <c r="A19" s="25"/>
      <c r="B19" s="40" t="s">
        <v>864</v>
      </c>
      <c r="C19" s="25" t="s">
        <v>103</v>
      </c>
      <c r="D19" s="25" t="s">
        <v>293</v>
      </c>
      <c r="E19" s="25" t="s">
        <v>869</v>
      </c>
      <c r="F19" s="42" t="s">
        <v>870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ht="14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ht="1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ht="14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ht="1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ht="14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ht="14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</row>
  </sheetData>
  <mergeCells count="13">
    <mergeCell ref="A3:A4"/>
    <mergeCell ref="B3:B4"/>
    <mergeCell ref="C3:C4"/>
    <mergeCell ref="D3:D4"/>
    <mergeCell ref="S3:S4"/>
    <mergeCell ref="T3:T4"/>
    <mergeCell ref="J3:M3"/>
    <mergeCell ref="N3:Q3"/>
    <mergeCell ref="R3:R4"/>
    <mergeCell ref="F3:I3"/>
    <mergeCell ref="A5:S5"/>
    <mergeCell ref="A1:T2"/>
    <mergeCell ref="E3:E4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3.43"/>
    <col customWidth="1" min="2" max="2" width="24.71"/>
    <col customWidth="1" min="3" max="3" width="7.14"/>
    <col customWidth="1" min="4" max="4" width="6.14"/>
    <col customWidth="1" min="5" max="5" width="16.0"/>
    <col customWidth="1" min="6" max="6" width="6.0"/>
    <col customWidth="1" min="7" max="8" width="5.29"/>
    <col customWidth="1" min="9" max="9" width="4.29"/>
    <col customWidth="1" min="10" max="10" width="5.0"/>
    <col customWidth="1" min="11" max="12" width="5.29"/>
    <col customWidth="1" min="13" max="13" width="4.29"/>
    <col customWidth="1" min="14" max="14" width="6.0"/>
    <col customWidth="1" min="15" max="16" width="5.29"/>
    <col customWidth="1" min="17" max="17" width="4.29"/>
    <col customWidth="1" min="18" max="18" width="6.0"/>
    <col customWidth="1" min="19" max="19" width="8.0"/>
    <col customWidth="1" min="20" max="20" width="6.71"/>
    <col customWidth="1" min="21" max="26" width="8.71"/>
  </cols>
  <sheetData>
    <row r="1" ht="15.0" customHeight="1">
      <c r="A1" s="1" t="s">
        <v>871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/>
      <c r="V1" s="4"/>
      <c r="W1" s="4"/>
      <c r="X1" s="4"/>
      <c r="Y1" s="4"/>
      <c r="Z1" s="4"/>
    </row>
    <row r="2" ht="69.75" customHeight="1">
      <c r="A2" s="5"/>
      <c r="T2" s="6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471</v>
      </c>
      <c r="G3" s="11"/>
      <c r="H3" s="11"/>
      <c r="I3" s="12"/>
      <c r="J3" s="10" t="s">
        <v>9</v>
      </c>
      <c r="K3" s="11"/>
      <c r="L3" s="11"/>
      <c r="M3" s="12"/>
      <c r="N3" s="10" t="s">
        <v>8</v>
      </c>
      <c r="O3" s="11"/>
      <c r="P3" s="11"/>
      <c r="Q3" s="12"/>
      <c r="R3" s="13" t="s">
        <v>10</v>
      </c>
      <c r="S3" s="9" t="s">
        <v>11</v>
      </c>
      <c r="T3" s="15" t="s">
        <v>12</v>
      </c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>
        <v>1.0</v>
      </c>
      <c r="G4" s="20">
        <v>2.0</v>
      </c>
      <c r="H4" s="20">
        <v>3.0</v>
      </c>
      <c r="I4" s="21" t="s">
        <v>13</v>
      </c>
      <c r="J4" s="19">
        <v>1.0</v>
      </c>
      <c r="K4" s="20">
        <v>2.0</v>
      </c>
      <c r="L4" s="20">
        <v>3.0</v>
      </c>
      <c r="M4" s="21" t="s">
        <v>13</v>
      </c>
      <c r="N4" s="19">
        <v>1.0</v>
      </c>
      <c r="O4" s="20">
        <v>2.0</v>
      </c>
      <c r="P4" s="20">
        <v>3.0</v>
      </c>
      <c r="Q4" s="21" t="s">
        <v>13</v>
      </c>
      <c r="R4" s="22"/>
      <c r="S4" s="18"/>
      <c r="T4" s="23"/>
      <c r="U4" s="16"/>
      <c r="V4" s="16"/>
      <c r="W4" s="16"/>
      <c r="X4" s="16"/>
      <c r="Y4" s="16"/>
      <c r="Z4" s="16"/>
    </row>
    <row r="5" ht="14.25" customHeight="1">
      <c r="A5" s="24" t="s">
        <v>43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5"/>
    </row>
    <row r="6" ht="14.25" customHeight="1">
      <c r="A6" s="26" t="s">
        <v>872</v>
      </c>
      <c r="B6" s="26" t="s">
        <v>873</v>
      </c>
      <c r="C6" s="26" t="s">
        <v>49</v>
      </c>
      <c r="D6" s="26" t="str">
        <f>"1,1809"</f>
        <v>1,1809</v>
      </c>
      <c r="E6" s="26" t="s">
        <v>27</v>
      </c>
      <c r="F6" s="26" t="s">
        <v>50</v>
      </c>
      <c r="G6" s="26" t="s">
        <v>53</v>
      </c>
      <c r="H6" s="27" t="s">
        <v>98</v>
      </c>
      <c r="I6" s="27"/>
      <c r="J6" s="26" t="s">
        <v>413</v>
      </c>
      <c r="K6" s="27" t="s">
        <v>449</v>
      </c>
      <c r="L6" s="27" t="s">
        <v>449</v>
      </c>
      <c r="M6" s="27"/>
      <c r="N6" s="26" t="s">
        <v>32</v>
      </c>
      <c r="O6" s="26" t="s">
        <v>83</v>
      </c>
      <c r="P6" s="27" t="s">
        <v>72</v>
      </c>
      <c r="Q6" s="27"/>
      <c r="R6" s="28" t="s">
        <v>628</v>
      </c>
      <c r="S6" s="26" t="s">
        <v>874</v>
      </c>
      <c r="T6" s="26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32"/>
      <c r="S7" s="25"/>
      <c r="T7" s="25"/>
    </row>
    <row r="8" ht="14.25" customHeight="1">
      <c r="A8" s="30" t="s">
        <v>34</v>
      </c>
      <c r="T8" s="25"/>
    </row>
    <row r="9" ht="14.25" customHeight="1">
      <c r="A9" s="26" t="s">
        <v>875</v>
      </c>
      <c r="B9" s="26" t="s">
        <v>876</v>
      </c>
      <c r="C9" s="26" t="s">
        <v>877</v>
      </c>
      <c r="D9" s="26" t="str">
        <f>"0,6122"</f>
        <v>0,6122</v>
      </c>
      <c r="E9" s="26" t="s">
        <v>27</v>
      </c>
      <c r="F9" s="26" t="s">
        <v>878</v>
      </c>
      <c r="G9" s="26" t="s">
        <v>879</v>
      </c>
      <c r="H9" s="27"/>
      <c r="I9" s="27"/>
      <c r="J9" s="26" t="s">
        <v>52</v>
      </c>
      <c r="K9" s="26" t="s">
        <v>163</v>
      </c>
      <c r="L9" s="27" t="s">
        <v>218</v>
      </c>
      <c r="M9" s="27"/>
      <c r="N9" s="27" t="s">
        <v>80</v>
      </c>
      <c r="O9" s="27" t="s">
        <v>80</v>
      </c>
      <c r="P9" s="26" t="s">
        <v>80</v>
      </c>
      <c r="Q9" s="27"/>
      <c r="R9" s="28">
        <v>770.0</v>
      </c>
      <c r="S9" s="26" t="str">
        <f>"471,4325"</f>
        <v>471,4325</v>
      </c>
      <c r="T9" s="26"/>
    </row>
    <row r="1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32"/>
      <c r="S10" s="25"/>
      <c r="T10" s="25"/>
    </row>
    <row r="11" ht="14.25" customHeight="1">
      <c r="A11" s="30" t="s">
        <v>15</v>
      </c>
      <c r="T11" s="25"/>
    </row>
    <row r="12" ht="14.25" customHeight="1">
      <c r="A12" s="26" t="s">
        <v>243</v>
      </c>
      <c r="B12" s="26" t="s">
        <v>244</v>
      </c>
      <c r="C12" s="26" t="s">
        <v>265</v>
      </c>
      <c r="D12" s="26" t="str">
        <f>"0,5917"</f>
        <v>0,5917</v>
      </c>
      <c r="E12" s="26" t="s">
        <v>27</v>
      </c>
      <c r="F12" s="27" t="s">
        <v>70</v>
      </c>
      <c r="G12" s="26" t="s">
        <v>89</v>
      </c>
      <c r="H12" s="26" t="s">
        <v>163</v>
      </c>
      <c r="I12" s="27"/>
      <c r="J12" s="26" t="s">
        <v>31</v>
      </c>
      <c r="K12" s="27" t="s">
        <v>65</v>
      </c>
      <c r="L12" s="27" t="s">
        <v>65</v>
      </c>
      <c r="M12" s="27"/>
      <c r="N12" s="26" t="s">
        <v>70</v>
      </c>
      <c r="O12" s="27"/>
      <c r="P12" s="27"/>
      <c r="Q12" s="27"/>
      <c r="R12" s="28" t="s">
        <v>880</v>
      </c>
      <c r="S12" s="26" t="s">
        <v>881</v>
      </c>
      <c r="T12" s="26"/>
    </row>
    <row r="13" ht="1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2"/>
      <c r="S13" s="25"/>
      <c r="T13" s="25"/>
    </row>
    <row r="14" ht="14.25" customHeight="1">
      <c r="A14" s="25"/>
      <c r="B14" s="25"/>
      <c r="C14" s="25"/>
      <c r="D14" s="25"/>
      <c r="E14" s="29" t="s">
        <v>33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32"/>
      <c r="S14" s="25"/>
      <c r="T14" s="25"/>
    </row>
    <row r="15" ht="14.25" customHeight="1">
      <c r="A15" s="25"/>
      <c r="B15" s="25"/>
      <c r="C15" s="25"/>
      <c r="D15" s="25"/>
      <c r="E15" s="29" t="s">
        <v>35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32"/>
      <c r="S15" s="25"/>
      <c r="T15" s="25"/>
    </row>
    <row r="16" ht="14.25" customHeight="1">
      <c r="A16" s="25"/>
      <c r="B16" s="25"/>
      <c r="C16" s="25"/>
      <c r="D16" s="25"/>
      <c r="E16" s="29" t="s">
        <v>36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32"/>
      <c r="S16" s="25"/>
      <c r="T16" s="25"/>
    </row>
    <row r="17" ht="14.25" customHeight="1">
      <c r="A17" s="25"/>
      <c r="B17" s="25"/>
      <c r="C17" s="25"/>
      <c r="D17" s="25"/>
      <c r="E17" s="25" t="s">
        <v>37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32"/>
      <c r="S17" s="25"/>
      <c r="T17" s="25"/>
    </row>
    <row r="18" ht="14.25" customHeight="1">
      <c r="A18" s="25"/>
      <c r="B18" s="25"/>
      <c r="C18" s="25"/>
      <c r="D18" s="25"/>
      <c r="E18" s="25" t="s">
        <v>38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32"/>
      <c r="S18" s="25"/>
      <c r="T18" s="25"/>
    </row>
    <row r="19" ht="14.25" customHeight="1">
      <c r="A19" s="25"/>
      <c r="B19" s="25"/>
      <c r="C19" s="25"/>
      <c r="D19" s="25"/>
      <c r="E19" s="25" t="s">
        <v>39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32"/>
      <c r="S19" s="25"/>
      <c r="T19" s="25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32"/>
      <c r="S20" s="25"/>
      <c r="T20" s="25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32"/>
      <c r="S21" s="25"/>
      <c r="T21" s="25"/>
    </row>
    <row r="22" ht="14.25" customHeight="1">
      <c r="A22" s="31" t="s">
        <v>40</v>
      </c>
      <c r="B22" s="3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32"/>
      <c r="S22" s="25"/>
      <c r="T22" s="25"/>
    </row>
    <row r="23" ht="14.25" customHeight="1">
      <c r="A23" s="33" t="s">
        <v>97</v>
      </c>
      <c r="B23" s="33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2"/>
      <c r="S23" s="25"/>
      <c r="T23" s="25"/>
    </row>
    <row r="24" ht="14.25" customHeight="1">
      <c r="A24" s="35" t="s">
        <v>103</v>
      </c>
      <c r="B24" s="36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32"/>
      <c r="S24" s="25"/>
      <c r="T24" s="25"/>
    </row>
    <row r="25" ht="14.25" customHeight="1">
      <c r="A25" s="38" t="s">
        <v>3</v>
      </c>
      <c r="B25" s="38" t="s">
        <v>56</v>
      </c>
      <c r="C25" s="38" t="s">
        <v>57</v>
      </c>
      <c r="D25" s="38" t="s">
        <v>10</v>
      </c>
      <c r="E25" s="38" t="s">
        <v>58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32"/>
      <c r="S25" s="25"/>
      <c r="T25" s="25"/>
    </row>
    <row r="26" ht="14.25" customHeight="1">
      <c r="A26" s="40" t="s">
        <v>872</v>
      </c>
      <c r="B26" s="25" t="s">
        <v>103</v>
      </c>
      <c r="C26" s="25" t="s">
        <v>288</v>
      </c>
      <c r="D26" s="28" t="s">
        <v>628</v>
      </c>
      <c r="E26" s="51" t="s">
        <v>874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32"/>
      <c r="S26" s="25"/>
      <c r="T26" s="25"/>
    </row>
    <row r="27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32"/>
      <c r="S27" s="25"/>
      <c r="T27" s="25"/>
    </row>
    <row r="28" ht="1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2"/>
      <c r="S28" s="25"/>
      <c r="T28" s="25"/>
    </row>
    <row r="29" ht="14.25" customHeight="1">
      <c r="A29" s="33" t="s">
        <v>42</v>
      </c>
      <c r="B29" s="3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32"/>
      <c r="S29" s="25"/>
      <c r="T29" s="25"/>
    </row>
    <row r="30" ht="14.25" customHeight="1">
      <c r="A30" s="35" t="s">
        <v>282</v>
      </c>
      <c r="B30" s="3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32"/>
      <c r="S30" s="25"/>
      <c r="T30" s="25"/>
    </row>
    <row r="31" ht="14.25" customHeight="1">
      <c r="A31" s="38" t="s">
        <v>3</v>
      </c>
      <c r="B31" s="38" t="s">
        <v>56</v>
      </c>
      <c r="C31" s="38" t="s">
        <v>57</v>
      </c>
      <c r="D31" s="38" t="s">
        <v>10</v>
      </c>
      <c r="E31" s="38" t="s">
        <v>58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2"/>
      <c r="S31" s="25"/>
      <c r="T31" s="25"/>
    </row>
    <row r="32" ht="14.25" customHeight="1">
      <c r="A32" s="40" t="s">
        <v>243</v>
      </c>
      <c r="B32" s="25" t="s">
        <v>283</v>
      </c>
      <c r="C32" s="25" t="s">
        <v>61</v>
      </c>
      <c r="D32" s="28" t="s">
        <v>880</v>
      </c>
      <c r="E32" s="51" t="s">
        <v>881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32"/>
      <c r="S32" s="25"/>
      <c r="T32" s="25"/>
    </row>
    <row r="3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32"/>
      <c r="S33" s="25"/>
      <c r="T33" s="25"/>
    </row>
    <row r="34" ht="14.25" customHeight="1">
      <c r="A34" s="35" t="s">
        <v>103</v>
      </c>
      <c r="B34" s="3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32"/>
      <c r="S34" s="25"/>
      <c r="T34" s="25"/>
    </row>
    <row r="35" ht="14.25" customHeight="1">
      <c r="A35" s="38" t="s">
        <v>3</v>
      </c>
      <c r="B35" s="38" t="s">
        <v>56</v>
      </c>
      <c r="C35" s="38" t="s">
        <v>57</v>
      </c>
      <c r="D35" s="38" t="s">
        <v>10</v>
      </c>
      <c r="E35" s="38" t="s">
        <v>58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32"/>
      <c r="S35" s="25"/>
      <c r="T35" s="25"/>
    </row>
    <row r="36" ht="14.25" customHeight="1">
      <c r="A36" s="40" t="s">
        <v>875</v>
      </c>
      <c r="B36" s="25" t="s">
        <v>103</v>
      </c>
      <c r="C36" s="25" t="s">
        <v>108</v>
      </c>
      <c r="D36" s="25" t="s">
        <v>882</v>
      </c>
      <c r="E36" s="42" t="s">
        <v>883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32"/>
      <c r="S36" s="25"/>
      <c r="T36" s="25"/>
    </row>
    <row r="37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32"/>
      <c r="S37" s="25"/>
      <c r="T37" s="25"/>
    </row>
    <row r="38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32"/>
      <c r="S38" s="25"/>
      <c r="T38" s="25"/>
    </row>
    <row r="39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32"/>
      <c r="S39" s="25"/>
      <c r="T39" s="25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32"/>
      <c r="S40" s="25"/>
      <c r="T40" s="25"/>
    </row>
    <row r="4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32"/>
      <c r="S41" s="25"/>
      <c r="T41" s="25"/>
    </row>
    <row r="42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32"/>
      <c r="S42" s="25"/>
      <c r="T42" s="25"/>
    </row>
    <row r="43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32"/>
      <c r="S43" s="25"/>
      <c r="T43" s="25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32"/>
      <c r="S44" s="25"/>
      <c r="T44" s="25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32"/>
      <c r="S45" s="25"/>
      <c r="T45" s="25"/>
    </row>
    <row r="4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32"/>
      <c r="S46" s="25"/>
      <c r="T46" s="25"/>
    </row>
    <row r="47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32"/>
      <c r="S47" s="25"/>
      <c r="T47" s="25"/>
    </row>
    <row r="48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32"/>
      <c r="S48" s="25"/>
      <c r="T48" s="25"/>
    </row>
    <row r="49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32"/>
      <c r="S49" s="25"/>
      <c r="T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32"/>
      <c r="S50" s="25"/>
      <c r="T50" s="25"/>
    </row>
    <row r="5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32"/>
      <c r="S51" s="25"/>
      <c r="T51" s="25"/>
    </row>
    <row r="52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32"/>
      <c r="S52" s="25"/>
      <c r="T52" s="25"/>
    </row>
    <row r="53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32"/>
      <c r="S53" s="25"/>
      <c r="T53" s="25"/>
    </row>
    <row r="54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32"/>
      <c r="S54" s="25"/>
      <c r="T54" s="25"/>
    </row>
    <row r="55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32"/>
      <c r="S55" s="25"/>
      <c r="T55" s="25"/>
    </row>
    <row r="5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32"/>
      <c r="S56" s="25"/>
      <c r="T56" s="25"/>
    </row>
    <row r="57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32"/>
      <c r="S57" s="25"/>
      <c r="T57" s="25"/>
    </row>
    <row r="58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32"/>
      <c r="S58" s="25"/>
      <c r="T58" s="25"/>
    </row>
    <row r="59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32"/>
      <c r="S59" s="25"/>
      <c r="T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32"/>
      <c r="S60" s="25"/>
      <c r="T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32"/>
      <c r="S61" s="25"/>
      <c r="T61" s="25"/>
    </row>
    <row r="62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32"/>
      <c r="S62" s="25"/>
      <c r="T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32"/>
      <c r="S63" s="25"/>
      <c r="T63" s="25"/>
    </row>
    <row r="64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32"/>
      <c r="S64" s="25"/>
      <c r="T64" s="25"/>
    </row>
    <row r="6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32"/>
      <c r="S65" s="25"/>
      <c r="T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32"/>
      <c r="S66" s="25"/>
      <c r="T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32"/>
      <c r="S67" s="25"/>
      <c r="T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32"/>
      <c r="S68" s="25"/>
      <c r="T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32"/>
      <c r="S69" s="25"/>
      <c r="T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32"/>
      <c r="S70" s="25"/>
      <c r="T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32"/>
      <c r="S71" s="25"/>
      <c r="T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32"/>
      <c r="S72" s="25"/>
      <c r="T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32"/>
      <c r="S73" s="25"/>
      <c r="T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32"/>
      <c r="S74" s="25"/>
      <c r="T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32"/>
      <c r="S75" s="25"/>
      <c r="T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32"/>
      <c r="S76" s="25"/>
      <c r="T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32"/>
      <c r="S77" s="25"/>
      <c r="T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32"/>
      <c r="S78" s="25"/>
      <c r="T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32"/>
      <c r="S79" s="25"/>
      <c r="T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32"/>
      <c r="S80" s="25"/>
      <c r="T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32"/>
      <c r="S81" s="25"/>
      <c r="T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32"/>
      <c r="S82" s="25"/>
      <c r="T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32"/>
      <c r="S83" s="25"/>
      <c r="T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32"/>
      <c r="S84" s="25"/>
      <c r="T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32"/>
      <c r="S85" s="25"/>
      <c r="T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32"/>
      <c r="S86" s="25"/>
      <c r="T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32"/>
      <c r="S87" s="25"/>
      <c r="T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32"/>
      <c r="S88" s="25"/>
      <c r="T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32"/>
      <c r="S89" s="25"/>
      <c r="T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32"/>
      <c r="S90" s="25"/>
      <c r="T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32"/>
      <c r="S91" s="25"/>
      <c r="T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32"/>
      <c r="S92" s="25"/>
      <c r="T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32"/>
      <c r="S93" s="25"/>
      <c r="T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32"/>
      <c r="S94" s="25"/>
      <c r="T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32"/>
      <c r="S95" s="25"/>
      <c r="T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32"/>
      <c r="S96" s="25"/>
      <c r="T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32"/>
      <c r="S97" s="25"/>
      <c r="T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32"/>
      <c r="S98" s="25"/>
      <c r="T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32"/>
      <c r="S99" s="25"/>
      <c r="T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32"/>
      <c r="S100" s="25"/>
      <c r="T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32"/>
      <c r="S101" s="25"/>
      <c r="T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32"/>
      <c r="S102" s="25"/>
      <c r="T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32"/>
      <c r="S103" s="25"/>
      <c r="T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32"/>
      <c r="S104" s="25"/>
      <c r="T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32"/>
      <c r="S105" s="25"/>
      <c r="T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32"/>
      <c r="S106" s="25"/>
      <c r="T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32"/>
      <c r="S107" s="25"/>
      <c r="T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32"/>
      <c r="S108" s="25"/>
      <c r="T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32"/>
      <c r="S109" s="25"/>
      <c r="T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32"/>
      <c r="S110" s="25"/>
      <c r="T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32"/>
      <c r="S111" s="25"/>
      <c r="T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32"/>
      <c r="S112" s="25"/>
      <c r="T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32"/>
      <c r="S113" s="25"/>
      <c r="T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32"/>
      <c r="S114" s="25"/>
      <c r="T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32"/>
      <c r="S115" s="25"/>
      <c r="T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32"/>
      <c r="S116" s="25"/>
      <c r="T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32"/>
      <c r="S117" s="25"/>
      <c r="T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32"/>
      <c r="S118" s="25"/>
      <c r="T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32"/>
      <c r="S119" s="25"/>
      <c r="T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32"/>
      <c r="S120" s="25"/>
      <c r="T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32"/>
      <c r="S121" s="25"/>
      <c r="T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32"/>
      <c r="S122" s="25"/>
      <c r="T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32"/>
      <c r="S123" s="25"/>
      <c r="T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32"/>
      <c r="S124" s="25"/>
      <c r="T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32"/>
      <c r="S125" s="25"/>
      <c r="T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32"/>
      <c r="S126" s="25"/>
      <c r="T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32"/>
      <c r="S127" s="25"/>
      <c r="T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32"/>
      <c r="S128" s="25"/>
      <c r="T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32"/>
      <c r="S129" s="25"/>
      <c r="T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32"/>
      <c r="S130" s="25"/>
      <c r="T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32"/>
      <c r="S131" s="25"/>
      <c r="T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32"/>
      <c r="S132" s="25"/>
      <c r="T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32"/>
      <c r="S133" s="25"/>
      <c r="T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32"/>
      <c r="S134" s="25"/>
      <c r="T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32"/>
      <c r="S135" s="25"/>
      <c r="T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32"/>
      <c r="S136" s="25"/>
      <c r="T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32"/>
      <c r="S137" s="25"/>
      <c r="T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32"/>
      <c r="S138" s="25"/>
      <c r="T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32"/>
      <c r="S139" s="25"/>
      <c r="T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32"/>
      <c r="S140" s="25"/>
      <c r="T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32"/>
      <c r="S141" s="25"/>
      <c r="T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32"/>
      <c r="S142" s="25"/>
      <c r="T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32"/>
      <c r="S143" s="25"/>
      <c r="T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32"/>
      <c r="S144" s="25"/>
      <c r="T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32"/>
      <c r="S145" s="25"/>
      <c r="T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32"/>
      <c r="S146" s="25"/>
      <c r="T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32"/>
      <c r="S147" s="25"/>
      <c r="T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32"/>
      <c r="S148" s="25"/>
      <c r="T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32"/>
      <c r="S149" s="25"/>
      <c r="T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32"/>
      <c r="S150" s="25"/>
      <c r="T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32"/>
      <c r="S151" s="25"/>
      <c r="T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32"/>
      <c r="S152" s="25"/>
      <c r="T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32"/>
      <c r="S153" s="25"/>
      <c r="T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32"/>
      <c r="S154" s="25"/>
      <c r="T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32"/>
      <c r="S155" s="25"/>
      <c r="T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32"/>
      <c r="S156" s="25"/>
      <c r="T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32"/>
      <c r="S157" s="25"/>
      <c r="T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32"/>
      <c r="S158" s="25"/>
      <c r="T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32"/>
      <c r="S159" s="25"/>
      <c r="T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32"/>
      <c r="S160" s="25"/>
      <c r="T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32"/>
      <c r="S161" s="25"/>
      <c r="T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32"/>
      <c r="S162" s="25"/>
      <c r="T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32"/>
      <c r="S163" s="25"/>
      <c r="T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32"/>
      <c r="S164" s="25"/>
      <c r="T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32"/>
      <c r="S165" s="25"/>
      <c r="T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32"/>
      <c r="S166" s="25"/>
      <c r="T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32"/>
      <c r="S167" s="25"/>
      <c r="T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32"/>
      <c r="S168" s="25"/>
      <c r="T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32"/>
      <c r="S169" s="25"/>
      <c r="T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32"/>
      <c r="S170" s="25"/>
      <c r="T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32"/>
      <c r="S171" s="25"/>
      <c r="T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32"/>
      <c r="S172" s="25"/>
      <c r="T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32"/>
      <c r="S173" s="25"/>
      <c r="T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32"/>
      <c r="S174" s="25"/>
      <c r="T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32"/>
      <c r="S175" s="25"/>
      <c r="T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32"/>
      <c r="S176" s="25"/>
      <c r="T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32"/>
      <c r="S177" s="25"/>
      <c r="T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32"/>
      <c r="S178" s="25"/>
      <c r="T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32"/>
      <c r="S179" s="25"/>
      <c r="T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32"/>
      <c r="S180" s="25"/>
      <c r="T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32"/>
      <c r="S181" s="25"/>
      <c r="T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32"/>
      <c r="S182" s="25"/>
      <c r="T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32"/>
      <c r="S183" s="25"/>
      <c r="T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32"/>
      <c r="S184" s="25"/>
      <c r="T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32"/>
      <c r="S185" s="25"/>
      <c r="T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32"/>
      <c r="S186" s="25"/>
      <c r="T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32"/>
      <c r="S187" s="25"/>
      <c r="T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32"/>
      <c r="S188" s="25"/>
      <c r="T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32"/>
      <c r="S189" s="25"/>
      <c r="T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32"/>
      <c r="S190" s="25"/>
      <c r="T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32"/>
      <c r="S191" s="25"/>
      <c r="T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32"/>
      <c r="S192" s="25"/>
      <c r="T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32"/>
      <c r="S193" s="25"/>
      <c r="T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32"/>
      <c r="S194" s="25"/>
      <c r="T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32"/>
      <c r="S195" s="25"/>
      <c r="T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32"/>
      <c r="S196" s="25"/>
      <c r="T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32"/>
      <c r="S197" s="25"/>
      <c r="T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32"/>
      <c r="S198" s="25"/>
      <c r="T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32"/>
      <c r="S199" s="25"/>
      <c r="T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32"/>
      <c r="S200" s="25"/>
      <c r="T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32"/>
      <c r="S201" s="25"/>
      <c r="T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32"/>
      <c r="S202" s="25"/>
      <c r="T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32"/>
      <c r="S203" s="25"/>
      <c r="T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32"/>
      <c r="S204" s="25"/>
      <c r="T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32"/>
      <c r="S205" s="25"/>
      <c r="T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32"/>
      <c r="S206" s="25"/>
      <c r="T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32"/>
      <c r="S207" s="25"/>
      <c r="T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32"/>
      <c r="S208" s="25"/>
      <c r="T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32"/>
      <c r="S209" s="25"/>
      <c r="T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32"/>
      <c r="S210" s="25"/>
      <c r="T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32"/>
      <c r="S211" s="25"/>
      <c r="T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32"/>
      <c r="S212" s="25"/>
      <c r="T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32"/>
      <c r="S213" s="25"/>
      <c r="T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32"/>
      <c r="S214" s="25"/>
      <c r="T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32"/>
      <c r="S215" s="25"/>
      <c r="T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32"/>
      <c r="S216" s="25"/>
      <c r="T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32"/>
      <c r="S217" s="25"/>
      <c r="T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32"/>
      <c r="S218" s="25"/>
      <c r="T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32"/>
      <c r="S219" s="25"/>
      <c r="T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32"/>
      <c r="S220" s="25"/>
      <c r="T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32"/>
      <c r="S221" s="25"/>
      <c r="T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32"/>
      <c r="S222" s="25"/>
      <c r="T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32"/>
      <c r="S223" s="25"/>
      <c r="T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32"/>
      <c r="S224" s="25"/>
      <c r="T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32"/>
      <c r="S225" s="25"/>
      <c r="T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32"/>
      <c r="S226" s="25"/>
      <c r="T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32"/>
      <c r="S227" s="25"/>
      <c r="T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32"/>
      <c r="S228" s="25"/>
      <c r="T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32"/>
      <c r="S229" s="25"/>
      <c r="T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32"/>
      <c r="S230" s="25"/>
      <c r="T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32"/>
      <c r="S231" s="25"/>
      <c r="T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32"/>
      <c r="S232" s="25"/>
      <c r="T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32"/>
      <c r="S233" s="25"/>
      <c r="T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32"/>
      <c r="S234" s="25"/>
      <c r="T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32"/>
      <c r="S235" s="25"/>
      <c r="T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32"/>
      <c r="S236" s="25"/>
      <c r="T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32"/>
      <c r="S237" s="25"/>
      <c r="T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32"/>
      <c r="S238" s="25"/>
      <c r="T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32"/>
      <c r="S239" s="25"/>
      <c r="T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32"/>
      <c r="S240" s="25"/>
      <c r="T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32"/>
      <c r="S241" s="25"/>
      <c r="T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32"/>
      <c r="S242" s="25"/>
      <c r="T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32"/>
      <c r="S243" s="25"/>
      <c r="T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32"/>
      <c r="S244" s="25"/>
      <c r="T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32"/>
      <c r="S245" s="25"/>
      <c r="T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32"/>
      <c r="S246" s="25"/>
      <c r="T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32"/>
      <c r="S247" s="25"/>
      <c r="T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32"/>
      <c r="S248" s="25"/>
      <c r="T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32"/>
      <c r="S249" s="25"/>
      <c r="T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32"/>
      <c r="S250" s="25"/>
      <c r="T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32"/>
      <c r="S251" s="25"/>
      <c r="T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32"/>
      <c r="S252" s="25"/>
      <c r="T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32"/>
      <c r="S253" s="25"/>
      <c r="T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32"/>
      <c r="S254" s="25"/>
      <c r="T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32"/>
      <c r="S255" s="25"/>
      <c r="T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32"/>
      <c r="S256" s="25"/>
      <c r="T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32"/>
      <c r="S257" s="25"/>
      <c r="T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32"/>
      <c r="S258" s="25"/>
      <c r="T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32"/>
      <c r="S259" s="25"/>
      <c r="T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32"/>
      <c r="S260" s="25"/>
      <c r="T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32"/>
      <c r="S261" s="25"/>
      <c r="T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32"/>
      <c r="S262" s="25"/>
      <c r="T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32"/>
      <c r="S263" s="25"/>
      <c r="T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32"/>
      <c r="S264" s="25"/>
      <c r="T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32"/>
      <c r="S265" s="25"/>
      <c r="T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32"/>
      <c r="S266" s="25"/>
      <c r="T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32"/>
      <c r="S267" s="25"/>
      <c r="T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32"/>
      <c r="S268" s="25"/>
      <c r="T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32"/>
      <c r="S269" s="25"/>
      <c r="T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32"/>
      <c r="S270" s="25"/>
      <c r="T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32"/>
      <c r="S271" s="25"/>
      <c r="T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32"/>
      <c r="S272" s="25"/>
      <c r="T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32"/>
      <c r="S273" s="25"/>
      <c r="T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32"/>
      <c r="S274" s="25"/>
      <c r="T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32"/>
      <c r="S275" s="25"/>
      <c r="T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32"/>
      <c r="S276" s="25"/>
      <c r="T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32"/>
      <c r="S277" s="25"/>
      <c r="T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32"/>
      <c r="S278" s="25"/>
      <c r="T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32"/>
      <c r="S279" s="25"/>
      <c r="T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32"/>
      <c r="S280" s="25"/>
      <c r="T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32"/>
      <c r="S281" s="25"/>
      <c r="T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32"/>
      <c r="S282" s="25"/>
      <c r="T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32"/>
      <c r="S283" s="25"/>
      <c r="T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32"/>
      <c r="S284" s="25"/>
      <c r="T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32"/>
      <c r="S285" s="25"/>
      <c r="T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32"/>
      <c r="S286" s="25"/>
      <c r="T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32"/>
      <c r="S287" s="25"/>
      <c r="T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32"/>
      <c r="S288" s="25"/>
      <c r="T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32"/>
      <c r="S289" s="25"/>
      <c r="T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32"/>
      <c r="S290" s="25"/>
      <c r="T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32"/>
      <c r="S291" s="25"/>
      <c r="T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32"/>
      <c r="S292" s="25"/>
      <c r="T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32"/>
      <c r="S293" s="25"/>
      <c r="T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32"/>
      <c r="S294" s="25"/>
      <c r="T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32"/>
      <c r="S295" s="25"/>
      <c r="T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32"/>
      <c r="S296" s="25"/>
      <c r="T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32"/>
      <c r="S297" s="25"/>
      <c r="T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32"/>
      <c r="S298" s="25"/>
      <c r="T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32"/>
      <c r="S299" s="25"/>
      <c r="T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32"/>
      <c r="S300" s="25"/>
      <c r="T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32"/>
      <c r="S301" s="25"/>
      <c r="T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32"/>
      <c r="S302" s="25"/>
      <c r="T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32"/>
      <c r="S303" s="25"/>
      <c r="T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32"/>
      <c r="S304" s="25"/>
      <c r="T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32"/>
      <c r="S305" s="25"/>
      <c r="T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32"/>
      <c r="S306" s="25"/>
      <c r="T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32"/>
      <c r="S307" s="25"/>
      <c r="T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32"/>
      <c r="S308" s="25"/>
      <c r="T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32"/>
      <c r="S309" s="25"/>
      <c r="T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32"/>
      <c r="S310" s="25"/>
      <c r="T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32"/>
      <c r="S311" s="25"/>
      <c r="T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32"/>
      <c r="S312" s="25"/>
      <c r="T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32"/>
      <c r="S313" s="25"/>
      <c r="T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32"/>
      <c r="S314" s="25"/>
      <c r="T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32"/>
      <c r="S315" s="25"/>
      <c r="T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32"/>
      <c r="S316" s="25"/>
      <c r="T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32"/>
      <c r="S317" s="25"/>
      <c r="T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32"/>
      <c r="S318" s="25"/>
      <c r="T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32"/>
      <c r="S319" s="25"/>
      <c r="T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32"/>
      <c r="S320" s="25"/>
      <c r="T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32"/>
      <c r="S321" s="25"/>
      <c r="T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32"/>
      <c r="S322" s="25"/>
      <c r="T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32"/>
      <c r="S323" s="25"/>
      <c r="T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32"/>
      <c r="S324" s="25"/>
      <c r="T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32"/>
      <c r="S325" s="25"/>
      <c r="T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32"/>
      <c r="S326" s="25"/>
      <c r="T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32"/>
      <c r="S327" s="25"/>
      <c r="T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32"/>
      <c r="S328" s="25"/>
      <c r="T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32"/>
      <c r="S329" s="25"/>
      <c r="T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32"/>
      <c r="S330" s="25"/>
      <c r="T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32"/>
      <c r="S331" s="25"/>
      <c r="T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32"/>
      <c r="S332" s="25"/>
      <c r="T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32"/>
      <c r="S333" s="25"/>
      <c r="T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32"/>
      <c r="S334" s="25"/>
      <c r="T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32"/>
      <c r="S335" s="25"/>
      <c r="T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32"/>
      <c r="S336" s="25"/>
      <c r="T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32"/>
      <c r="S337" s="25"/>
      <c r="T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32"/>
      <c r="S338" s="25"/>
      <c r="T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32"/>
      <c r="S339" s="25"/>
      <c r="T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32"/>
      <c r="S340" s="25"/>
      <c r="T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32"/>
      <c r="S341" s="25"/>
      <c r="T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32"/>
      <c r="S342" s="25"/>
      <c r="T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32"/>
      <c r="S343" s="25"/>
      <c r="T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32"/>
      <c r="S344" s="25"/>
      <c r="T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32"/>
      <c r="S345" s="25"/>
      <c r="T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32"/>
      <c r="S346" s="25"/>
      <c r="T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32"/>
      <c r="S347" s="25"/>
      <c r="T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32"/>
      <c r="S348" s="25"/>
      <c r="T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32"/>
      <c r="S349" s="25"/>
      <c r="T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32"/>
      <c r="S350" s="25"/>
      <c r="T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32"/>
      <c r="S351" s="25"/>
      <c r="T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32"/>
      <c r="S352" s="25"/>
      <c r="T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32"/>
      <c r="S353" s="25"/>
      <c r="T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32"/>
      <c r="S354" s="25"/>
      <c r="T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32"/>
      <c r="S355" s="25"/>
      <c r="T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32"/>
      <c r="S356" s="25"/>
      <c r="T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32"/>
      <c r="S357" s="25"/>
      <c r="T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32"/>
      <c r="S358" s="25"/>
      <c r="T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32"/>
      <c r="S359" s="25"/>
      <c r="T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32"/>
      <c r="S360" s="25"/>
      <c r="T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32"/>
      <c r="S361" s="25"/>
      <c r="T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32"/>
      <c r="S362" s="25"/>
      <c r="T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32"/>
      <c r="S363" s="25"/>
      <c r="T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32"/>
      <c r="S364" s="25"/>
      <c r="T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32"/>
      <c r="S365" s="25"/>
      <c r="T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32"/>
      <c r="S366" s="25"/>
      <c r="T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32"/>
      <c r="S367" s="25"/>
      <c r="T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32"/>
      <c r="S368" s="25"/>
      <c r="T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32"/>
      <c r="S369" s="25"/>
      <c r="T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32"/>
      <c r="S370" s="25"/>
      <c r="T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32"/>
      <c r="S371" s="25"/>
      <c r="T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32"/>
      <c r="S372" s="25"/>
      <c r="T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32"/>
      <c r="S373" s="25"/>
      <c r="T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32"/>
      <c r="S374" s="25"/>
      <c r="T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32"/>
      <c r="S375" s="25"/>
      <c r="T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32"/>
      <c r="S376" s="25"/>
      <c r="T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32"/>
      <c r="S377" s="25"/>
      <c r="T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32"/>
      <c r="S378" s="25"/>
      <c r="T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32"/>
      <c r="S379" s="25"/>
      <c r="T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32"/>
      <c r="S380" s="25"/>
      <c r="T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32"/>
      <c r="S381" s="25"/>
      <c r="T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32"/>
      <c r="S382" s="25"/>
      <c r="T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32"/>
      <c r="S383" s="25"/>
      <c r="T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32"/>
      <c r="S384" s="25"/>
      <c r="T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32"/>
      <c r="S385" s="25"/>
      <c r="T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32"/>
      <c r="S386" s="25"/>
      <c r="T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32"/>
      <c r="S387" s="25"/>
      <c r="T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32"/>
      <c r="S388" s="25"/>
      <c r="T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32"/>
      <c r="S389" s="25"/>
      <c r="T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32"/>
      <c r="S390" s="25"/>
      <c r="T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32"/>
      <c r="S391" s="25"/>
      <c r="T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32"/>
      <c r="S392" s="25"/>
      <c r="T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32"/>
      <c r="S393" s="25"/>
      <c r="T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32"/>
      <c r="S394" s="25"/>
      <c r="T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32"/>
      <c r="S395" s="25"/>
      <c r="T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32"/>
      <c r="S396" s="25"/>
      <c r="T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32"/>
      <c r="S397" s="25"/>
      <c r="T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32"/>
      <c r="S398" s="25"/>
      <c r="T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32"/>
      <c r="S399" s="25"/>
      <c r="T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32"/>
      <c r="S400" s="25"/>
      <c r="T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32"/>
      <c r="S401" s="25"/>
      <c r="T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32"/>
      <c r="S402" s="25"/>
      <c r="T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32"/>
      <c r="S403" s="25"/>
      <c r="T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32"/>
      <c r="S404" s="25"/>
      <c r="T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32"/>
      <c r="S405" s="25"/>
      <c r="T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32"/>
      <c r="S406" s="25"/>
      <c r="T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32"/>
      <c r="S407" s="25"/>
      <c r="T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32"/>
      <c r="S408" s="25"/>
      <c r="T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32"/>
      <c r="S409" s="25"/>
      <c r="T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32"/>
      <c r="S410" s="25"/>
      <c r="T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32"/>
      <c r="S411" s="25"/>
      <c r="T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32"/>
      <c r="S412" s="25"/>
      <c r="T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32"/>
      <c r="S413" s="25"/>
      <c r="T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32"/>
      <c r="S414" s="25"/>
      <c r="T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32"/>
      <c r="S415" s="25"/>
      <c r="T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32"/>
      <c r="S416" s="25"/>
      <c r="T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32"/>
      <c r="S417" s="25"/>
      <c r="T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32"/>
      <c r="S418" s="25"/>
      <c r="T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32"/>
      <c r="S419" s="25"/>
      <c r="T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32"/>
      <c r="S420" s="25"/>
      <c r="T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32"/>
      <c r="S421" s="25"/>
      <c r="T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32"/>
      <c r="S422" s="25"/>
      <c r="T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32"/>
      <c r="S423" s="25"/>
      <c r="T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32"/>
      <c r="S424" s="25"/>
      <c r="T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32"/>
      <c r="S425" s="25"/>
      <c r="T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32"/>
      <c r="S426" s="25"/>
      <c r="T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32"/>
      <c r="S427" s="25"/>
      <c r="T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32"/>
      <c r="S428" s="25"/>
      <c r="T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32"/>
      <c r="S429" s="25"/>
      <c r="T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32"/>
      <c r="S430" s="25"/>
      <c r="T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32"/>
      <c r="S431" s="25"/>
      <c r="T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32"/>
      <c r="S432" s="25"/>
      <c r="T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32"/>
      <c r="S433" s="25"/>
      <c r="T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32"/>
      <c r="S434" s="25"/>
      <c r="T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32"/>
      <c r="S435" s="25"/>
      <c r="T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32"/>
      <c r="S436" s="25"/>
      <c r="T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32"/>
      <c r="S437" s="25"/>
      <c r="T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32"/>
      <c r="S438" s="25"/>
      <c r="T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32"/>
      <c r="S439" s="25"/>
      <c r="T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32"/>
      <c r="S440" s="25"/>
      <c r="T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32"/>
      <c r="S441" s="25"/>
      <c r="T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32"/>
      <c r="S442" s="25"/>
      <c r="T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32"/>
      <c r="S443" s="25"/>
      <c r="T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32"/>
      <c r="S444" s="25"/>
      <c r="T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32"/>
      <c r="S445" s="25"/>
      <c r="T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32"/>
      <c r="S446" s="25"/>
      <c r="T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32"/>
      <c r="S447" s="25"/>
      <c r="T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32"/>
      <c r="S448" s="25"/>
      <c r="T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32"/>
      <c r="S449" s="25"/>
      <c r="T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32"/>
      <c r="S450" s="25"/>
      <c r="T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32"/>
      <c r="S451" s="25"/>
      <c r="T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32"/>
      <c r="S452" s="25"/>
      <c r="T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32"/>
      <c r="S453" s="25"/>
      <c r="T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32"/>
      <c r="S454" s="25"/>
      <c r="T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32"/>
      <c r="S455" s="25"/>
      <c r="T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32"/>
      <c r="S456" s="25"/>
      <c r="T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32"/>
      <c r="S457" s="25"/>
      <c r="T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32"/>
      <c r="S458" s="25"/>
      <c r="T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32"/>
      <c r="S459" s="25"/>
      <c r="T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32"/>
      <c r="S460" s="25"/>
      <c r="T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32"/>
      <c r="S461" s="25"/>
      <c r="T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32"/>
      <c r="S462" s="25"/>
      <c r="T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32"/>
      <c r="S463" s="25"/>
      <c r="T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32"/>
      <c r="S464" s="25"/>
      <c r="T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32"/>
      <c r="S465" s="25"/>
      <c r="T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32"/>
      <c r="S466" s="25"/>
      <c r="T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32"/>
      <c r="S467" s="25"/>
      <c r="T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32"/>
      <c r="S468" s="25"/>
      <c r="T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32"/>
      <c r="S469" s="25"/>
      <c r="T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32"/>
      <c r="S470" s="25"/>
      <c r="T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32"/>
      <c r="S471" s="25"/>
      <c r="T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32"/>
      <c r="S472" s="25"/>
      <c r="T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32"/>
      <c r="S473" s="25"/>
      <c r="T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32"/>
      <c r="S474" s="25"/>
      <c r="T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32"/>
      <c r="S475" s="25"/>
      <c r="T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32"/>
      <c r="S476" s="25"/>
      <c r="T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32"/>
      <c r="S477" s="25"/>
      <c r="T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32"/>
      <c r="S478" s="25"/>
      <c r="T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32"/>
      <c r="S479" s="25"/>
      <c r="T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32"/>
      <c r="S480" s="25"/>
      <c r="T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32"/>
      <c r="S481" s="25"/>
      <c r="T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32"/>
      <c r="S482" s="25"/>
      <c r="T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32"/>
      <c r="S483" s="25"/>
      <c r="T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32"/>
      <c r="S484" s="25"/>
      <c r="T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32"/>
      <c r="S485" s="25"/>
      <c r="T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32"/>
      <c r="S486" s="25"/>
      <c r="T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32"/>
      <c r="S487" s="25"/>
      <c r="T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32"/>
      <c r="S488" s="25"/>
      <c r="T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32"/>
      <c r="S489" s="25"/>
      <c r="T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32"/>
      <c r="S490" s="25"/>
      <c r="T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32"/>
      <c r="S491" s="25"/>
      <c r="T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32"/>
      <c r="S492" s="25"/>
      <c r="T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32"/>
      <c r="S493" s="25"/>
      <c r="T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32"/>
      <c r="S494" s="25"/>
      <c r="T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32"/>
      <c r="S495" s="25"/>
      <c r="T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32"/>
      <c r="S496" s="25"/>
      <c r="T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32"/>
      <c r="S497" s="25"/>
      <c r="T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32"/>
      <c r="S498" s="25"/>
      <c r="T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32"/>
      <c r="S499" s="25"/>
      <c r="T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32"/>
      <c r="S500" s="25"/>
      <c r="T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32"/>
      <c r="S501" s="25"/>
      <c r="T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32"/>
      <c r="S502" s="25"/>
      <c r="T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32"/>
      <c r="S503" s="25"/>
      <c r="T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32"/>
      <c r="S504" s="25"/>
      <c r="T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32"/>
      <c r="S505" s="25"/>
      <c r="T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32"/>
      <c r="S506" s="25"/>
      <c r="T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32"/>
      <c r="S507" s="25"/>
      <c r="T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32"/>
      <c r="S508" s="25"/>
      <c r="T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32"/>
      <c r="S509" s="25"/>
      <c r="T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32"/>
      <c r="S510" s="25"/>
      <c r="T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32"/>
      <c r="S511" s="25"/>
      <c r="T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32"/>
      <c r="S512" s="25"/>
      <c r="T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32"/>
      <c r="S513" s="25"/>
      <c r="T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32"/>
      <c r="S514" s="25"/>
      <c r="T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32"/>
      <c r="S515" s="25"/>
      <c r="T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32"/>
      <c r="S516" s="25"/>
      <c r="T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32"/>
      <c r="S517" s="25"/>
      <c r="T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32"/>
      <c r="S518" s="25"/>
      <c r="T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32"/>
      <c r="S519" s="25"/>
      <c r="T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32"/>
      <c r="S520" s="25"/>
      <c r="T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32"/>
      <c r="S521" s="25"/>
      <c r="T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32"/>
      <c r="S522" s="25"/>
      <c r="T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32"/>
      <c r="S523" s="25"/>
      <c r="T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32"/>
      <c r="S524" s="25"/>
      <c r="T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32"/>
      <c r="S525" s="25"/>
      <c r="T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32"/>
      <c r="S526" s="25"/>
      <c r="T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32"/>
      <c r="S527" s="25"/>
      <c r="T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32"/>
      <c r="S528" s="25"/>
      <c r="T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32"/>
      <c r="S529" s="25"/>
      <c r="T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32"/>
      <c r="S530" s="25"/>
      <c r="T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32"/>
      <c r="S531" s="25"/>
      <c r="T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32"/>
      <c r="S532" s="25"/>
      <c r="T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32"/>
      <c r="S533" s="25"/>
      <c r="T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32"/>
      <c r="S534" s="25"/>
      <c r="T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32"/>
      <c r="S535" s="25"/>
      <c r="T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32"/>
      <c r="S536" s="25"/>
      <c r="T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32"/>
      <c r="S537" s="25"/>
      <c r="T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32"/>
      <c r="S538" s="25"/>
      <c r="T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32"/>
      <c r="S539" s="25"/>
      <c r="T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32"/>
      <c r="S540" s="25"/>
      <c r="T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32"/>
      <c r="S541" s="25"/>
      <c r="T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32"/>
      <c r="S542" s="25"/>
      <c r="T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32"/>
      <c r="S543" s="25"/>
      <c r="T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32"/>
      <c r="S544" s="25"/>
      <c r="T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32"/>
      <c r="S545" s="25"/>
      <c r="T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32"/>
      <c r="S546" s="25"/>
      <c r="T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32"/>
      <c r="S547" s="25"/>
      <c r="T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32"/>
      <c r="S548" s="25"/>
      <c r="T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32"/>
      <c r="S549" s="25"/>
      <c r="T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32"/>
      <c r="S550" s="25"/>
      <c r="T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32"/>
      <c r="S551" s="25"/>
      <c r="T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32"/>
      <c r="S552" s="25"/>
      <c r="T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32"/>
      <c r="S553" s="25"/>
      <c r="T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32"/>
      <c r="S554" s="25"/>
      <c r="T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32"/>
      <c r="S555" s="25"/>
      <c r="T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32"/>
      <c r="S556" s="25"/>
      <c r="T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32"/>
      <c r="S557" s="25"/>
      <c r="T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32"/>
      <c r="S558" s="25"/>
      <c r="T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32"/>
      <c r="S559" s="25"/>
      <c r="T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32"/>
      <c r="S560" s="25"/>
      <c r="T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32"/>
      <c r="S561" s="25"/>
      <c r="T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32"/>
      <c r="S562" s="25"/>
      <c r="T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32"/>
      <c r="S563" s="25"/>
      <c r="T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32"/>
      <c r="S564" s="25"/>
      <c r="T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32"/>
      <c r="S565" s="25"/>
      <c r="T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32"/>
      <c r="S566" s="25"/>
      <c r="T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32"/>
      <c r="S567" s="25"/>
      <c r="T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32"/>
      <c r="S568" s="25"/>
      <c r="T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32"/>
      <c r="S569" s="25"/>
      <c r="T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32"/>
      <c r="S570" s="25"/>
      <c r="T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32"/>
      <c r="S571" s="25"/>
      <c r="T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32"/>
      <c r="S572" s="25"/>
      <c r="T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32"/>
      <c r="S573" s="25"/>
      <c r="T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32"/>
      <c r="S574" s="25"/>
      <c r="T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32"/>
      <c r="S575" s="25"/>
      <c r="T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32"/>
      <c r="S576" s="25"/>
      <c r="T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32"/>
      <c r="S577" s="25"/>
      <c r="T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32"/>
      <c r="S578" s="25"/>
      <c r="T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32"/>
      <c r="S579" s="25"/>
      <c r="T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32"/>
      <c r="S580" s="25"/>
      <c r="T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32"/>
      <c r="S581" s="25"/>
      <c r="T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32"/>
      <c r="S582" s="25"/>
      <c r="T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32"/>
      <c r="S583" s="25"/>
      <c r="T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32"/>
      <c r="S584" s="25"/>
      <c r="T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32"/>
      <c r="S585" s="25"/>
      <c r="T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32"/>
      <c r="S586" s="25"/>
      <c r="T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32"/>
      <c r="S587" s="25"/>
      <c r="T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32"/>
      <c r="S588" s="25"/>
      <c r="T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32"/>
      <c r="S589" s="25"/>
      <c r="T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32"/>
      <c r="S590" s="25"/>
      <c r="T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32"/>
      <c r="S591" s="25"/>
      <c r="T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32"/>
      <c r="S592" s="25"/>
      <c r="T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32"/>
      <c r="S593" s="25"/>
      <c r="T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32"/>
      <c r="S594" s="25"/>
      <c r="T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32"/>
      <c r="S595" s="25"/>
      <c r="T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32"/>
      <c r="S596" s="25"/>
      <c r="T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32"/>
      <c r="S597" s="25"/>
      <c r="T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32"/>
      <c r="S598" s="25"/>
      <c r="T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32"/>
      <c r="S599" s="25"/>
      <c r="T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32"/>
      <c r="S600" s="25"/>
      <c r="T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32"/>
      <c r="S601" s="25"/>
      <c r="T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32"/>
      <c r="S602" s="25"/>
      <c r="T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32"/>
      <c r="S603" s="25"/>
      <c r="T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32"/>
      <c r="S604" s="25"/>
      <c r="T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32"/>
      <c r="S605" s="25"/>
      <c r="T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32"/>
      <c r="S606" s="25"/>
      <c r="T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32"/>
      <c r="S607" s="25"/>
      <c r="T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32"/>
      <c r="S608" s="25"/>
      <c r="T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32"/>
      <c r="S609" s="25"/>
      <c r="T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32"/>
      <c r="S610" s="25"/>
      <c r="T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32"/>
      <c r="S611" s="25"/>
      <c r="T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32"/>
      <c r="S612" s="25"/>
      <c r="T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32"/>
      <c r="S613" s="25"/>
      <c r="T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32"/>
      <c r="S614" s="25"/>
      <c r="T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32"/>
      <c r="S615" s="25"/>
      <c r="T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32"/>
      <c r="S616" s="25"/>
      <c r="T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32"/>
      <c r="S617" s="25"/>
      <c r="T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32"/>
      <c r="S618" s="25"/>
      <c r="T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32"/>
      <c r="S619" s="25"/>
      <c r="T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32"/>
      <c r="S620" s="25"/>
      <c r="T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32"/>
      <c r="S621" s="25"/>
      <c r="T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32"/>
      <c r="S622" s="25"/>
      <c r="T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32"/>
      <c r="S623" s="25"/>
      <c r="T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32"/>
      <c r="S624" s="25"/>
      <c r="T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32"/>
      <c r="S625" s="25"/>
      <c r="T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32"/>
      <c r="S626" s="25"/>
      <c r="T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32"/>
      <c r="S627" s="25"/>
      <c r="T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32"/>
      <c r="S628" s="25"/>
      <c r="T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32"/>
      <c r="S629" s="25"/>
      <c r="T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32"/>
      <c r="S630" s="25"/>
      <c r="T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32"/>
      <c r="S631" s="25"/>
      <c r="T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32"/>
      <c r="S632" s="25"/>
      <c r="T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32"/>
      <c r="S633" s="25"/>
      <c r="T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32"/>
      <c r="S634" s="25"/>
      <c r="T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32"/>
      <c r="S635" s="25"/>
      <c r="T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32"/>
      <c r="S636" s="25"/>
      <c r="T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32"/>
      <c r="S637" s="25"/>
      <c r="T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32"/>
      <c r="S638" s="25"/>
      <c r="T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32"/>
      <c r="S639" s="25"/>
      <c r="T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32"/>
      <c r="S640" s="25"/>
      <c r="T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32"/>
      <c r="S641" s="25"/>
      <c r="T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32"/>
      <c r="S642" s="25"/>
      <c r="T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32"/>
      <c r="S643" s="25"/>
      <c r="T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32"/>
      <c r="S644" s="25"/>
      <c r="T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32"/>
      <c r="S645" s="25"/>
      <c r="T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32"/>
      <c r="S646" s="25"/>
      <c r="T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32"/>
      <c r="S647" s="25"/>
      <c r="T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32"/>
      <c r="S648" s="25"/>
      <c r="T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32"/>
      <c r="S649" s="25"/>
      <c r="T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32"/>
      <c r="S650" s="25"/>
      <c r="T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32"/>
      <c r="S651" s="25"/>
      <c r="T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32"/>
      <c r="S652" s="25"/>
      <c r="T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32"/>
      <c r="S653" s="25"/>
      <c r="T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32"/>
      <c r="S654" s="25"/>
      <c r="T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32"/>
      <c r="S655" s="25"/>
      <c r="T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32"/>
      <c r="S656" s="25"/>
      <c r="T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32"/>
      <c r="S657" s="25"/>
      <c r="T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32"/>
      <c r="S658" s="25"/>
      <c r="T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32"/>
      <c r="S659" s="25"/>
      <c r="T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32"/>
      <c r="S660" s="25"/>
      <c r="T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32"/>
      <c r="S661" s="25"/>
      <c r="T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32"/>
      <c r="S662" s="25"/>
      <c r="T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32"/>
      <c r="S663" s="25"/>
      <c r="T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32"/>
      <c r="S664" s="25"/>
      <c r="T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32"/>
      <c r="S665" s="25"/>
      <c r="T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32"/>
      <c r="S666" s="25"/>
      <c r="T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32"/>
      <c r="S667" s="25"/>
      <c r="T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32"/>
      <c r="S668" s="25"/>
      <c r="T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32"/>
      <c r="S669" s="25"/>
      <c r="T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32"/>
      <c r="S670" s="25"/>
      <c r="T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32"/>
      <c r="S671" s="25"/>
      <c r="T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32"/>
      <c r="S672" s="25"/>
      <c r="T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32"/>
      <c r="S673" s="25"/>
      <c r="T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32"/>
      <c r="S674" s="25"/>
      <c r="T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32"/>
      <c r="S675" s="25"/>
      <c r="T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32"/>
      <c r="S676" s="25"/>
      <c r="T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32"/>
      <c r="S677" s="25"/>
      <c r="T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32"/>
      <c r="S678" s="25"/>
      <c r="T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32"/>
      <c r="S679" s="25"/>
      <c r="T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32"/>
      <c r="S680" s="25"/>
      <c r="T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32"/>
      <c r="S681" s="25"/>
      <c r="T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32"/>
      <c r="S682" s="25"/>
      <c r="T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32"/>
      <c r="S683" s="25"/>
      <c r="T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32"/>
      <c r="S684" s="25"/>
      <c r="T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32"/>
      <c r="S685" s="25"/>
      <c r="T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32"/>
      <c r="S686" s="25"/>
      <c r="T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32"/>
      <c r="S687" s="25"/>
      <c r="T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32"/>
      <c r="S688" s="25"/>
      <c r="T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32"/>
      <c r="S689" s="25"/>
      <c r="T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32"/>
      <c r="S690" s="25"/>
      <c r="T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32"/>
      <c r="S691" s="25"/>
      <c r="T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32"/>
      <c r="S692" s="25"/>
      <c r="T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32"/>
      <c r="S693" s="25"/>
      <c r="T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32"/>
      <c r="S694" s="25"/>
      <c r="T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32"/>
      <c r="S695" s="25"/>
      <c r="T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32"/>
      <c r="S696" s="25"/>
      <c r="T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32"/>
      <c r="S697" s="25"/>
      <c r="T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32"/>
      <c r="S698" s="25"/>
      <c r="T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32"/>
      <c r="S699" s="25"/>
      <c r="T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32"/>
      <c r="S700" s="25"/>
      <c r="T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32"/>
      <c r="S701" s="25"/>
      <c r="T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32"/>
      <c r="S702" s="25"/>
      <c r="T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32"/>
      <c r="S703" s="25"/>
      <c r="T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32"/>
      <c r="S704" s="25"/>
      <c r="T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32"/>
      <c r="S705" s="25"/>
      <c r="T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32"/>
      <c r="S706" s="25"/>
      <c r="T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32"/>
      <c r="S707" s="25"/>
      <c r="T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32"/>
      <c r="S708" s="25"/>
      <c r="T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32"/>
      <c r="S709" s="25"/>
      <c r="T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32"/>
      <c r="S710" s="25"/>
      <c r="T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32"/>
      <c r="S711" s="25"/>
      <c r="T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32"/>
      <c r="S712" s="25"/>
      <c r="T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32"/>
      <c r="S713" s="25"/>
      <c r="T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32"/>
      <c r="S714" s="25"/>
      <c r="T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32"/>
      <c r="S715" s="25"/>
      <c r="T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32"/>
      <c r="S716" s="25"/>
      <c r="T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32"/>
      <c r="S717" s="25"/>
      <c r="T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32"/>
      <c r="S718" s="25"/>
      <c r="T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32"/>
      <c r="S719" s="25"/>
      <c r="T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32"/>
      <c r="S720" s="25"/>
      <c r="T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32"/>
      <c r="S721" s="25"/>
      <c r="T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32"/>
      <c r="S722" s="25"/>
      <c r="T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32"/>
      <c r="S723" s="25"/>
      <c r="T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32"/>
      <c r="S724" s="25"/>
      <c r="T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32"/>
      <c r="S725" s="25"/>
      <c r="T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32"/>
      <c r="S726" s="25"/>
      <c r="T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32"/>
      <c r="S727" s="25"/>
      <c r="T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32"/>
      <c r="S728" s="25"/>
      <c r="T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32"/>
      <c r="S729" s="25"/>
      <c r="T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32"/>
      <c r="S730" s="25"/>
      <c r="T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32"/>
      <c r="S731" s="25"/>
      <c r="T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32"/>
      <c r="S732" s="25"/>
      <c r="T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32"/>
      <c r="S733" s="25"/>
      <c r="T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32"/>
      <c r="S734" s="25"/>
      <c r="T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32"/>
      <c r="S735" s="25"/>
      <c r="T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32"/>
      <c r="S736" s="25"/>
      <c r="T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32"/>
      <c r="S737" s="25"/>
      <c r="T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32"/>
      <c r="S738" s="25"/>
      <c r="T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32"/>
      <c r="S739" s="25"/>
      <c r="T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32"/>
      <c r="S740" s="25"/>
      <c r="T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32"/>
      <c r="S741" s="25"/>
      <c r="T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32"/>
      <c r="S742" s="25"/>
      <c r="T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32"/>
      <c r="S743" s="25"/>
      <c r="T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32"/>
      <c r="S744" s="25"/>
      <c r="T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32"/>
      <c r="S745" s="25"/>
      <c r="T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32"/>
      <c r="S746" s="25"/>
      <c r="T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32"/>
      <c r="S747" s="25"/>
      <c r="T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32"/>
      <c r="S748" s="25"/>
      <c r="T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32"/>
      <c r="S749" s="25"/>
      <c r="T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32"/>
      <c r="S750" s="25"/>
      <c r="T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32"/>
      <c r="S751" s="25"/>
      <c r="T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32"/>
      <c r="S752" s="25"/>
      <c r="T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32"/>
      <c r="S753" s="25"/>
      <c r="T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32"/>
      <c r="S754" s="25"/>
      <c r="T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32"/>
      <c r="S755" s="25"/>
      <c r="T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32"/>
      <c r="S756" s="25"/>
      <c r="T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32"/>
      <c r="S757" s="25"/>
      <c r="T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32"/>
      <c r="S758" s="25"/>
      <c r="T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32"/>
      <c r="S759" s="25"/>
      <c r="T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32"/>
      <c r="S760" s="25"/>
      <c r="T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32"/>
      <c r="S761" s="25"/>
      <c r="T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32"/>
      <c r="S762" s="25"/>
      <c r="T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32"/>
      <c r="S763" s="25"/>
      <c r="T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32"/>
      <c r="S764" s="25"/>
      <c r="T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32"/>
      <c r="S765" s="25"/>
      <c r="T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32"/>
      <c r="S766" s="25"/>
      <c r="T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32"/>
      <c r="S767" s="25"/>
      <c r="T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32"/>
      <c r="S768" s="25"/>
      <c r="T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32"/>
      <c r="S769" s="25"/>
      <c r="T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32"/>
      <c r="S770" s="25"/>
      <c r="T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32"/>
      <c r="S771" s="25"/>
      <c r="T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32"/>
      <c r="S772" s="25"/>
      <c r="T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32"/>
      <c r="S773" s="25"/>
      <c r="T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32"/>
      <c r="S774" s="25"/>
      <c r="T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32"/>
      <c r="S775" s="25"/>
      <c r="T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32"/>
      <c r="S776" s="25"/>
      <c r="T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32"/>
      <c r="S777" s="25"/>
      <c r="T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32"/>
      <c r="S778" s="25"/>
      <c r="T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32"/>
      <c r="S779" s="25"/>
      <c r="T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32"/>
      <c r="S780" s="25"/>
      <c r="T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32"/>
      <c r="S781" s="25"/>
      <c r="T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32"/>
      <c r="S782" s="25"/>
      <c r="T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32"/>
      <c r="S783" s="25"/>
      <c r="T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32"/>
      <c r="S784" s="25"/>
      <c r="T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32"/>
      <c r="S785" s="25"/>
      <c r="T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32"/>
      <c r="S786" s="25"/>
      <c r="T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32"/>
      <c r="S787" s="25"/>
      <c r="T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32"/>
      <c r="S788" s="25"/>
      <c r="T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32"/>
      <c r="S789" s="25"/>
      <c r="T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32"/>
      <c r="S790" s="25"/>
      <c r="T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32"/>
      <c r="S791" s="25"/>
      <c r="T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32"/>
      <c r="S792" s="25"/>
      <c r="T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32"/>
      <c r="S793" s="25"/>
      <c r="T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32"/>
      <c r="S794" s="25"/>
      <c r="T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32"/>
      <c r="S795" s="25"/>
      <c r="T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32"/>
      <c r="S796" s="25"/>
      <c r="T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32"/>
      <c r="S797" s="25"/>
      <c r="T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32"/>
      <c r="S798" s="25"/>
      <c r="T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32"/>
      <c r="S799" s="25"/>
      <c r="T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32"/>
      <c r="S800" s="25"/>
      <c r="T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32"/>
      <c r="S801" s="25"/>
      <c r="T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32"/>
      <c r="S802" s="25"/>
      <c r="T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32"/>
      <c r="S803" s="25"/>
      <c r="T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32"/>
      <c r="S804" s="25"/>
      <c r="T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32"/>
      <c r="S805" s="25"/>
      <c r="T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32"/>
      <c r="S806" s="25"/>
      <c r="T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32"/>
      <c r="S807" s="25"/>
      <c r="T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32"/>
      <c r="S808" s="25"/>
      <c r="T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32"/>
      <c r="S809" s="25"/>
      <c r="T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32"/>
      <c r="S810" s="25"/>
      <c r="T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32"/>
      <c r="S811" s="25"/>
      <c r="T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32"/>
      <c r="S812" s="25"/>
      <c r="T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32"/>
      <c r="S813" s="25"/>
      <c r="T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32"/>
      <c r="S814" s="25"/>
      <c r="T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32"/>
      <c r="S815" s="25"/>
      <c r="T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32"/>
      <c r="S816" s="25"/>
      <c r="T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32"/>
      <c r="S817" s="25"/>
      <c r="T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32"/>
      <c r="S818" s="25"/>
      <c r="T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32"/>
      <c r="S819" s="25"/>
      <c r="T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32"/>
      <c r="S820" s="25"/>
      <c r="T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32"/>
      <c r="S821" s="25"/>
      <c r="T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32"/>
      <c r="S822" s="25"/>
      <c r="T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32"/>
      <c r="S823" s="25"/>
      <c r="T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32"/>
      <c r="S824" s="25"/>
      <c r="T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32"/>
      <c r="S825" s="25"/>
      <c r="T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32"/>
      <c r="S826" s="25"/>
      <c r="T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32"/>
      <c r="S827" s="25"/>
      <c r="T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32"/>
      <c r="S828" s="25"/>
      <c r="T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32"/>
      <c r="S829" s="25"/>
      <c r="T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32"/>
      <c r="S830" s="25"/>
      <c r="T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32"/>
      <c r="S831" s="25"/>
      <c r="T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32"/>
      <c r="S832" s="25"/>
      <c r="T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32"/>
      <c r="S833" s="25"/>
      <c r="T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32"/>
      <c r="S834" s="25"/>
      <c r="T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32"/>
      <c r="S835" s="25"/>
      <c r="T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32"/>
      <c r="S836" s="25"/>
      <c r="T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32"/>
      <c r="S837" s="25"/>
      <c r="T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32"/>
      <c r="S838" s="25"/>
      <c r="T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32"/>
      <c r="S839" s="25"/>
      <c r="T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32"/>
      <c r="S840" s="25"/>
      <c r="T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32"/>
      <c r="S841" s="25"/>
      <c r="T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32"/>
      <c r="S842" s="25"/>
      <c r="T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32"/>
      <c r="S843" s="25"/>
      <c r="T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32"/>
      <c r="S844" s="25"/>
      <c r="T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32"/>
      <c r="S845" s="25"/>
      <c r="T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32"/>
      <c r="S846" s="25"/>
      <c r="T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32"/>
      <c r="S847" s="25"/>
      <c r="T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32"/>
      <c r="S848" s="25"/>
      <c r="T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32"/>
      <c r="S849" s="25"/>
      <c r="T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32"/>
      <c r="S850" s="25"/>
      <c r="T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32"/>
      <c r="S851" s="25"/>
      <c r="T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32"/>
      <c r="S852" s="25"/>
      <c r="T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32"/>
      <c r="S853" s="25"/>
      <c r="T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32"/>
      <c r="S854" s="25"/>
      <c r="T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32"/>
      <c r="S855" s="25"/>
      <c r="T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32"/>
      <c r="S856" s="25"/>
      <c r="T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32"/>
      <c r="S857" s="25"/>
      <c r="T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32"/>
      <c r="S858" s="25"/>
      <c r="T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32"/>
      <c r="S859" s="25"/>
      <c r="T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32"/>
      <c r="S860" s="25"/>
      <c r="T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32"/>
      <c r="S861" s="25"/>
      <c r="T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32"/>
      <c r="S862" s="25"/>
      <c r="T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32"/>
      <c r="S863" s="25"/>
      <c r="T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32"/>
      <c r="S864" s="25"/>
      <c r="T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32"/>
      <c r="S865" s="25"/>
      <c r="T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32"/>
      <c r="S866" s="25"/>
      <c r="T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32"/>
      <c r="S867" s="25"/>
      <c r="T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32"/>
      <c r="S868" s="25"/>
      <c r="T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32"/>
      <c r="S869" s="25"/>
      <c r="T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32"/>
      <c r="S870" s="25"/>
      <c r="T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32"/>
      <c r="S871" s="25"/>
      <c r="T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32"/>
      <c r="S872" s="25"/>
      <c r="T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32"/>
      <c r="S873" s="25"/>
      <c r="T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32"/>
      <c r="S874" s="25"/>
      <c r="T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32"/>
      <c r="S875" s="25"/>
      <c r="T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32"/>
      <c r="S876" s="25"/>
      <c r="T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32"/>
      <c r="S877" s="25"/>
      <c r="T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32"/>
      <c r="S878" s="25"/>
      <c r="T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32"/>
      <c r="S879" s="25"/>
      <c r="T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32"/>
      <c r="S880" s="25"/>
      <c r="T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32"/>
      <c r="S881" s="25"/>
      <c r="T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32"/>
      <c r="S882" s="25"/>
      <c r="T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32"/>
      <c r="S883" s="25"/>
      <c r="T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32"/>
      <c r="S884" s="25"/>
      <c r="T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32"/>
      <c r="S885" s="25"/>
      <c r="T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32"/>
      <c r="S886" s="25"/>
      <c r="T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32"/>
      <c r="S887" s="25"/>
      <c r="T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32"/>
      <c r="S888" s="25"/>
      <c r="T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32"/>
      <c r="S889" s="25"/>
      <c r="T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32"/>
      <c r="S890" s="25"/>
      <c r="T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32"/>
      <c r="S891" s="25"/>
      <c r="T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32"/>
      <c r="S892" s="25"/>
      <c r="T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32"/>
      <c r="S893" s="25"/>
      <c r="T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32"/>
      <c r="S894" s="25"/>
      <c r="T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32"/>
      <c r="S895" s="25"/>
      <c r="T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32"/>
      <c r="S896" s="25"/>
      <c r="T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32"/>
      <c r="S897" s="25"/>
      <c r="T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32"/>
      <c r="S898" s="25"/>
      <c r="T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32"/>
      <c r="S899" s="25"/>
      <c r="T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32"/>
      <c r="S900" s="25"/>
      <c r="T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32"/>
      <c r="S901" s="25"/>
      <c r="T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32"/>
      <c r="S902" s="25"/>
      <c r="T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32"/>
      <c r="S903" s="25"/>
      <c r="T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32"/>
      <c r="S904" s="25"/>
      <c r="T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32"/>
      <c r="S905" s="25"/>
      <c r="T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32"/>
      <c r="S906" s="25"/>
      <c r="T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32"/>
      <c r="S907" s="25"/>
      <c r="T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32"/>
      <c r="S908" s="25"/>
      <c r="T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32"/>
      <c r="S909" s="25"/>
      <c r="T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32"/>
      <c r="S910" s="25"/>
      <c r="T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32"/>
      <c r="S911" s="25"/>
      <c r="T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32"/>
      <c r="S912" s="25"/>
      <c r="T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32"/>
      <c r="S913" s="25"/>
      <c r="T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32"/>
      <c r="S914" s="25"/>
      <c r="T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32"/>
      <c r="S915" s="25"/>
      <c r="T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32"/>
      <c r="S916" s="25"/>
      <c r="T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32"/>
      <c r="S917" s="25"/>
      <c r="T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32"/>
      <c r="S918" s="25"/>
      <c r="T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32"/>
      <c r="S919" s="25"/>
      <c r="T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32"/>
      <c r="S920" s="25"/>
      <c r="T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32"/>
      <c r="S921" s="25"/>
      <c r="T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32"/>
      <c r="S922" s="25"/>
      <c r="T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32"/>
      <c r="S923" s="25"/>
      <c r="T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32"/>
      <c r="S924" s="25"/>
      <c r="T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32"/>
      <c r="S925" s="25"/>
      <c r="T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32"/>
      <c r="S926" s="25"/>
      <c r="T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32"/>
      <c r="S927" s="25"/>
      <c r="T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32"/>
      <c r="S928" s="25"/>
      <c r="T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32"/>
      <c r="S929" s="25"/>
      <c r="T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32"/>
      <c r="S930" s="25"/>
      <c r="T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32"/>
      <c r="S931" s="25"/>
      <c r="T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32"/>
      <c r="S932" s="25"/>
      <c r="T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32"/>
      <c r="S933" s="25"/>
      <c r="T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32"/>
      <c r="S934" s="25"/>
      <c r="T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32"/>
      <c r="S935" s="25"/>
      <c r="T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32"/>
      <c r="S936" s="25"/>
      <c r="T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32"/>
      <c r="S937" s="25"/>
      <c r="T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32"/>
      <c r="S938" s="25"/>
      <c r="T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32"/>
      <c r="S939" s="25"/>
      <c r="T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32"/>
      <c r="S940" s="25"/>
      <c r="T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32"/>
      <c r="S941" s="25"/>
      <c r="T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32"/>
      <c r="S942" s="25"/>
      <c r="T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32"/>
      <c r="S943" s="25"/>
      <c r="T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32"/>
      <c r="S944" s="25"/>
      <c r="T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32"/>
      <c r="S945" s="25"/>
      <c r="T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32"/>
      <c r="S946" s="25"/>
      <c r="T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32"/>
      <c r="S947" s="25"/>
      <c r="T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32"/>
      <c r="S948" s="25"/>
      <c r="T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32"/>
      <c r="S949" s="25"/>
      <c r="T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32"/>
      <c r="S950" s="25"/>
      <c r="T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32"/>
      <c r="S951" s="25"/>
      <c r="T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32"/>
      <c r="S952" s="25"/>
      <c r="T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32"/>
      <c r="S953" s="25"/>
      <c r="T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32"/>
      <c r="S954" s="25"/>
      <c r="T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32"/>
      <c r="S955" s="25"/>
      <c r="T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32"/>
      <c r="S956" s="25"/>
      <c r="T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32"/>
      <c r="S957" s="25"/>
      <c r="T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32"/>
      <c r="S958" s="25"/>
      <c r="T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32"/>
      <c r="S959" s="25"/>
      <c r="T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32"/>
      <c r="S960" s="25"/>
      <c r="T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32"/>
      <c r="S961" s="25"/>
      <c r="T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32"/>
      <c r="S962" s="25"/>
      <c r="T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32"/>
      <c r="S963" s="25"/>
      <c r="T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32"/>
      <c r="S964" s="25"/>
      <c r="T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32"/>
      <c r="S965" s="25"/>
      <c r="T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32"/>
      <c r="S966" s="25"/>
      <c r="T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32"/>
      <c r="S967" s="25"/>
      <c r="T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32"/>
      <c r="S968" s="25"/>
      <c r="T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32"/>
      <c r="S969" s="25"/>
      <c r="T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32"/>
      <c r="S970" s="25"/>
      <c r="T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32"/>
      <c r="S971" s="25"/>
      <c r="T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32"/>
      <c r="S972" s="25"/>
      <c r="T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32"/>
      <c r="S973" s="25"/>
      <c r="T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32"/>
      <c r="S974" s="25"/>
      <c r="T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32"/>
      <c r="S975" s="25"/>
      <c r="T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32"/>
      <c r="S976" s="25"/>
      <c r="T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32"/>
      <c r="S977" s="25"/>
      <c r="T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32"/>
      <c r="S978" s="25"/>
      <c r="T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32"/>
      <c r="S979" s="25"/>
      <c r="T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32"/>
      <c r="S980" s="25"/>
      <c r="T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32"/>
      <c r="S981" s="25"/>
      <c r="T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32"/>
      <c r="S982" s="25"/>
      <c r="T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32"/>
      <c r="S983" s="25"/>
      <c r="T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32"/>
      <c r="S984" s="25"/>
      <c r="T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32"/>
      <c r="S985" s="25"/>
      <c r="T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32"/>
      <c r="S986" s="25"/>
      <c r="T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32"/>
      <c r="S987" s="25"/>
      <c r="T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32"/>
      <c r="S988" s="25"/>
      <c r="T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32"/>
      <c r="S989" s="25"/>
      <c r="T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32"/>
      <c r="S990" s="25"/>
      <c r="T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32"/>
      <c r="S991" s="25"/>
      <c r="T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32"/>
      <c r="S992" s="25"/>
      <c r="T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32"/>
      <c r="S993" s="25"/>
      <c r="T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32"/>
      <c r="S994" s="25"/>
      <c r="T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32"/>
      <c r="S995" s="25"/>
      <c r="T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32"/>
      <c r="S996" s="25"/>
      <c r="T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32"/>
      <c r="S997" s="25"/>
      <c r="T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32"/>
      <c r="S998" s="25"/>
      <c r="T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32"/>
      <c r="S999" s="25"/>
      <c r="T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32"/>
      <c r="S1000" s="25"/>
      <c r="T1000" s="25"/>
    </row>
  </sheetData>
  <mergeCells count="15">
    <mergeCell ref="F3:I3"/>
    <mergeCell ref="A1:T2"/>
    <mergeCell ref="A3:A4"/>
    <mergeCell ref="B3:B4"/>
    <mergeCell ref="C3:C4"/>
    <mergeCell ref="D3:D4"/>
    <mergeCell ref="S3:S4"/>
    <mergeCell ref="T3:T4"/>
    <mergeCell ref="J3:M3"/>
    <mergeCell ref="N3:Q3"/>
    <mergeCell ref="R3:R4"/>
    <mergeCell ref="A5:S5"/>
    <mergeCell ref="A8:S8"/>
    <mergeCell ref="A11:S11"/>
    <mergeCell ref="E3:E4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4.0"/>
    <col customWidth="1" min="2" max="2" width="25.0"/>
    <col customWidth="1" min="3" max="3" width="7.14"/>
    <col customWidth="1" min="4" max="4" width="6.14"/>
    <col customWidth="1" min="5" max="5" width="16.0"/>
    <col customWidth="1" min="6" max="8" width="5.29"/>
    <col customWidth="1" min="9" max="9" width="4.29"/>
    <col customWidth="1" min="10" max="12" width="5.29"/>
    <col customWidth="1" min="13" max="13" width="4.29"/>
    <col customWidth="1" min="14" max="17" width="5.29"/>
    <col customWidth="1" min="18" max="18" width="6.0"/>
    <col customWidth="1" min="19" max="19" width="8.0"/>
    <col customWidth="1" min="20" max="20" width="11.57"/>
    <col customWidth="1" min="21" max="26" width="8.71"/>
  </cols>
  <sheetData>
    <row r="1" ht="15.0" customHeight="1">
      <c r="A1" s="1" t="s">
        <v>884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/>
      <c r="V1" s="4"/>
      <c r="W1" s="4"/>
      <c r="X1" s="4"/>
      <c r="Y1" s="4"/>
      <c r="Z1" s="4"/>
    </row>
    <row r="2" ht="53.25" customHeight="1">
      <c r="A2" s="5"/>
      <c r="T2" s="6"/>
      <c r="U2" s="4"/>
      <c r="V2" s="4"/>
      <c r="W2" s="4"/>
      <c r="X2" s="4"/>
      <c r="Y2" s="4"/>
      <c r="Z2" s="4"/>
    </row>
    <row r="3" ht="12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471</v>
      </c>
      <c r="G3" s="11"/>
      <c r="H3" s="11"/>
      <c r="I3" s="12"/>
      <c r="J3" s="10" t="s">
        <v>9</v>
      </c>
      <c r="K3" s="11"/>
      <c r="L3" s="11"/>
      <c r="M3" s="12"/>
      <c r="N3" s="10" t="s">
        <v>8</v>
      </c>
      <c r="O3" s="11"/>
      <c r="P3" s="11"/>
      <c r="Q3" s="12"/>
      <c r="R3" s="13" t="s">
        <v>10</v>
      </c>
      <c r="S3" s="9" t="s">
        <v>11</v>
      </c>
      <c r="T3" s="15" t="s">
        <v>12</v>
      </c>
      <c r="U3" s="16"/>
      <c r="V3" s="16"/>
      <c r="W3" s="16"/>
      <c r="X3" s="16"/>
      <c r="Y3" s="16"/>
      <c r="Z3" s="16"/>
    </row>
    <row r="4" ht="23.25" customHeight="1">
      <c r="A4" s="17"/>
      <c r="B4" s="18"/>
      <c r="C4" s="18"/>
      <c r="D4" s="18"/>
      <c r="E4" s="18"/>
      <c r="F4" s="19">
        <v>1.0</v>
      </c>
      <c r="G4" s="20">
        <v>2.0</v>
      </c>
      <c r="H4" s="20">
        <v>3.0</v>
      </c>
      <c r="I4" s="21" t="s">
        <v>13</v>
      </c>
      <c r="J4" s="19">
        <v>1.0</v>
      </c>
      <c r="K4" s="20">
        <v>2.0</v>
      </c>
      <c r="L4" s="20">
        <v>3.0</v>
      </c>
      <c r="M4" s="21" t="s">
        <v>13</v>
      </c>
      <c r="N4" s="19">
        <v>1.0</v>
      </c>
      <c r="O4" s="20">
        <v>2.0</v>
      </c>
      <c r="P4" s="20">
        <v>3.0</v>
      </c>
      <c r="Q4" s="21" t="s">
        <v>13</v>
      </c>
      <c r="R4" s="22"/>
      <c r="S4" s="18"/>
      <c r="T4" s="23"/>
      <c r="U4" s="16"/>
      <c r="V4" s="16"/>
      <c r="W4" s="16"/>
      <c r="X4" s="16"/>
      <c r="Y4" s="16"/>
      <c r="Z4" s="16"/>
    </row>
    <row r="5" ht="14.25" customHeight="1">
      <c r="A5" s="24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5"/>
    </row>
    <row r="6" ht="14.25" customHeight="1">
      <c r="A6" s="34" t="s">
        <v>885</v>
      </c>
      <c r="B6" s="34" t="s">
        <v>886</v>
      </c>
      <c r="C6" s="34" t="s">
        <v>887</v>
      </c>
      <c r="D6" s="34" t="str">
        <f>"1,2767"</f>
        <v>1,2767</v>
      </c>
      <c r="E6" s="34" t="s">
        <v>27</v>
      </c>
      <c r="F6" s="37" t="s">
        <v>467</v>
      </c>
      <c r="G6" s="34" t="s">
        <v>338</v>
      </c>
      <c r="H6" s="34" t="s">
        <v>445</v>
      </c>
      <c r="I6" s="37"/>
      <c r="J6" s="34" t="s">
        <v>888</v>
      </c>
      <c r="K6" s="34" t="s">
        <v>401</v>
      </c>
      <c r="L6" s="37"/>
      <c r="M6" s="37"/>
      <c r="N6" s="34" t="s">
        <v>338</v>
      </c>
      <c r="O6" s="34" t="s">
        <v>445</v>
      </c>
      <c r="P6" s="37"/>
      <c r="Q6" s="37"/>
      <c r="R6" s="39">
        <v>222.5</v>
      </c>
      <c r="S6" s="34" t="str">
        <f>"284,0658"</f>
        <v>284,0658</v>
      </c>
      <c r="T6" s="34"/>
    </row>
    <row r="7" ht="14.25" customHeight="1">
      <c r="A7" s="45" t="s">
        <v>485</v>
      </c>
      <c r="B7" s="45" t="s">
        <v>486</v>
      </c>
      <c r="C7" s="45" t="s">
        <v>487</v>
      </c>
      <c r="D7" s="45" t="str">
        <f>"1,3305"</f>
        <v>1,3305</v>
      </c>
      <c r="E7" s="45" t="s">
        <v>491</v>
      </c>
      <c r="F7" s="45" t="s">
        <v>638</v>
      </c>
      <c r="G7" s="46"/>
      <c r="H7" s="46"/>
      <c r="I7" s="46"/>
      <c r="J7" s="45" t="s">
        <v>492</v>
      </c>
      <c r="K7" s="46"/>
      <c r="L7" s="46"/>
      <c r="M7" s="46"/>
      <c r="N7" s="45" t="s">
        <v>638</v>
      </c>
      <c r="O7" s="46"/>
      <c r="P7" s="46"/>
      <c r="Q7" s="46"/>
      <c r="R7" s="47" t="s">
        <v>889</v>
      </c>
      <c r="S7" s="45" t="s">
        <v>890</v>
      </c>
      <c r="T7" s="45"/>
    </row>
    <row r="8" ht="14.25" customHeight="1">
      <c r="A8" s="41" t="s">
        <v>485</v>
      </c>
      <c r="B8" s="41" t="s">
        <v>493</v>
      </c>
      <c r="C8" s="41" t="s">
        <v>487</v>
      </c>
      <c r="D8" s="41" t="str">
        <f>"1,3438"</f>
        <v>1,3438</v>
      </c>
      <c r="E8" s="41" t="s">
        <v>491</v>
      </c>
      <c r="F8" s="41" t="s">
        <v>638</v>
      </c>
      <c r="G8" s="43"/>
      <c r="H8" s="43"/>
      <c r="I8" s="43"/>
      <c r="J8" s="41" t="s">
        <v>492</v>
      </c>
      <c r="K8" s="43"/>
      <c r="L8" s="43"/>
      <c r="M8" s="43"/>
      <c r="N8" s="41" t="s">
        <v>638</v>
      </c>
      <c r="O8" s="43"/>
      <c r="P8" s="43"/>
      <c r="Q8" s="43"/>
      <c r="R8" s="44" t="s">
        <v>889</v>
      </c>
      <c r="S8" s="41" t="s">
        <v>891</v>
      </c>
      <c r="T8" s="41"/>
    </row>
    <row r="9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32"/>
      <c r="S9" s="25"/>
      <c r="T9" s="25"/>
    </row>
    <row r="10" ht="14.25" customHeight="1">
      <c r="A10" s="30" t="s">
        <v>43</v>
      </c>
      <c r="T10" s="25"/>
    </row>
    <row r="11" ht="14.25" customHeight="1">
      <c r="A11" s="34" t="s">
        <v>892</v>
      </c>
      <c r="B11" s="34" t="s">
        <v>893</v>
      </c>
      <c r="C11" s="34" t="s">
        <v>894</v>
      </c>
      <c r="D11" s="34" t="str">
        <f>"1,2019"</f>
        <v>1,2019</v>
      </c>
      <c r="E11" s="34" t="s">
        <v>507</v>
      </c>
      <c r="F11" s="34" t="s">
        <v>895</v>
      </c>
      <c r="G11" s="34" t="s">
        <v>339</v>
      </c>
      <c r="H11" s="34" t="s">
        <v>457</v>
      </c>
      <c r="I11" s="37"/>
      <c r="J11" s="34" t="s">
        <v>420</v>
      </c>
      <c r="K11" s="34" t="s">
        <v>424</v>
      </c>
      <c r="L11" s="37" t="s">
        <v>402</v>
      </c>
      <c r="M11" s="37"/>
      <c r="N11" s="37" t="s">
        <v>61</v>
      </c>
      <c r="O11" s="37" t="s">
        <v>32</v>
      </c>
      <c r="P11" s="34" t="s">
        <v>32</v>
      </c>
      <c r="Q11" s="37"/>
      <c r="R11" s="39">
        <v>257.5</v>
      </c>
      <c r="S11" s="34" t="str">
        <f>"309,4893"</f>
        <v>309,4893</v>
      </c>
      <c r="T11" s="34"/>
    </row>
    <row r="12" ht="14.25" customHeight="1">
      <c r="A12" s="45" t="s">
        <v>896</v>
      </c>
      <c r="B12" s="45" t="s">
        <v>897</v>
      </c>
      <c r="C12" s="45" t="s">
        <v>898</v>
      </c>
      <c r="D12" s="45" t="str">
        <f>"1,1790"</f>
        <v>1,1790</v>
      </c>
      <c r="E12" s="45" t="s">
        <v>27</v>
      </c>
      <c r="F12" s="45" t="s">
        <v>443</v>
      </c>
      <c r="G12" s="45" t="s">
        <v>444</v>
      </c>
      <c r="H12" s="46" t="s">
        <v>895</v>
      </c>
      <c r="I12" s="46"/>
      <c r="J12" s="45" t="s">
        <v>412</v>
      </c>
      <c r="K12" s="45" t="s">
        <v>431</v>
      </c>
      <c r="L12" s="46" t="s">
        <v>413</v>
      </c>
      <c r="M12" s="46"/>
      <c r="N12" s="45" t="s">
        <v>338</v>
      </c>
      <c r="O12" s="46" t="s">
        <v>445</v>
      </c>
      <c r="P12" s="45" t="s">
        <v>445</v>
      </c>
      <c r="Q12" s="46"/>
      <c r="R12" s="47">
        <v>235.0</v>
      </c>
      <c r="S12" s="45" t="str">
        <f>"277,0650"</f>
        <v>277,0650</v>
      </c>
      <c r="T12" s="45"/>
    </row>
    <row r="13" ht="14.25" customHeight="1">
      <c r="A13" s="41" t="s">
        <v>899</v>
      </c>
      <c r="B13" s="41" t="s">
        <v>900</v>
      </c>
      <c r="C13" s="41" t="s">
        <v>49</v>
      </c>
      <c r="D13" s="41" t="str">
        <f>"1,1809"</f>
        <v>1,1809</v>
      </c>
      <c r="E13" s="41" t="s">
        <v>27</v>
      </c>
      <c r="F13" s="41" t="s">
        <v>413</v>
      </c>
      <c r="G13" s="41" t="s">
        <v>449</v>
      </c>
      <c r="H13" s="41" t="s">
        <v>443</v>
      </c>
      <c r="I13" s="43"/>
      <c r="J13" s="41" t="s">
        <v>393</v>
      </c>
      <c r="K13" s="41" t="s">
        <v>394</v>
      </c>
      <c r="L13" s="41" t="s">
        <v>500</v>
      </c>
      <c r="M13" s="43"/>
      <c r="N13" s="41" t="s">
        <v>443</v>
      </c>
      <c r="O13" s="41" t="s">
        <v>445</v>
      </c>
      <c r="P13" s="43"/>
      <c r="Q13" s="43"/>
      <c r="R13" s="44">
        <v>202.5</v>
      </c>
      <c r="S13" s="41" t="str">
        <f>"239,1322"</f>
        <v>239,1322</v>
      </c>
      <c r="T13" s="41"/>
    </row>
    <row r="14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32"/>
      <c r="S14" s="25"/>
      <c r="T14" s="25"/>
    </row>
    <row r="15" ht="14.25" customHeight="1">
      <c r="A15" s="30" t="s">
        <v>16</v>
      </c>
      <c r="T15" s="25"/>
    </row>
    <row r="16" ht="14.25" customHeight="1">
      <c r="A16" s="26" t="s">
        <v>901</v>
      </c>
      <c r="B16" s="26" t="s">
        <v>902</v>
      </c>
      <c r="C16" s="26" t="s">
        <v>25</v>
      </c>
      <c r="D16" s="26" t="str">
        <f>"1,1076"</f>
        <v>1,1076</v>
      </c>
      <c r="E16" s="26" t="s">
        <v>27</v>
      </c>
      <c r="F16" s="27" t="s">
        <v>467</v>
      </c>
      <c r="G16" s="27" t="s">
        <v>338</v>
      </c>
      <c r="H16" s="26" t="s">
        <v>338</v>
      </c>
      <c r="I16" s="27"/>
      <c r="J16" s="26" t="s">
        <v>419</v>
      </c>
      <c r="K16" s="27" t="s">
        <v>424</v>
      </c>
      <c r="L16" s="27" t="s">
        <v>424</v>
      </c>
      <c r="M16" s="27"/>
      <c r="N16" s="26" t="s">
        <v>903</v>
      </c>
      <c r="O16" s="26" t="s">
        <v>30</v>
      </c>
      <c r="P16" s="27"/>
      <c r="Q16" s="27"/>
      <c r="R16" s="28" t="s">
        <v>280</v>
      </c>
      <c r="S16" s="26" t="s">
        <v>904</v>
      </c>
      <c r="T16" s="26"/>
    </row>
    <row r="17" ht="1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32"/>
      <c r="S17" s="25"/>
      <c r="T17" s="25"/>
    </row>
    <row r="18" ht="14.25" customHeight="1">
      <c r="A18" s="30" t="s">
        <v>88</v>
      </c>
      <c r="T18" s="25"/>
    </row>
    <row r="19" ht="14.25" customHeight="1">
      <c r="A19" s="26" t="s">
        <v>905</v>
      </c>
      <c r="B19" s="26" t="s">
        <v>906</v>
      </c>
      <c r="C19" s="26" t="s">
        <v>423</v>
      </c>
      <c r="D19" s="26" t="str">
        <f>"1,0454"</f>
        <v>1,0454</v>
      </c>
      <c r="E19" s="26" t="s">
        <v>27</v>
      </c>
      <c r="F19" s="27" t="s">
        <v>338</v>
      </c>
      <c r="G19" s="26" t="s">
        <v>338</v>
      </c>
      <c r="H19" s="26" t="s">
        <v>445</v>
      </c>
      <c r="I19" s="27"/>
      <c r="J19" s="27" t="s">
        <v>419</v>
      </c>
      <c r="K19" s="26" t="s">
        <v>402</v>
      </c>
      <c r="L19" s="26" t="s">
        <v>412</v>
      </c>
      <c r="M19" s="27"/>
      <c r="N19" s="26" t="s">
        <v>32</v>
      </c>
      <c r="O19" s="26" t="s">
        <v>83</v>
      </c>
      <c r="P19" s="26" t="s">
        <v>132</v>
      </c>
      <c r="Q19" s="27"/>
      <c r="R19" s="28">
        <v>277.5</v>
      </c>
      <c r="S19" s="26" t="str">
        <f>"290,0985"</f>
        <v>290,0985</v>
      </c>
      <c r="T19" s="26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32"/>
      <c r="S20" s="25"/>
      <c r="T20" s="25"/>
    </row>
    <row r="21" ht="14.25" customHeight="1">
      <c r="A21" s="30" t="s">
        <v>124</v>
      </c>
      <c r="T21" s="25"/>
    </row>
    <row r="22" ht="14.25" customHeight="1">
      <c r="A22" s="26" t="s">
        <v>907</v>
      </c>
      <c r="B22" s="26" t="s">
        <v>908</v>
      </c>
      <c r="C22" s="26" t="s">
        <v>434</v>
      </c>
      <c r="D22" s="26" t="str">
        <f>"0,9916"</f>
        <v>0,9916</v>
      </c>
      <c r="E22" s="26" t="s">
        <v>27</v>
      </c>
      <c r="F22" s="27" t="s">
        <v>31</v>
      </c>
      <c r="G22" s="27" t="s">
        <v>31</v>
      </c>
      <c r="H22" s="27" t="s">
        <v>31</v>
      </c>
      <c r="I22" s="27"/>
      <c r="J22" s="27"/>
      <c r="K22" s="27"/>
      <c r="L22" s="27"/>
      <c r="M22" s="27"/>
      <c r="N22" s="27"/>
      <c r="O22" s="27"/>
      <c r="P22" s="27"/>
      <c r="Q22" s="27"/>
      <c r="R22" s="28">
        <v>0.0</v>
      </c>
      <c r="S22" s="26" t="str">
        <f>"0,0000"</f>
        <v>0,0000</v>
      </c>
      <c r="T22" s="26"/>
    </row>
    <row r="23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2"/>
      <c r="S23" s="25"/>
      <c r="T23" s="25"/>
    </row>
    <row r="24" ht="14.25" customHeight="1">
      <c r="A24" s="30" t="s">
        <v>133</v>
      </c>
      <c r="T24" s="25"/>
    </row>
    <row r="25" ht="14.25" customHeight="1">
      <c r="A25" s="34" t="s">
        <v>909</v>
      </c>
      <c r="B25" s="34" t="s">
        <v>910</v>
      </c>
      <c r="C25" s="34" t="s">
        <v>911</v>
      </c>
      <c r="D25" s="34" t="str">
        <f>"0,9323"</f>
        <v>0,9323</v>
      </c>
      <c r="E25" s="34" t="s">
        <v>27</v>
      </c>
      <c r="F25" s="37" t="s">
        <v>30</v>
      </c>
      <c r="G25" s="37" t="s">
        <v>30</v>
      </c>
      <c r="H25" s="34" t="s">
        <v>30</v>
      </c>
      <c r="I25" s="37"/>
      <c r="J25" s="34" t="s">
        <v>424</v>
      </c>
      <c r="K25" s="34" t="s">
        <v>402</v>
      </c>
      <c r="L25" s="34" t="s">
        <v>435</v>
      </c>
      <c r="M25" s="37"/>
      <c r="N25" s="34" t="s">
        <v>30</v>
      </c>
      <c r="O25" s="37" t="s">
        <v>31</v>
      </c>
      <c r="P25" s="34" t="s">
        <v>31</v>
      </c>
      <c r="Q25" s="37"/>
      <c r="R25" s="39">
        <v>250.0</v>
      </c>
      <c r="S25" s="34" t="str">
        <f>"233,0750"</f>
        <v>233,0750</v>
      </c>
      <c r="T25" s="34"/>
    </row>
    <row r="26" ht="14.25" customHeight="1">
      <c r="A26" s="41" t="s">
        <v>912</v>
      </c>
      <c r="B26" s="41" t="s">
        <v>913</v>
      </c>
      <c r="C26" s="41" t="s">
        <v>914</v>
      </c>
      <c r="D26" s="41" t="str">
        <f>"0,9028"</f>
        <v>0,9028</v>
      </c>
      <c r="E26" s="41" t="s">
        <v>27</v>
      </c>
      <c r="F26" s="41" t="s">
        <v>31</v>
      </c>
      <c r="G26" s="41" t="s">
        <v>93</v>
      </c>
      <c r="H26" s="43" t="s">
        <v>32</v>
      </c>
      <c r="I26" s="43"/>
      <c r="J26" s="43" t="s">
        <v>402</v>
      </c>
      <c r="K26" s="43" t="s">
        <v>402</v>
      </c>
      <c r="L26" s="41" t="s">
        <v>402</v>
      </c>
      <c r="M26" s="43"/>
      <c r="N26" s="41" t="s">
        <v>72</v>
      </c>
      <c r="O26" s="41" t="s">
        <v>50</v>
      </c>
      <c r="P26" s="41" t="s">
        <v>51</v>
      </c>
      <c r="Q26" s="43"/>
      <c r="R26" s="44">
        <v>300.0</v>
      </c>
      <c r="S26" s="41" t="str">
        <f>"270,8400"</f>
        <v>270,8400</v>
      </c>
      <c r="T26" s="41"/>
    </row>
    <row r="27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32"/>
      <c r="S27" s="25"/>
      <c r="T27" s="25"/>
    </row>
    <row r="28" ht="14.25" customHeight="1">
      <c r="A28" s="30" t="s">
        <v>147</v>
      </c>
      <c r="T28" s="25"/>
    </row>
    <row r="29" ht="14.25" customHeight="1">
      <c r="A29" s="26" t="s">
        <v>915</v>
      </c>
      <c r="B29" s="26" t="s">
        <v>916</v>
      </c>
      <c r="C29" s="26" t="s">
        <v>917</v>
      </c>
      <c r="D29" s="26" t="str">
        <f>"0,8978"</f>
        <v>0,8978</v>
      </c>
      <c r="E29" s="26" t="s">
        <v>27</v>
      </c>
      <c r="F29" s="27" t="s">
        <v>32</v>
      </c>
      <c r="G29" s="26" t="s">
        <v>32</v>
      </c>
      <c r="H29" s="27" t="s">
        <v>83</v>
      </c>
      <c r="I29" s="27"/>
      <c r="J29" s="26" t="s">
        <v>412</v>
      </c>
      <c r="K29" s="27" t="s">
        <v>413</v>
      </c>
      <c r="L29" s="27" t="s">
        <v>413</v>
      </c>
      <c r="M29" s="27"/>
      <c r="N29" s="26" t="s">
        <v>65</v>
      </c>
      <c r="O29" s="26" t="s">
        <v>351</v>
      </c>
      <c r="P29" s="27" t="s">
        <v>538</v>
      </c>
      <c r="Q29" s="27"/>
      <c r="R29" s="28">
        <v>307.5</v>
      </c>
      <c r="S29" s="26" t="str">
        <f>"276,0581"</f>
        <v>276,0581</v>
      </c>
      <c r="T29" s="26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32"/>
      <c r="S30" s="25"/>
      <c r="T30" s="25"/>
    </row>
    <row r="31" ht="14.25" customHeight="1">
      <c r="A31" s="30" t="s">
        <v>205</v>
      </c>
      <c r="T31" s="25"/>
    </row>
    <row r="32" ht="14.25" customHeight="1">
      <c r="A32" s="34" t="s">
        <v>918</v>
      </c>
      <c r="B32" s="34" t="s">
        <v>919</v>
      </c>
      <c r="C32" s="34" t="s">
        <v>587</v>
      </c>
      <c r="D32" s="34" t="str">
        <f>"0,8267"</f>
        <v>0,8267</v>
      </c>
      <c r="E32" s="34" t="s">
        <v>27</v>
      </c>
      <c r="F32" s="34" t="s">
        <v>30</v>
      </c>
      <c r="G32" s="34" t="s">
        <v>457</v>
      </c>
      <c r="H32" s="34" t="s">
        <v>31</v>
      </c>
      <c r="I32" s="37"/>
      <c r="J32" s="34" t="s">
        <v>424</v>
      </c>
      <c r="K32" s="37" t="s">
        <v>402</v>
      </c>
      <c r="L32" s="37" t="s">
        <v>402</v>
      </c>
      <c r="M32" s="37"/>
      <c r="N32" s="34" t="s">
        <v>31</v>
      </c>
      <c r="O32" s="34" t="s">
        <v>32</v>
      </c>
      <c r="P32" s="34" t="s">
        <v>113</v>
      </c>
      <c r="Q32" s="37"/>
      <c r="R32" s="39">
        <v>215.0</v>
      </c>
      <c r="S32" s="34" t="str">
        <f>"177,7298"</f>
        <v>177,7298</v>
      </c>
      <c r="T32" s="34"/>
    </row>
    <row r="33" ht="14.25" customHeight="1">
      <c r="A33" s="41" t="s">
        <v>920</v>
      </c>
      <c r="B33" s="41" t="s">
        <v>921</v>
      </c>
      <c r="C33" s="41" t="s">
        <v>922</v>
      </c>
      <c r="D33" s="41" t="str">
        <f>"0,7950"</f>
        <v>0,7950</v>
      </c>
      <c r="E33" s="41" t="s">
        <v>27</v>
      </c>
      <c r="F33" s="41" t="s">
        <v>31</v>
      </c>
      <c r="G33" s="43" t="s">
        <v>32</v>
      </c>
      <c r="H33" s="43" t="s">
        <v>32</v>
      </c>
      <c r="I33" s="43"/>
      <c r="J33" s="41" t="s">
        <v>430</v>
      </c>
      <c r="K33" s="41" t="s">
        <v>412</v>
      </c>
      <c r="L33" s="43" t="s">
        <v>431</v>
      </c>
      <c r="M33" s="43"/>
      <c r="N33" s="41" t="s">
        <v>72</v>
      </c>
      <c r="O33" s="41" t="s">
        <v>51</v>
      </c>
      <c r="P33" s="43" t="s">
        <v>69</v>
      </c>
      <c r="Q33" s="43"/>
      <c r="R33" s="44">
        <v>205.0</v>
      </c>
      <c r="S33" s="41" t="str">
        <f>"162,9648"</f>
        <v>162,9648</v>
      </c>
      <c r="T33" s="41"/>
    </row>
    <row r="34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32"/>
      <c r="S34" s="25"/>
      <c r="T34" s="25"/>
    </row>
    <row r="35" ht="14.25" customHeight="1">
      <c r="A35" s="30" t="s">
        <v>124</v>
      </c>
      <c r="T35" s="25"/>
    </row>
    <row r="36" ht="14.25" customHeight="1">
      <c r="A36" s="26" t="s">
        <v>923</v>
      </c>
      <c r="B36" s="26" t="s">
        <v>924</v>
      </c>
      <c r="C36" s="26" t="s">
        <v>429</v>
      </c>
      <c r="D36" s="26" t="str">
        <f>"0,8453"</f>
        <v>0,8453</v>
      </c>
      <c r="E36" s="26" t="s">
        <v>508</v>
      </c>
      <c r="F36" s="26" t="s">
        <v>30</v>
      </c>
      <c r="G36" s="27" t="s">
        <v>31</v>
      </c>
      <c r="H36" s="27" t="s">
        <v>31</v>
      </c>
      <c r="I36" s="27"/>
      <c r="J36" s="26" t="s">
        <v>435</v>
      </c>
      <c r="K36" s="26" t="s">
        <v>431</v>
      </c>
      <c r="L36" s="27" t="s">
        <v>413</v>
      </c>
      <c r="M36" s="27"/>
      <c r="N36" s="26" t="s">
        <v>69</v>
      </c>
      <c r="O36" s="26" t="s">
        <v>70</v>
      </c>
      <c r="P36" s="27" t="s">
        <v>167</v>
      </c>
      <c r="Q36" s="27"/>
      <c r="R36" s="28" t="s">
        <v>925</v>
      </c>
      <c r="S36" s="26" t="s">
        <v>926</v>
      </c>
      <c r="T36" s="26"/>
    </row>
    <row r="37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32"/>
      <c r="S37" s="25"/>
      <c r="T37" s="25"/>
    </row>
    <row r="38" ht="14.25" customHeight="1">
      <c r="A38" s="30" t="s">
        <v>133</v>
      </c>
      <c r="T38" s="25"/>
    </row>
    <row r="39" ht="14.25" customHeight="1">
      <c r="A39" s="26" t="s">
        <v>927</v>
      </c>
      <c r="B39" s="26" t="s">
        <v>928</v>
      </c>
      <c r="C39" s="26" t="s">
        <v>911</v>
      </c>
      <c r="D39" s="26" t="str">
        <f>"0,7786"</f>
        <v>0,7786</v>
      </c>
      <c r="E39" s="26" t="s">
        <v>929</v>
      </c>
      <c r="F39" s="27" t="s">
        <v>338</v>
      </c>
      <c r="G39" s="26" t="s">
        <v>338</v>
      </c>
      <c r="H39" s="27"/>
      <c r="I39" s="27"/>
      <c r="J39" s="27"/>
      <c r="K39" s="26" t="s">
        <v>435</v>
      </c>
      <c r="L39" s="27"/>
      <c r="M39" s="27"/>
      <c r="N39" s="26" t="s">
        <v>51</v>
      </c>
      <c r="O39" s="27"/>
      <c r="P39" s="27"/>
      <c r="Q39" s="27"/>
      <c r="R39" s="28">
        <v>280.0</v>
      </c>
      <c r="S39" s="26" t="str">
        <f>"218,0080"</f>
        <v>218,0080</v>
      </c>
      <c r="T39" s="26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32"/>
      <c r="S40" s="25"/>
      <c r="T40" s="25"/>
    </row>
    <row r="41" ht="14.25" customHeight="1">
      <c r="A41" s="30" t="s">
        <v>147</v>
      </c>
      <c r="T41" s="25"/>
    </row>
    <row r="42" ht="14.25" customHeight="1">
      <c r="A42" s="34" t="s">
        <v>930</v>
      </c>
      <c r="B42" s="34" t="s">
        <v>931</v>
      </c>
      <c r="C42" s="34" t="s">
        <v>932</v>
      </c>
      <c r="D42" s="34" t="str">
        <f>"0,7164"</f>
        <v>0,7164</v>
      </c>
      <c r="E42" s="34" t="s">
        <v>933</v>
      </c>
      <c r="F42" s="37" t="s">
        <v>54</v>
      </c>
      <c r="G42" s="34" t="s">
        <v>54</v>
      </c>
      <c r="H42" s="34" t="s">
        <v>179</v>
      </c>
      <c r="I42" s="37"/>
      <c r="J42" s="34" t="s">
        <v>51</v>
      </c>
      <c r="K42" s="34" t="s">
        <v>98</v>
      </c>
      <c r="L42" s="37" t="s">
        <v>69</v>
      </c>
      <c r="M42" s="37"/>
      <c r="N42" s="34" t="s">
        <v>76</v>
      </c>
      <c r="O42" s="34" t="s">
        <v>227</v>
      </c>
      <c r="P42" s="37" t="s">
        <v>228</v>
      </c>
      <c r="Q42" s="37"/>
      <c r="R42" s="39">
        <v>605.0</v>
      </c>
      <c r="S42" s="34" t="str">
        <f>"433,4522"</f>
        <v>433,4522</v>
      </c>
      <c r="T42" s="34"/>
    </row>
    <row r="43" ht="14.25" customHeight="1">
      <c r="A43" s="41" t="s">
        <v>934</v>
      </c>
      <c r="B43" s="41" t="s">
        <v>935</v>
      </c>
      <c r="C43" s="41" t="s">
        <v>347</v>
      </c>
      <c r="D43" s="41" t="str">
        <f>"0,6934"</f>
        <v>0,6934</v>
      </c>
      <c r="E43" s="41" t="s">
        <v>27</v>
      </c>
      <c r="F43" s="43" t="s">
        <v>70</v>
      </c>
      <c r="G43" s="43" t="s">
        <v>70</v>
      </c>
      <c r="H43" s="43" t="s">
        <v>70</v>
      </c>
      <c r="I43" s="43"/>
      <c r="J43" s="43"/>
      <c r="K43" s="43"/>
      <c r="L43" s="43"/>
      <c r="M43" s="43"/>
      <c r="N43" s="43"/>
      <c r="O43" s="43"/>
      <c r="P43" s="43"/>
      <c r="Q43" s="43"/>
      <c r="R43" s="44">
        <v>0.0</v>
      </c>
      <c r="S43" s="41" t="str">
        <f>"0,0000"</f>
        <v>0,0000</v>
      </c>
      <c r="T43" s="41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32"/>
      <c r="S44" s="25"/>
      <c r="T44" s="25"/>
    </row>
    <row r="45" ht="14.25" customHeight="1">
      <c r="A45" s="30" t="s">
        <v>205</v>
      </c>
      <c r="T45" s="25"/>
    </row>
    <row r="46" ht="14.25" customHeight="1">
      <c r="A46" s="34" t="s">
        <v>206</v>
      </c>
      <c r="B46" s="34" t="s">
        <v>207</v>
      </c>
      <c r="C46" s="34" t="s">
        <v>936</v>
      </c>
      <c r="D46" s="34" t="str">
        <f>"0,6573"</f>
        <v>0,6573</v>
      </c>
      <c r="E46" s="34" t="s">
        <v>27</v>
      </c>
      <c r="F46" s="34" t="s">
        <v>32</v>
      </c>
      <c r="G46" s="34" t="s">
        <v>83</v>
      </c>
      <c r="H46" s="34" t="s">
        <v>50</v>
      </c>
      <c r="I46" s="37"/>
      <c r="J46" s="34" t="s">
        <v>338</v>
      </c>
      <c r="K46" s="34" t="s">
        <v>339</v>
      </c>
      <c r="L46" s="34" t="s">
        <v>343</v>
      </c>
      <c r="M46" s="37"/>
      <c r="N46" s="34" t="s">
        <v>51</v>
      </c>
      <c r="O46" s="34" t="s">
        <v>70</v>
      </c>
      <c r="P46" s="34" t="s">
        <v>217</v>
      </c>
      <c r="Q46" s="37"/>
      <c r="R46" s="39">
        <v>412.5</v>
      </c>
      <c r="S46" s="34" t="str">
        <f>"271,1362"</f>
        <v>271,1362</v>
      </c>
      <c r="T46" s="34"/>
    </row>
    <row r="47" ht="14.25" customHeight="1">
      <c r="A47" s="45" t="s">
        <v>937</v>
      </c>
      <c r="B47" s="45" t="s">
        <v>938</v>
      </c>
      <c r="C47" s="45" t="s">
        <v>939</v>
      </c>
      <c r="D47" s="45" t="str">
        <f>"0,6451"</f>
        <v>0,6451</v>
      </c>
      <c r="E47" s="45" t="s">
        <v>27</v>
      </c>
      <c r="F47" s="45" t="s">
        <v>70</v>
      </c>
      <c r="G47" s="45" t="s">
        <v>217</v>
      </c>
      <c r="H47" s="45" t="s">
        <v>52</v>
      </c>
      <c r="I47" s="46"/>
      <c r="J47" s="45" t="s">
        <v>30</v>
      </c>
      <c r="K47" s="45" t="s">
        <v>31</v>
      </c>
      <c r="L47" s="45" t="s">
        <v>32</v>
      </c>
      <c r="M47" s="46"/>
      <c r="N47" s="45" t="s">
        <v>54</v>
      </c>
      <c r="O47" s="45" t="s">
        <v>180</v>
      </c>
      <c r="P47" s="46" t="s">
        <v>28</v>
      </c>
      <c r="Q47" s="46"/>
      <c r="R47" s="47">
        <v>505.0</v>
      </c>
      <c r="S47" s="45" t="str">
        <f>"325,7755"</f>
        <v>325,7755</v>
      </c>
      <c r="T47" s="45"/>
    </row>
    <row r="48" ht="14.25" customHeight="1">
      <c r="A48" s="45" t="s">
        <v>940</v>
      </c>
      <c r="B48" s="45" t="s">
        <v>941</v>
      </c>
      <c r="C48" s="45" t="s">
        <v>942</v>
      </c>
      <c r="D48" s="45" t="str">
        <f>"0,6477"</f>
        <v>0,6477</v>
      </c>
      <c r="E48" s="45" t="s">
        <v>27</v>
      </c>
      <c r="F48" s="45" t="s">
        <v>163</v>
      </c>
      <c r="G48" s="45" t="s">
        <v>54</v>
      </c>
      <c r="H48" s="45" t="s">
        <v>222</v>
      </c>
      <c r="I48" s="46"/>
      <c r="J48" s="45" t="s">
        <v>72</v>
      </c>
      <c r="K48" s="45" t="s">
        <v>50</v>
      </c>
      <c r="L48" s="46" t="s">
        <v>51</v>
      </c>
      <c r="M48" s="46"/>
      <c r="N48" s="45" t="s">
        <v>179</v>
      </c>
      <c r="O48" s="45" t="s">
        <v>55</v>
      </c>
      <c r="P48" s="45" t="s">
        <v>943</v>
      </c>
      <c r="Q48" s="46"/>
      <c r="R48" s="47">
        <v>567.5</v>
      </c>
      <c r="S48" s="45" t="str">
        <f>"367,5414"</f>
        <v>367,5414</v>
      </c>
      <c r="T48" s="45"/>
    </row>
    <row r="49" ht="14.25" customHeight="1">
      <c r="A49" s="41" t="s">
        <v>944</v>
      </c>
      <c r="B49" s="41" t="s">
        <v>945</v>
      </c>
      <c r="C49" s="41" t="s">
        <v>946</v>
      </c>
      <c r="D49" s="41" t="str">
        <f>"0,6801"</f>
        <v>0,6801</v>
      </c>
      <c r="E49" s="41" t="s">
        <v>27</v>
      </c>
      <c r="F49" s="41" t="s">
        <v>71</v>
      </c>
      <c r="G49" s="41" t="s">
        <v>559</v>
      </c>
      <c r="H49" s="43" t="s">
        <v>189</v>
      </c>
      <c r="I49" s="43"/>
      <c r="J49" s="41" t="s">
        <v>557</v>
      </c>
      <c r="K49" s="43" t="s">
        <v>113</v>
      </c>
      <c r="L49" s="43" t="s">
        <v>113</v>
      </c>
      <c r="M49" s="43"/>
      <c r="N49" s="41" t="s">
        <v>54</v>
      </c>
      <c r="O49" s="41" t="s">
        <v>222</v>
      </c>
      <c r="P49" s="43" t="s">
        <v>223</v>
      </c>
      <c r="Q49" s="43"/>
      <c r="R49" s="44">
        <v>387.5</v>
      </c>
      <c r="S49" s="41" t="str">
        <f>"263,5205"</f>
        <v>263,5205</v>
      </c>
      <c r="T49" s="41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32"/>
      <c r="S50" s="25"/>
      <c r="T50" s="25"/>
    </row>
    <row r="51" ht="14.25" customHeight="1">
      <c r="A51" s="30" t="s">
        <v>34</v>
      </c>
      <c r="T51" s="25"/>
    </row>
    <row r="52" ht="14.25" customHeight="1">
      <c r="A52" s="34" t="s">
        <v>947</v>
      </c>
      <c r="B52" s="34" t="s">
        <v>948</v>
      </c>
      <c r="C52" s="34" t="s">
        <v>949</v>
      </c>
      <c r="D52" s="34" t="str">
        <f>"0,6169"</f>
        <v>0,6169</v>
      </c>
      <c r="E52" s="34" t="s">
        <v>27</v>
      </c>
      <c r="F52" s="34" t="s">
        <v>163</v>
      </c>
      <c r="G52" s="37" t="s">
        <v>54</v>
      </c>
      <c r="H52" s="34" t="s">
        <v>54</v>
      </c>
      <c r="I52" s="37"/>
      <c r="J52" s="34" t="s">
        <v>72</v>
      </c>
      <c r="K52" s="34" t="s">
        <v>50</v>
      </c>
      <c r="L52" s="37" t="s">
        <v>51</v>
      </c>
      <c r="M52" s="37"/>
      <c r="N52" s="34" t="s">
        <v>180</v>
      </c>
      <c r="O52" s="34" t="s">
        <v>28</v>
      </c>
      <c r="P52" s="34" t="s">
        <v>76</v>
      </c>
      <c r="Q52" s="34" t="s">
        <v>950</v>
      </c>
      <c r="R52" s="39">
        <v>575.0</v>
      </c>
      <c r="S52" s="34" t="str">
        <f>"354,6888"</f>
        <v>354,6888</v>
      </c>
      <c r="T52" s="34"/>
    </row>
    <row r="53" ht="14.25" customHeight="1">
      <c r="A53" s="45" t="s">
        <v>951</v>
      </c>
      <c r="B53" s="45" t="s">
        <v>952</v>
      </c>
      <c r="C53" s="45" t="s">
        <v>877</v>
      </c>
      <c r="D53" s="45" t="str">
        <f>"0,6122"</f>
        <v>0,6122</v>
      </c>
      <c r="E53" s="45" t="s">
        <v>27</v>
      </c>
      <c r="F53" s="45" t="s">
        <v>163</v>
      </c>
      <c r="G53" s="45" t="s">
        <v>54</v>
      </c>
      <c r="H53" s="45" t="s">
        <v>179</v>
      </c>
      <c r="I53" s="46"/>
      <c r="J53" s="45" t="s">
        <v>69</v>
      </c>
      <c r="K53" s="45" t="s">
        <v>517</v>
      </c>
      <c r="L53" s="46" t="s">
        <v>70</v>
      </c>
      <c r="M53" s="46"/>
      <c r="N53" s="45" t="s">
        <v>69</v>
      </c>
      <c r="O53" s="45" t="s">
        <v>236</v>
      </c>
      <c r="P53" s="45" t="s">
        <v>227</v>
      </c>
      <c r="Q53" s="46"/>
      <c r="R53" s="47">
        <v>615.0</v>
      </c>
      <c r="S53" s="45" t="str">
        <f>"376,5337"</f>
        <v>376,5337</v>
      </c>
      <c r="T53" s="45" t="s">
        <v>953</v>
      </c>
    </row>
    <row r="54" ht="14.25" customHeight="1">
      <c r="A54" s="45" t="s">
        <v>954</v>
      </c>
      <c r="B54" s="45" t="s">
        <v>955</v>
      </c>
      <c r="C54" s="45" t="s">
        <v>956</v>
      </c>
      <c r="D54" s="45" t="str">
        <f>"0,6137"</f>
        <v>0,6137</v>
      </c>
      <c r="E54" s="45" t="s">
        <v>27</v>
      </c>
      <c r="F54" s="46" t="s">
        <v>54</v>
      </c>
      <c r="G54" s="45" t="s">
        <v>54</v>
      </c>
      <c r="H54" s="45" t="s">
        <v>222</v>
      </c>
      <c r="I54" s="46"/>
      <c r="J54" s="45" t="s">
        <v>137</v>
      </c>
      <c r="K54" s="45" t="s">
        <v>69</v>
      </c>
      <c r="L54" s="45" t="s">
        <v>145</v>
      </c>
      <c r="M54" s="46"/>
      <c r="N54" s="45" t="s">
        <v>76</v>
      </c>
      <c r="O54" s="45" t="s">
        <v>227</v>
      </c>
      <c r="P54" s="46" t="s">
        <v>957</v>
      </c>
      <c r="Q54" s="46"/>
      <c r="R54" s="47">
        <v>607.5</v>
      </c>
      <c r="S54" s="45" t="str">
        <f>"372,8531"</f>
        <v>372,8531</v>
      </c>
      <c r="T54" s="45"/>
    </row>
    <row r="55" ht="14.25" customHeight="1">
      <c r="A55" s="45" t="s">
        <v>958</v>
      </c>
      <c r="B55" s="45" t="s">
        <v>959</v>
      </c>
      <c r="C55" s="45" t="s">
        <v>47</v>
      </c>
      <c r="D55" s="45" t="str">
        <f>"0,6188"</f>
        <v>0,6188</v>
      </c>
      <c r="E55" s="45" t="s">
        <v>27</v>
      </c>
      <c r="F55" s="45" t="s">
        <v>28</v>
      </c>
      <c r="G55" s="46" t="s">
        <v>231</v>
      </c>
      <c r="H55" s="46" t="s">
        <v>231</v>
      </c>
      <c r="I55" s="46"/>
      <c r="J55" s="45" t="s">
        <v>50</v>
      </c>
      <c r="K55" s="45" t="s">
        <v>51</v>
      </c>
      <c r="L55" s="45" t="s">
        <v>98</v>
      </c>
      <c r="M55" s="46"/>
      <c r="N55" s="45" t="s">
        <v>55</v>
      </c>
      <c r="O55" s="46"/>
      <c r="P55" s="46"/>
      <c r="Q55" s="46"/>
      <c r="R55" s="47">
        <v>590.0</v>
      </c>
      <c r="S55" s="45" t="str">
        <f>"365,1215"</f>
        <v>365,1215</v>
      </c>
      <c r="T55" s="45"/>
    </row>
    <row r="56" ht="14.25" customHeight="1">
      <c r="A56" s="45" t="s">
        <v>960</v>
      </c>
      <c r="B56" s="45" t="s">
        <v>961</v>
      </c>
      <c r="C56" s="45" t="s">
        <v>962</v>
      </c>
      <c r="D56" s="45" t="str">
        <f>"0,6217"</f>
        <v>0,6217</v>
      </c>
      <c r="E56" s="45" t="s">
        <v>27</v>
      </c>
      <c r="F56" s="46" t="s">
        <v>163</v>
      </c>
      <c r="G56" s="45" t="s">
        <v>218</v>
      </c>
      <c r="H56" s="46" t="s">
        <v>222</v>
      </c>
      <c r="I56" s="46"/>
      <c r="J56" s="46" t="s">
        <v>83</v>
      </c>
      <c r="K56" s="45" t="s">
        <v>83</v>
      </c>
      <c r="L56" s="45" t="s">
        <v>65</v>
      </c>
      <c r="M56" s="46"/>
      <c r="N56" s="45" t="s">
        <v>55</v>
      </c>
      <c r="O56" s="45" t="s">
        <v>231</v>
      </c>
      <c r="P56" s="45" t="s">
        <v>76</v>
      </c>
      <c r="Q56" s="46"/>
      <c r="R56" s="47">
        <v>560.0</v>
      </c>
      <c r="S56" s="45" t="str">
        <f>"348,1800"</f>
        <v>348,1800</v>
      </c>
      <c r="T56" s="45"/>
    </row>
    <row r="57" ht="14.25" customHeight="1">
      <c r="A57" s="45" t="s">
        <v>963</v>
      </c>
      <c r="B57" s="45" t="s">
        <v>964</v>
      </c>
      <c r="C57" s="45" t="s">
        <v>965</v>
      </c>
      <c r="D57" s="45" t="str">
        <f>"0,6411"</f>
        <v>0,6411</v>
      </c>
      <c r="E57" s="45" t="s">
        <v>27</v>
      </c>
      <c r="F57" s="45" t="s">
        <v>98</v>
      </c>
      <c r="G57" s="45" t="s">
        <v>517</v>
      </c>
      <c r="H57" s="45" t="s">
        <v>167</v>
      </c>
      <c r="I57" s="46"/>
      <c r="J57" s="45" t="s">
        <v>30</v>
      </c>
      <c r="K57" s="45" t="s">
        <v>31</v>
      </c>
      <c r="L57" s="46" t="s">
        <v>32</v>
      </c>
      <c r="M57" s="46"/>
      <c r="N57" s="45" t="s">
        <v>52</v>
      </c>
      <c r="O57" s="45" t="s">
        <v>163</v>
      </c>
      <c r="P57" s="46" t="s">
        <v>54</v>
      </c>
      <c r="Q57" s="46"/>
      <c r="R57" s="47">
        <v>455.0</v>
      </c>
      <c r="S57" s="45" t="str">
        <f>"291,7005"</f>
        <v>291,7005</v>
      </c>
      <c r="T57" s="45"/>
    </row>
    <row r="58" ht="14.25" customHeight="1">
      <c r="A58" s="45" t="s">
        <v>958</v>
      </c>
      <c r="B58" s="45" t="s">
        <v>966</v>
      </c>
      <c r="C58" s="45" t="s">
        <v>47</v>
      </c>
      <c r="D58" s="45" t="str">
        <f>"0,7327"</f>
        <v>0,7327</v>
      </c>
      <c r="E58" s="45" t="s">
        <v>27</v>
      </c>
      <c r="F58" s="45" t="s">
        <v>28</v>
      </c>
      <c r="G58" s="46" t="s">
        <v>231</v>
      </c>
      <c r="H58" s="46" t="s">
        <v>231</v>
      </c>
      <c r="I58" s="46"/>
      <c r="J58" s="45" t="s">
        <v>50</v>
      </c>
      <c r="K58" s="45" t="s">
        <v>51</v>
      </c>
      <c r="L58" s="45" t="s">
        <v>98</v>
      </c>
      <c r="M58" s="46"/>
      <c r="N58" s="45" t="s">
        <v>55</v>
      </c>
      <c r="O58" s="45" t="s">
        <v>29</v>
      </c>
      <c r="P58" s="46" t="s">
        <v>76</v>
      </c>
      <c r="Q58" s="46"/>
      <c r="R58" s="47">
        <v>600.0</v>
      </c>
      <c r="S58" s="45" t="str">
        <f>"439,6310"</f>
        <v>439,6310</v>
      </c>
      <c r="T58" s="45"/>
    </row>
    <row r="59" ht="14.25" customHeight="1">
      <c r="A59" s="41" t="s">
        <v>967</v>
      </c>
      <c r="B59" s="41" t="s">
        <v>968</v>
      </c>
      <c r="C59" s="41" t="s">
        <v>241</v>
      </c>
      <c r="D59" s="41" t="str">
        <f>"0,7958"</f>
        <v>0,7958</v>
      </c>
      <c r="E59" s="41" t="s">
        <v>27</v>
      </c>
      <c r="F59" s="41" t="s">
        <v>51</v>
      </c>
      <c r="G59" s="41" t="s">
        <v>137</v>
      </c>
      <c r="H59" s="43" t="s">
        <v>145</v>
      </c>
      <c r="I59" s="43"/>
      <c r="J59" s="41" t="s">
        <v>445</v>
      </c>
      <c r="K59" s="41" t="s">
        <v>30</v>
      </c>
      <c r="L59" s="43" t="s">
        <v>969</v>
      </c>
      <c r="M59" s="43"/>
      <c r="N59" s="41" t="s">
        <v>517</v>
      </c>
      <c r="O59" s="41" t="s">
        <v>138</v>
      </c>
      <c r="P59" s="43" t="s">
        <v>70</v>
      </c>
      <c r="Q59" s="43"/>
      <c r="R59" s="44">
        <v>395.0</v>
      </c>
      <c r="S59" s="41" t="str">
        <f>"314,3556"</f>
        <v>314,3556</v>
      </c>
      <c r="T59" s="41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32"/>
      <c r="S60" s="25"/>
      <c r="T60" s="25"/>
    </row>
    <row r="61" ht="14.25" customHeight="1">
      <c r="A61" s="30" t="s">
        <v>15</v>
      </c>
      <c r="T61" s="25"/>
    </row>
    <row r="62" ht="14.25" customHeight="1">
      <c r="A62" s="34" t="s">
        <v>243</v>
      </c>
      <c r="B62" s="34" t="s">
        <v>244</v>
      </c>
      <c r="C62" s="34" t="s">
        <v>265</v>
      </c>
      <c r="D62" s="34" t="str">
        <f>"0,5917"</f>
        <v>0,5917</v>
      </c>
      <c r="E62" s="34" t="s">
        <v>27</v>
      </c>
      <c r="F62" s="34" t="s">
        <v>51</v>
      </c>
      <c r="G62" s="34" t="s">
        <v>517</v>
      </c>
      <c r="H62" s="37" t="s">
        <v>70</v>
      </c>
      <c r="I62" s="37"/>
      <c r="J62" s="37" t="s">
        <v>413</v>
      </c>
      <c r="K62" s="34" t="s">
        <v>338</v>
      </c>
      <c r="L62" s="34" t="s">
        <v>339</v>
      </c>
      <c r="M62" s="37"/>
      <c r="N62" s="34" t="s">
        <v>51</v>
      </c>
      <c r="O62" s="34" t="s">
        <v>517</v>
      </c>
      <c r="P62" s="37" t="s">
        <v>168</v>
      </c>
      <c r="Q62" s="37"/>
      <c r="R62" s="39">
        <v>405.0</v>
      </c>
      <c r="S62" s="34" t="str">
        <f>"239,6183"</f>
        <v>239,6183</v>
      </c>
      <c r="T62" s="34"/>
    </row>
    <row r="63" ht="14.25" customHeight="1">
      <c r="A63" s="45" t="s">
        <v>970</v>
      </c>
      <c r="B63" s="45" t="s">
        <v>971</v>
      </c>
      <c r="C63" s="45" t="s">
        <v>359</v>
      </c>
      <c r="D63" s="45" t="str">
        <f>"0,5835"</f>
        <v>0,5835</v>
      </c>
      <c r="E63" s="45" t="s">
        <v>27</v>
      </c>
      <c r="F63" s="45" t="s">
        <v>52</v>
      </c>
      <c r="G63" s="45" t="s">
        <v>54</v>
      </c>
      <c r="H63" s="46" t="s">
        <v>179</v>
      </c>
      <c r="I63" s="46"/>
      <c r="J63" s="45" t="s">
        <v>72</v>
      </c>
      <c r="K63" s="45" t="s">
        <v>51</v>
      </c>
      <c r="L63" s="45" t="s">
        <v>98</v>
      </c>
      <c r="M63" s="46"/>
      <c r="N63" s="45" t="s">
        <v>163</v>
      </c>
      <c r="O63" s="46" t="s">
        <v>179</v>
      </c>
      <c r="P63" s="46" t="s">
        <v>179</v>
      </c>
      <c r="Q63" s="46"/>
      <c r="R63" s="47">
        <v>345.0</v>
      </c>
      <c r="S63" s="45" t="str">
        <f>"201,3247"</f>
        <v>201,3247</v>
      </c>
      <c r="T63" s="45"/>
    </row>
    <row r="64" ht="14.25" customHeight="1">
      <c r="A64" s="45" t="s">
        <v>972</v>
      </c>
      <c r="B64" s="45" t="s">
        <v>682</v>
      </c>
      <c r="C64" s="45" t="s">
        <v>973</v>
      </c>
      <c r="D64" s="45" t="str">
        <f t="shared" ref="D64:D65" si="1">"0,5885"</f>
        <v>0,5885</v>
      </c>
      <c r="E64" s="45" t="s">
        <v>27</v>
      </c>
      <c r="F64" s="45" t="s">
        <v>236</v>
      </c>
      <c r="G64" s="45" t="s">
        <v>228</v>
      </c>
      <c r="H64" s="45" t="s">
        <v>82</v>
      </c>
      <c r="I64" s="46"/>
      <c r="J64" s="45" t="s">
        <v>89</v>
      </c>
      <c r="K64" s="45" t="s">
        <v>52</v>
      </c>
      <c r="L64" s="46" t="s">
        <v>163</v>
      </c>
      <c r="M64" s="46"/>
      <c r="N64" s="45" t="s">
        <v>227</v>
      </c>
      <c r="O64" s="45" t="s">
        <v>80</v>
      </c>
      <c r="P64" s="46" t="s">
        <v>974</v>
      </c>
      <c r="Q64" s="46"/>
      <c r="R64" s="47">
        <v>715.0</v>
      </c>
      <c r="S64" s="45" t="str">
        <f>"420,8132"</f>
        <v>420,8132</v>
      </c>
      <c r="T64" s="45"/>
    </row>
    <row r="65" ht="14.25" customHeight="1">
      <c r="A65" s="45" t="s">
        <v>975</v>
      </c>
      <c r="B65" s="45" t="s">
        <v>976</v>
      </c>
      <c r="C65" s="45" t="s">
        <v>973</v>
      </c>
      <c r="D65" s="45" t="str">
        <f t="shared" si="1"/>
        <v>0,5885</v>
      </c>
      <c r="E65" s="45" t="s">
        <v>27</v>
      </c>
      <c r="F65" s="45" t="s">
        <v>179</v>
      </c>
      <c r="G65" s="45" t="s">
        <v>55</v>
      </c>
      <c r="H65" s="46" t="s">
        <v>29</v>
      </c>
      <c r="I65" s="46"/>
      <c r="J65" s="45" t="s">
        <v>70</v>
      </c>
      <c r="K65" s="45" t="s">
        <v>89</v>
      </c>
      <c r="L65" s="45" t="s">
        <v>217</v>
      </c>
      <c r="M65" s="46"/>
      <c r="N65" s="45" t="s">
        <v>227</v>
      </c>
      <c r="O65" s="45" t="s">
        <v>228</v>
      </c>
      <c r="P65" s="45" t="s">
        <v>82</v>
      </c>
      <c r="Q65" s="46"/>
      <c r="R65" s="47">
        <v>665.0</v>
      </c>
      <c r="S65" s="45" t="str">
        <f>"391,3857"</f>
        <v>391,3857</v>
      </c>
      <c r="T65" s="45"/>
    </row>
    <row r="66" ht="14.25" customHeight="1">
      <c r="A66" s="45" t="s">
        <v>977</v>
      </c>
      <c r="B66" s="45" t="s">
        <v>978</v>
      </c>
      <c r="C66" s="45" t="s">
        <v>979</v>
      </c>
      <c r="D66" s="45" t="str">
        <f>"0,5838"</f>
        <v>0,5838</v>
      </c>
      <c r="E66" s="45" t="s">
        <v>27</v>
      </c>
      <c r="F66" s="45" t="s">
        <v>54</v>
      </c>
      <c r="G66" s="45" t="s">
        <v>179</v>
      </c>
      <c r="H66" s="45" t="s">
        <v>180</v>
      </c>
      <c r="I66" s="46"/>
      <c r="J66" s="45" t="s">
        <v>69</v>
      </c>
      <c r="K66" s="45" t="s">
        <v>70</v>
      </c>
      <c r="L66" s="46" t="s">
        <v>167</v>
      </c>
      <c r="M66" s="46"/>
      <c r="N66" s="45" t="s">
        <v>228</v>
      </c>
      <c r="O66" s="45" t="s">
        <v>82</v>
      </c>
      <c r="P66" s="46" t="s">
        <v>974</v>
      </c>
      <c r="Q66" s="46"/>
      <c r="R66" s="47">
        <v>645.0</v>
      </c>
      <c r="S66" s="45" t="str">
        <f>"376,5510"</f>
        <v>376,5510</v>
      </c>
      <c r="T66" s="45"/>
    </row>
    <row r="67" ht="14.25" customHeight="1">
      <c r="A67" s="45" t="s">
        <v>980</v>
      </c>
      <c r="B67" s="45" t="s">
        <v>981</v>
      </c>
      <c r="C67" s="45" t="s">
        <v>982</v>
      </c>
      <c r="D67" s="45" t="str">
        <f>"0,5871"</f>
        <v>0,5871</v>
      </c>
      <c r="E67" s="45" t="s">
        <v>27</v>
      </c>
      <c r="F67" s="45" t="s">
        <v>52</v>
      </c>
      <c r="G67" s="45" t="s">
        <v>54</v>
      </c>
      <c r="H67" s="45" t="s">
        <v>179</v>
      </c>
      <c r="I67" s="46"/>
      <c r="J67" s="45" t="s">
        <v>52</v>
      </c>
      <c r="K67" s="46" t="s">
        <v>189</v>
      </c>
      <c r="L67" s="45" t="s">
        <v>189</v>
      </c>
      <c r="M67" s="46"/>
      <c r="N67" s="45" t="s">
        <v>28</v>
      </c>
      <c r="O67" s="45" t="s">
        <v>29</v>
      </c>
      <c r="P67" s="45" t="s">
        <v>76</v>
      </c>
      <c r="Q67" s="46"/>
      <c r="R67" s="47">
        <v>635.0</v>
      </c>
      <c r="S67" s="45" t="str">
        <f>"372,8402"</f>
        <v>372,8402</v>
      </c>
      <c r="T67" s="45"/>
    </row>
    <row r="68" ht="14.25" customHeight="1">
      <c r="A68" s="45" t="s">
        <v>983</v>
      </c>
      <c r="B68" s="45" t="s">
        <v>984</v>
      </c>
      <c r="C68" s="45" t="s">
        <v>362</v>
      </c>
      <c r="D68" s="45" t="str">
        <f>"0,5846"</f>
        <v>0,5846</v>
      </c>
      <c r="E68" s="45" t="s">
        <v>27</v>
      </c>
      <c r="F68" s="45" t="s">
        <v>54</v>
      </c>
      <c r="G68" s="45" t="s">
        <v>179</v>
      </c>
      <c r="H68" s="45" t="s">
        <v>55</v>
      </c>
      <c r="I68" s="46"/>
      <c r="J68" s="45" t="s">
        <v>72</v>
      </c>
      <c r="K68" s="45" t="s">
        <v>50</v>
      </c>
      <c r="L68" s="46" t="s">
        <v>538</v>
      </c>
      <c r="M68" s="46"/>
      <c r="N68" s="45" t="s">
        <v>76</v>
      </c>
      <c r="O68" s="45" t="s">
        <v>227</v>
      </c>
      <c r="P68" s="45" t="s">
        <v>228</v>
      </c>
      <c r="Q68" s="46"/>
      <c r="R68" s="47">
        <v>615.0</v>
      </c>
      <c r="S68" s="45" t="str">
        <f>"359,4983"</f>
        <v>359,4983</v>
      </c>
      <c r="T68" s="45"/>
    </row>
    <row r="69" ht="14.25" customHeight="1">
      <c r="A69" s="45" t="s">
        <v>985</v>
      </c>
      <c r="B69" s="45" t="s">
        <v>986</v>
      </c>
      <c r="C69" s="45" t="s">
        <v>680</v>
      </c>
      <c r="D69" s="45" t="str">
        <f>"0,5984"</f>
        <v>0,5984</v>
      </c>
      <c r="E69" s="45" t="s">
        <v>27</v>
      </c>
      <c r="F69" s="45" t="s">
        <v>89</v>
      </c>
      <c r="G69" s="46" t="s">
        <v>52</v>
      </c>
      <c r="H69" s="46" t="s">
        <v>52</v>
      </c>
      <c r="I69" s="46"/>
      <c r="J69" s="45" t="s">
        <v>72</v>
      </c>
      <c r="K69" s="46" t="s">
        <v>53</v>
      </c>
      <c r="L69" s="46" t="s">
        <v>53</v>
      </c>
      <c r="M69" s="46"/>
      <c r="N69" s="45" t="s">
        <v>179</v>
      </c>
      <c r="O69" s="46" t="s">
        <v>28</v>
      </c>
      <c r="P69" s="46" t="s">
        <v>28</v>
      </c>
      <c r="Q69" s="46"/>
      <c r="R69" s="47" t="s">
        <v>987</v>
      </c>
      <c r="S69" s="45" t="s">
        <v>988</v>
      </c>
      <c r="T69" s="45"/>
    </row>
    <row r="70" ht="14.25" customHeight="1">
      <c r="A70" s="41" t="s">
        <v>989</v>
      </c>
      <c r="B70" s="41" t="s">
        <v>990</v>
      </c>
      <c r="C70" s="41" t="s">
        <v>991</v>
      </c>
      <c r="D70" s="41" t="str">
        <f>"0,6154"</f>
        <v>0,6154</v>
      </c>
      <c r="E70" s="41" t="s">
        <v>27</v>
      </c>
      <c r="F70" s="41" t="s">
        <v>55</v>
      </c>
      <c r="G70" s="41" t="s">
        <v>29</v>
      </c>
      <c r="H70" s="43" t="s">
        <v>174</v>
      </c>
      <c r="I70" s="43"/>
      <c r="J70" s="41" t="s">
        <v>72</v>
      </c>
      <c r="K70" s="41" t="s">
        <v>51</v>
      </c>
      <c r="L70" s="41" t="s">
        <v>98</v>
      </c>
      <c r="M70" s="43"/>
      <c r="N70" s="41" t="s">
        <v>76</v>
      </c>
      <c r="O70" s="41" t="s">
        <v>227</v>
      </c>
      <c r="P70" s="41" t="s">
        <v>78</v>
      </c>
      <c r="Q70" s="43"/>
      <c r="R70" s="44">
        <v>630.0</v>
      </c>
      <c r="S70" s="41" t="str">
        <f>"387,6903"</f>
        <v>387,6903</v>
      </c>
      <c r="T70" s="41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32"/>
      <c r="S71" s="25"/>
      <c r="T71" s="25"/>
    </row>
    <row r="72" ht="14.25" customHeight="1">
      <c r="A72" s="30" t="s">
        <v>266</v>
      </c>
      <c r="T72" s="25"/>
    </row>
    <row r="73" ht="14.25" customHeight="1">
      <c r="A73" s="34" t="s">
        <v>992</v>
      </c>
      <c r="B73" s="34" t="s">
        <v>993</v>
      </c>
      <c r="C73" s="34" t="s">
        <v>994</v>
      </c>
      <c r="D73" s="34" t="str">
        <f>"0,5687"</f>
        <v>0,5687</v>
      </c>
      <c r="E73" s="34" t="s">
        <v>27</v>
      </c>
      <c r="F73" s="34" t="s">
        <v>65</v>
      </c>
      <c r="G73" s="37" t="s">
        <v>50</v>
      </c>
      <c r="H73" s="34" t="s">
        <v>98</v>
      </c>
      <c r="I73" s="37"/>
      <c r="J73" s="34" t="s">
        <v>338</v>
      </c>
      <c r="K73" s="34" t="s">
        <v>30</v>
      </c>
      <c r="L73" s="37" t="s">
        <v>339</v>
      </c>
      <c r="M73" s="37"/>
      <c r="N73" s="34" t="s">
        <v>51</v>
      </c>
      <c r="O73" s="37" t="s">
        <v>517</v>
      </c>
      <c r="P73" s="34" t="s">
        <v>517</v>
      </c>
      <c r="Q73" s="37"/>
      <c r="R73" s="39">
        <v>390.0</v>
      </c>
      <c r="S73" s="34" t="str">
        <f>"221,7735"</f>
        <v>221,7735</v>
      </c>
      <c r="T73" s="34"/>
    </row>
    <row r="74" ht="14.25" customHeight="1">
      <c r="A74" s="45" t="s">
        <v>995</v>
      </c>
      <c r="B74" s="45" t="s">
        <v>996</v>
      </c>
      <c r="C74" s="45" t="s">
        <v>997</v>
      </c>
      <c r="D74" s="45" t="str">
        <f>"0,5748"</f>
        <v>0,5748</v>
      </c>
      <c r="E74" s="45" t="s">
        <v>27</v>
      </c>
      <c r="F74" s="45" t="s">
        <v>998</v>
      </c>
      <c r="G74" s="46" t="s">
        <v>29</v>
      </c>
      <c r="H74" s="46" t="s">
        <v>29</v>
      </c>
      <c r="I74" s="46"/>
      <c r="J74" s="45" t="s">
        <v>517</v>
      </c>
      <c r="K74" s="45" t="s">
        <v>70</v>
      </c>
      <c r="L74" s="46" t="s">
        <v>167</v>
      </c>
      <c r="M74" s="46"/>
      <c r="N74" s="45" t="s">
        <v>227</v>
      </c>
      <c r="O74" s="45" t="s">
        <v>228</v>
      </c>
      <c r="P74" s="46" t="s">
        <v>999</v>
      </c>
      <c r="Q74" s="46"/>
      <c r="R74" s="47">
        <v>642.5</v>
      </c>
      <c r="S74" s="45" t="str">
        <f>"369,3090"</f>
        <v>369,3090</v>
      </c>
      <c r="T74" s="45"/>
    </row>
    <row r="75" ht="14.25" customHeight="1">
      <c r="A75" s="45" t="s">
        <v>1000</v>
      </c>
      <c r="B75" s="45" t="s">
        <v>1001</v>
      </c>
      <c r="C75" s="45" t="s">
        <v>1002</v>
      </c>
      <c r="D75" s="45" t="str">
        <f>"0,5650"</f>
        <v>0,5650</v>
      </c>
      <c r="E75" s="45" t="s">
        <v>27</v>
      </c>
      <c r="F75" s="45" t="s">
        <v>222</v>
      </c>
      <c r="G75" s="46" t="s">
        <v>180</v>
      </c>
      <c r="H75" s="45" t="s">
        <v>180</v>
      </c>
      <c r="I75" s="46"/>
      <c r="J75" s="45" t="s">
        <v>53</v>
      </c>
      <c r="K75" s="46" t="s">
        <v>137</v>
      </c>
      <c r="L75" s="46" t="s">
        <v>137</v>
      </c>
      <c r="M75" s="46"/>
      <c r="N75" s="45" t="s">
        <v>163</v>
      </c>
      <c r="O75" s="45" t="s">
        <v>223</v>
      </c>
      <c r="P75" s="46" t="s">
        <v>185</v>
      </c>
      <c r="Q75" s="46"/>
      <c r="R75" s="47">
        <v>565.0</v>
      </c>
      <c r="S75" s="45" t="str">
        <f>"319,2250"</f>
        <v>319,2250</v>
      </c>
      <c r="T75" s="45"/>
    </row>
    <row r="76" ht="14.25" customHeight="1">
      <c r="A76" s="41" t="s">
        <v>1003</v>
      </c>
      <c r="B76" s="41" t="s">
        <v>1004</v>
      </c>
      <c r="C76" s="41" t="s">
        <v>1005</v>
      </c>
      <c r="D76" s="41" t="str">
        <f>"0,6069"</f>
        <v>0,6069</v>
      </c>
      <c r="E76" s="41" t="s">
        <v>27</v>
      </c>
      <c r="F76" s="41" t="s">
        <v>69</v>
      </c>
      <c r="G76" s="41" t="s">
        <v>70</v>
      </c>
      <c r="H76" s="43" t="s">
        <v>89</v>
      </c>
      <c r="I76" s="43"/>
      <c r="J76" s="41" t="s">
        <v>72</v>
      </c>
      <c r="K76" s="41" t="s">
        <v>51</v>
      </c>
      <c r="L76" s="41" t="s">
        <v>69</v>
      </c>
      <c r="M76" s="43"/>
      <c r="N76" s="41" t="s">
        <v>70</v>
      </c>
      <c r="O76" s="41" t="s">
        <v>89</v>
      </c>
      <c r="P76" s="41" t="s">
        <v>163</v>
      </c>
      <c r="Q76" s="43"/>
      <c r="R76" s="44">
        <v>500.0</v>
      </c>
      <c r="S76" s="41" t="str">
        <f>"303,4444"</f>
        <v>303,4444</v>
      </c>
      <c r="T76" s="41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32"/>
      <c r="S77" s="25"/>
      <c r="T77" s="25"/>
    </row>
    <row r="78" ht="14.25" customHeight="1">
      <c r="A78" s="30" t="s">
        <v>276</v>
      </c>
      <c r="T78" s="25"/>
    </row>
    <row r="79" ht="14.25" customHeight="1">
      <c r="A79" s="34" t="s">
        <v>741</v>
      </c>
      <c r="B79" s="34" t="s">
        <v>742</v>
      </c>
      <c r="C79" s="34" t="s">
        <v>1006</v>
      </c>
      <c r="D79" s="34" t="str">
        <f>"0,5515"</f>
        <v>0,5515</v>
      </c>
      <c r="E79" s="34" t="s">
        <v>27</v>
      </c>
      <c r="F79" s="34" t="s">
        <v>29</v>
      </c>
      <c r="G79" s="34" t="s">
        <v>76</v>
      </c>
      <c r="H79" s="34" t="s">
        <v>236</v>
      </c>
      <c r="I79" s="37"/>
      <c r="J79" s="34" t="s">
        <v>189</v>
      </c>
      <c r="K79" s="34" t="s">
        <v>163</v>
      </c>
      <c r="L79" s="37" t="s">
        <v>754</v>
      </c>
      <c r="M79" s="37"/>
      <c r="N79" s="34" t="s">
        <v>227</v>
      </c>
      <c r="O79" s="34" t="s">
        <v>80</v>
      </c>
      <c r="P79" s="34" t="s">
        <v>974</v>
      </c>
      <c r="Q79" s="37"/>
      <c r="R79" s="39">
        <v>710.0</v>
      </c>
      <c r="S79" s="34" t="str">
        <f>"391,5295"</f>
        <v>391,5295</v>
      </c>
      <c r="T79" s="34"/>
    </row>
    <row r="80" ht="14.25" customHeight="1">
      <c r="A80" s="41" t="s">
        <v>1007</v>
      </c>
      <c r="B80" s="41" t="s">
        <v>1008</v>
      </c>
      <c r="C80" s="41" t="s">
        <v>769</v>
      </c>
      <c r="D80" s="41" t="str">
        <f>"0,5510"</f>
        <v>0,5510</v>
      </c>
      <c r="E80" s="41" t="s">
        <v>27</v>
      </c>
      <c r="F80" s="43" t="s">
        <v>55</v>
      </c>
      <c r="G80" s="43" t="s">
        <v>55</v>
      </c>
      <c r="H80" s="41" t="s">
        <v>55</v>
      </c>
      <c r="I80" s="43"/>
      <c r="J80" s="41" t="s">
        <v>69</v>
      </c>
      <c r="K80" s="41" t="s">
        <v>517</v>
      </c>
      <c r="L80" s="41" t="s">
        <v>138</v>
      </c>
      <c r="M80" s="43"/>
      <c r="N80" s="43" t="s">
        <v>55</v>
      </c>
      <c r="O80" s="41" t="s">
        <v>55</v>
      </c>
      <c r="P80" s="41" t="s">
        <v>76</v>
      </c>
      <c r="Q80" s="43"/>
      <c r="R80" s="44">
        <v>617.5</v>
      </c>
      <c r="S80" s="41" t="str">
        <f>"340,2147"</f>
        <v>340,2147</v>
      </c>
      <c r="T80" s="41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32"/>
      <c r="S81" s="25"/>
      <c r="T81" s="25"/>
    </row>
    <row r="82" ht="14.25" customHeight="1">
      <c r="A82" s="25"/>
      <c r="B82" s="25"/>
      <c r="C82" s="25"/>
      <c r="D82" s="25"/>
      <c r="E82" s="29" t="s">
        <v>33</v>
      </c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32"/>
      <c r="S82" s="25"/>
      <c r="T82" s="25"/>
    </row>
    <row r="83" ht="14.25" customHeight="1">
      <c r="A83" s="25"/>
      <c r="B83" s="25"/>
      <c r="C83" s="25"/>
      <c r="D83" s="25"/>
      <c r="E83" s="29" t="s">
        <v>35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32"/>
      <c r="S83" s="25"/>
      <c r="T83" s="25"/>
    </row>
    <row r="84" ht="14.25" customHeight="1">
      <c r="A84" s="25"/>
      <c r="B84" s="25"/>
      <c r="C84" s="25"/>
      <c r="D84" s="25"/>
      <c r="E84" s="29" t="s">
        <v>36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32"/>
      <c r="S84" s="25"/>
      <c r="T84" s="25"/>
    </row>
    <row r="85" ht="14.25" customHeight="1">
      <c r="A85" s="25"/>
      <c r="B85" s="25"/>
      <c r="C85" s="25"/>
      <c r="D85" s="25"/>
      <c r="E85" s="25" t="s">
        <v>37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32"/>
      <c r="S85" s="25"/>
      <c r="T85" s="25"/>
    </row>
    <row r="86" ht="14.25" customHeight="1">
      <c r="A86" s="25"/>
      <c r="B86" s="25"/>
      <c r="C86" s="25"/>
      <c r="D86" s="25"/>
      <c r="E86" s="25" t="s">
        <v>38</v>
      </c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32"/>
      <c r="S86" s="25"/>
      <c r="T86" s="25"/>
    </row>
    <row r="87" ht="14.25" customHeight="1">
      <c r="A87" s="25"/>
      <c r="B87" s="25"/>
      <c r="C87" s="25"/>
      <c r="D87" s="25"/>
      <c r="E87" s="25" t="s">
        <v>39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32"/>
      <c r="S87" s="25"/>
      <c r="T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32"/>
      <c r="S88" s="25"/>
      <c r="T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32"/>
      <c r="S89" s="25"/>
      <c r="T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32"/>
      <c r="S90" s="25"/>
      <c r="T90" s="25"/>
    </row>
    <row r="91" ht="14.25" customHeight="1">
      <c r="A91" s="31" t="s">
        <v>40</v>
      </c>
      <c r="B91" s="31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32"/>
      <c r="S91" s="25"/>
      <c r="T91" s="25"/>
    </row>
    <row r="92" ht="14.25" customHeight="1">
      <c r="A92" s="33" t="s">
        <v>97</v>
      </c>
      <c r="B92" s="33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32"/>
      <c r="S92" s="25"/>
      <c r="T92" s="25"/>
    </row>
    <row r="93" ht="14.25" customHeight="1">
      <c r="A93" s="35" t="s">
        <v>99</v>
      </c>
      <c r="B93" s="36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32"/>
      <c r="S93" s="25"/>
      <c r="T93" s="25"/>
    </row>
    <row r="94" ht="14.25" customHeight="1">
      <c r="A94" s="38" t="s">
        <v>3</v>
      </c>
      <c r="B94" s="38" t="s">
        <v>56</v>
      </c>
      <c r="C94" s="38" t="s">
        <v>57</v>
      </c>
      <c r="D94" s="38" t="s">
        <v>10</v>
      </c>
      <c r="E94" s="38" t="s">
        <v>58</v>
      </c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32"/>
      <c r="S94" s="25"/>
      <c r="T94" s="25"/>
    </row>
    <row r="95" ht="14.25" customHeight="1">
      <c r="A95" s="40" t="s">
        <v>909</v>
      </c>
      <c r="B95" s="25" t="s">
        <v>308</v>
      </c>
      <c r="C95" s="25" t="s">
        <v>293</v>
      </c>
      <c r="D95" s="25" t="s">
        <v>227</v>
      </c>
      <c r="E95" s="42" t="s">
        <v>1009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32"/>
      <c r="S95" s="25"/>
      <c r="T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32"/>
      <c r="S96" s="25"/>
      <c r="T96" s="25"/>
    </row>
    <row r="97" ht="14.25" customHeight="1">
      <c r="A97" s="35" t="s">
        <v>103</v>
      </c>
      <c r="B97" s="36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32"/>
      <c r="S97" s="25"/>
      <c r="T97" s="25"/>
    </row>
    <row r="98" ht="14.25" customHeight="1">
      <c r="A98" s="38" t="s">
        <v>3</v>
      </c>
      <c r="B98" s="38" t="s">
        <v>56</v>
      </c>
      <c r="C98" s="38" t="s">
        <v>57</v>
      </c>
      <c r="D98" s="38" t="s">
        <v>10</v>
      </c>
      <c r="E98" s="38" t="s">
        <v>58</v>
      </c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32"/>
      <c r="S98" s="25"/>
      <c r="T98" s="25"/>
    </row>
    <row r="99" ht="14.25" customHeight="1">
      <c r="A99" s="40" t="s">
        <v>892</v>
      </c>
      <c r="B99" s="25" t="s">
        <v>103</v>
      </c>
      <c r="C99" s="25" t="s">
        <v>288</v>
      </c>
      <c r="D99" s="25" t="s">
        <v>957</v>
      </c>
      <c r="E99" s="42" t="s">
        <v>1010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32"/>
      <c r="S99" s="25"/>
      <c r="T99" s="25"/>
    </row>
    <row r="100" ht="14.25" customHeight="1">
      <c r="A100" s="40" t="s">
        <v>905</v>
      </c>
      <c r="B100" s="25" t="s">
        <v>103</v>
      </c>
      <c r="C100" s="25" t="s">
        <v>284</v>
      </c>
      <c r="D100" s="25" t="s">
        <v>1011</v>
      </c>
      <c r="E100" s="42" t="s">
        <v>1012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32"/>
      <c r="S100" s="25"/>
      <c r="T100" s="25"/>
    </row>
    <row r="101" ht="14.25" customHeight="1">
      <c r="A101" s="40" t="s">
        <v>885</v>
      </c>
      <c r="B101" s="25" t="s">
        <v>103</v>
      </c>
      <c r="C101" s="25" t="s">
        <v>302</v>
      </c>
      <c r="D101" s="25" t="s">
        <v>998</v>
      </c>
      <c r="E101" s="42" t="s">
        <v>1013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32"/>
      <c r="S101" s="25"/>
      <c r="T101" s="25"/>
    </row>
    <row r="102" ht="14.25" customHeight="1">
      <c r="A102" s="40" t="s">
        <v>896</v>
      </c>
      <c r="B102" s="25" t="s">
        <v>103</v>
      </c>
      <c r="C102" s="25" t="s">
        <v>288</v>
      </c>
      <c r="D102" s="25" t="s">
        <v>231</v>
      </c>
      <c r="E102" s="42" t="s">
        <v>1014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32"/>
      <c r="S102" s="25"/>
      <c r="T102" s="25"/>
    </row>
    <row r="103" ht="14.25" customHeight="1">
      <c r="A103" s="40" t="s">
        <v>915</v>
      </c>
      <c r="B103" s="25" t="s">
        <v>103</v>
      </c>
      <c r="C103" s="25" t="s">
        <v>286</v>
      </c>
      <c r="D103" s="25" t="s">
        <v>1015</v>
      </c>
      <c r="E103" s="42" t="s">
        <v>1016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32"/>
      <c r="S103" s="25"/>
      <c r="T103" s="25"/>
    </row>
    <row r="104" ht="14.25" customHeight="1">
      <c r="A104" s="40" t="s">
        <v>912</v>
      </c>
      <c r="B104" s="25" t="s">
        <v>103</v>
      </c>
      <c r="C104" s="25" t="s">
        <v>293</v>
      </c>
      <c r="D104" s="25" t="s">
        <v>878</v>
      </c>
      <c r="E104" s="42" t="s">
        <v>1017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32"/>
      <c r="S104" s="25"/>
      <c r="T104" s="25"/>
    </row>
    <row r="105" ht="14.25" customHeight="1">
      <c r="A105" s="40" t="s">
        <v>899</v>
      </c>
      <c r="B105" s="25" t="s">
        <v>103</v>
      </c>
      <c r="C105" s="25" t="s">
        <v>288</v>
      </c>
      <c r="D105" s="25" t="s">
        <v>178</v>
      </c>
      <c r="E105" s="42" t="s">
        <v>1018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32"/>
      <c r="S105" s="25"/>
      <c r="T105" s="25"/>
    </row>
    <row r="106" ht="14.25" customHeight="1">
      <c r="A106" s="40" t="s">
        <v>901</v>
      </c>
      <c r="B106" s="25" t="s">
        <v>103</v>
      </c>
      <c r="C106" s="25" t="s">
        <v>101</v>
      </c>
      <c r="D106" s="25" t="s">
        <v>89</v>
      </c>
      <c r="E106" s="42" t="s">
        <v>1019</v>
      </c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32"/>
      <c r="S106" s="25"/>
      <c r="T106" s="25"/>
    </row>
    <row r="107" ht="14.25" customHeight="1">
      <c r="A107" s="40" t="s">
        <v>918</v>
      </c>
      <c r="B107" s="25" t="s">
        <v>103</v>
      </c>
      <c r="C107" s="25" t="s">
        <v>306</v>
      </c>
      <c r="D107" s="25" t="s">
        <v>180</v>
      </c>
      <c r="E107" s="42" t="s">
        <v>1020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32"/>
      <c r="S107" s="25"/>
      <c r="T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32"/>
      <c r="S108" s="25"/>
      <c r="T108" s="25"/>
    </row>
    <row r="109" ht="14.25" customHeight="1">
      <c r="A109" s="35" t="s">
        <v>45</v>
      </c>
      <c r="B109" s="36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32"/>
      <c r="S109" s="25"/>
      <c r="T109" s="25"/>
    </row>
    <row r="110" ht="14.25" customHeight="1">
      <c r="A110" s="38" t="s">
        <v>3</v>
      </c>
      <c r="B110" s="38" t="s">
        <v>56</v>
      </c>
      <c r="C110" s="38" t="s">
        <v>57</v>
      </c>
      <c r="D110" s="38" t="s">
        <v>10</v>
      </c>
      <c r="E110" s="38" t="s">
        <v>58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32"/>
      <c r="S110" s="25"/>
      <c r="T110" s="25"/>
    </row>
    <row r="111" ht="14.25" customHeight="1">
      <c r="A111" s="40" t="s">
        <v>485</v>
      </c>
      <c r="B111" s="25" t="s">
        <v>115</v>
      </c>
      <c r="C111" s="25" t="s">
        <v>302</v>
      </c>
      <c r="D111" s="25" t="s">
        <v>889</v>
      </c>
      <c r="E111" s="42" t="s">
        <v>891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32"/>
      <c r="S111" s="25"/>
      <c r="T111" s="25"/>
    </row>
    <row r="112" ht="14.25" customHeight="1">
      <c r="A112" s="40" t="s">
        <v>920</v>
      </c>
      <c r="B112" s="25" t="s">
        <v>115</v>
      </c>
      <c r="C112" s="25" t="s">
        <v>306</v>
      </c>
      <c r="D112" s="25" t="s">
        <v>222</v>
      </c>
      <c r="E112" s="42" t="s">
        <v>1021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32"/>
      <c r="S112" s="25"/>
      <c r="T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32"/>
      <c r="S113" s="25"/>
      <c r="T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32"/>
      <c r="S114" s="25"/>
      <c r="T114" s="25"/>
    </row>
    <row r="115" ht="14.25" customHeight="1">
      <c r="A115" s="33" t="s">
        <v>42</v>
      </c>
      <c r="B115" s="33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32"/>
      <c r="S115" s="25"/>
      <c r="T115" s="25"/>
    </row>
    <row r="116" ht="14.25" customHeight="1">
      <c r="A116" s="35" t="s">
        <v>99</v>
      </c>
      <c r="B116" s="36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32"/>
      <c r="S116" s="25"/>
      <c r="T116" s="25"/>
    </row>
    <row r="117" ht="14.25" customHeight="1">
      <c r="A117" s="38" t="s">
        <v>3</v>
      </c>
      <c r="B117" s="38" t="s">
        <v>56</v>
      </c>
      <c r="C117" s="38" t="s">
        <v>57</v>
      </c>
      <c r="D117" s="38" t="s">
        <v>10</v>
      </c>
      <c r="E117" s="38" t="s">
        <v>58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32"/>
      <c r="S117" s="25"/>
      <c r="T117" s="25"/>
    </row>
    <row r="118" ht="14.25" customHeight="1">
      <c r="A118" s="40" t="s">
        <v>995</v>
      </c>
      <c r="B118" s="25" t="s">
        <v>100</v>
      </c>
      <c r="C118" s="25" t="s">
        <v>317</v>
      </c>
      <c r="D118" s="25" t="s">
        <v>1022</v>
      </c>
      <c r="E118" s="42" t="s">
        <v>1023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32"/>
      <c r="S118" s="25"/>
      <c r="T118" s="25"/>
    </row>
    <row r="119" ht="14.25" customHeight="1">
      <c r="A119" s="40" t="s">
        <v>947</v>
      </c>
      <c r="B119" s="25" t="s">
        <v>100</v>
      </c>
      <c r="C119" s="25" t="s">
        <v>108</v>
      </c>
      <c r="D119" s="25" t="s">
        <v>1024</v>
      </c>
      <c r="E119" s="42" t="s">
        <v>1025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32"/>
      <c r="S119" s="25"/>
      <c r="T119" s="25"/>
    </row>
    <row r="120" ht="14.25" customHeight="1">
      <c r="A120" s="40" t="s">
        <v>937</v>
      </c>
      <c r="B120" s="25" t="s">
        <v>100</v>
      </c>
      <c r="C120" s="25" t="s">
        <v>306</v>
      </c>
      <c r="D120" s="25" t="s">
        <v>1026</v>
      </c>
      <c r="E120" s="42" t="s">
        <v>1027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32"/>
      <c r="S120" s="25"/>
      <c r="T120" s="25"/>
    </row>
    <row r="121" ht="14.25" customHeight="1">
      <c r="A121" s="40" t="s">
        <v>206</v>
      </c>
      <c r="B121" s="25" t="s">
        <v>308</v>
      </c>
      <c r="C121" s="25" t="s">
        <v>306</v>
      </c>
      <c r="D121" s="25" t="s">
        <v>1028</v>
      </c>
      <c r="E121" s="42" t="s">
        <v>1029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32"/>
      <c r="S121" s="25"/>
      <c r="T121" s="25"/>
    </row>
    <row r="122" ht="14.25" customHeight="1">
      <c r="A122" s="40" t="s">
        <v>992</v>
      </c>
      <c r="B122" s="25" t="s">
        <v>308</v>
      </c>
      <c r="C122" s="25" t="s">
        <v>317</v>
      </c>
      <c r="D122" s="25" t="s">
        <v>1030</v>
      </c>
      <c r="E122" s="42" t="s">
        <v>1031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32"/>
      <c r="S122" s="25"/>
      <c r="T122" s="25"/>
    </row>
    <row r="123" ht="14.25" customHeight="1">
      <c r="A123" s="40" t="s">
        <v>923</v>
      </c>
      <c r="B123" s="25" t="s">
        <v>796</v>
      </c>
      <c r="C123" s="25" t="s">
        <v>638</v>
      </c>
      <c r="D123" s="25" t="s">
        <v>943</v>
      </c>
      <c r="E123" s="42" t="s">
        <v>1032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32"/>
      <c r="S123" s="25"/>
      <c r="T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32"/>
      <c r="S124" s="25"/>
      <c r="T124" s="25"/>
    </row>
    <row r="125" ht="14.25" customHeight="1">
      <c r="A125" s="35" t="s">
        <v>282</v>
      </c>
      <c r="B125" s="36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32"/>
      <c r="S125" s="25"/>
      <c r="T125" s="25"/>
    </row>
    <row r="126" ht="14.25" customHeight="1">
      <c r="A126" s="38" t="s">
        <v>3</v>
      </c>
      <c r="B126" s="38" t="s">
        <v>56</v>
      </c>
      <c r="C126" s="38" t="s">
        <v>57</v>
      </c>
      <c r="D126" s="38" t="s">
        <v>10</v>
      </c>
      <c r="E126" s="38" t="s">
        <v>58</v>
      </c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32"/>
      <c r="S126" s="25"/>
      <c r="T126" s="25"/>
    </row>
    <row r="127" ht="14.25" customHeight="1">
      <c r="A127" s="40" t="s">
        <v>243</v>
      </c>
      <c r="B127" s="25" t="s">
        <v>283</v>
      </c>
      <c r="C127" s="25" t="s">
        <v>61</v>
      </c>
      <c r="D127" s="25" t="s">
        <v>1033</v>
      </c>
      <c r="E127" s="42" t="s">
        <v>1034</v>
      </c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32"/>
      <c r="S127" s="25"/>
      <c r="T127" s="25"/>
    </row>
    <row r="128" ht="14.25" customHeight="1">
      <c r="A128" s="40" t="s">
        <v>970</v>
      </c>
      <c r="B128" s="25" t="s">
        <v>283</v>
      </c>
      <c r="C128" s="25" t="s">
        <v>61</v>
      </c>
      <c r="D128" s="25" t="s">
        <v>1035</v>
      </c>
      <c r="E128" s="42" t="s">
        <v>1036</v>
      </c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32"/>
      <c r="S128" s="25"/>
      <c r="T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32"/>
      <c r="S129" s="25"/>
      <c r="T129" s="25"/>
    </row>
    <row r="130" ht="14.25" customHeight="1">
      <c r="A130" s="35" t="s">
        <v>103</v>
      </c>
      <c r="B130" s="36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32"/>
      <c r="S130" s="25"/>
      <c r="T130" s="25"/>
    </row>
    <row r="131" ht="14.25" customHeight="1">
      <c r="A131" s="38" t="s">
        <v>3</v>
      </c>
      <c r="B131" s="38" t="s">
        <v>56</v>
      </c>
      <c r="C131" s="38" t="s">
        <v>57</v>
      </c>
      <c r="D131" s="38" t="s">
        <v>10</v>
      </c>
      <c r="E131" s="38" t="s">
        <v>58</v>
      </c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32"/>
      <c r="S131" s="25"/>
      <c r="T131" s="25"/>
    </row>
    <row r="132" ht="14.25" customHeight="1">
      <c r="A132" s="40" t="s">
        <v>930</v>
      </c>
      <c r="B132" s="25" t="s">
        <v>103</v>
      </c>
      <c r="C132" s="25" t="s">
        <v>286</v>
      </c>
      <c r="D132" s="25" t="s">
        <v>1037</v>
      </c>
      <c r="E132" s="42" t="s">
        <v>1038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32"/>
      <c r="S132" s="25"/>
      <c r="T132" s="25"/>
    </row>
    <row r="133" ht="14.25" customHeight="1">
      <c r="A133" s="40" t="s">
        <v>972</v>
      </c>
      <c r="B133" s="25" t="s">
        <v>103</v>
      </c>
      <c r="C133" s="25" t="s">
        <v>61</v>
      </c>
      <c r="D133" s="25" t="s">
        <v>1039</v>
      </c>
      <c r="E133" s="42" t="s">
        <v>1040</v>
      </c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32"/>
      <c r="S133" s="25"/>
      <c r="T133" s="25"/>
    </row>
    <row r="134" ht="14.25" customHeight="1">
      <c r="A134" s="40" t="s">
        <v>741</v>
      </c>
      <c r="B134" s="25" t="s">
        <v>103</v>
      </c>
      <c r="C134" s="25" t="s">
        <v>381</v>
      </c>
      <c r="D134" s="25" t="s">
        <v>1041</v>
      </c>
      <c r="E134" s="42" t="s">
        <v>1042</v>
      </c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32"/>
      <c r="S134" s="25"/>
      <c r="T134" s="25"/>
    </row>
    <row r="135" ht="14.25" customHeight="1">
      <c r="A135" s="40" t="s">
        <v>975</v>
      </c>
      <c r="B135" s="25" t="s">
        <v>103</v>
      </c>
      <c r="C135" s="25" t="s">
        <v>61</v>
      </c>
      <c r="D135" s="25" t="s">
        <v>1043</v>
      </c>
      <c r="E135" s="42" t="s">
        <v>1044</v>
      </c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32"/>
      <c r="S135" s="25"/>
      <c r="T135" s="25"/>
    </row>
    <row r="136" ht="14.25" customHeight="1">
      <c r="A136" s="40" t="s">
        <v>977</v>
      </c>
      <c r="B136" s="25" t="s">
        <v>103</v>
      </c>
      <c r="C136" s="25" t="s">
        <v>61</v>
      </c>
      <c r="D136" s="25" t="s">
        <v>1045</v>
      </c>
      <c r="E136" s="42" t="s">
        <v>1046</v>
      </c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32"/>
      <c r="S136" s="25"/>
      <c r="T136" s="25"/>
    </row>
    <row r="137" ht="14.25" customHeight="1">
      <c r="A137" s="40" t="s">
        <v>951</v>
      </c>
      <c r="B137" s="25" t="s">
        <v>103</v>
      </c>
      <c r="C137" s="25" t="s">
        <v>108</v>
      </c>
      <c r="D137" s="25" t="s">
        <v>1047</v>
      </c>
      <c r="E137" s="42" t="s">
        <v>1048</v>
      </c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32"/>
      <c r="S137" s="25"/>
      <c r="T137" s="25"/>
    </row>
    <row r="138" ht="14.25" customHeight="1">
      <c r="A138" s="40" t="s">
        <v>954</v>
      </c>
      <c r="B138" s="25" t="s">
        <v>103</v>
      </c>
      <c r="C138" s="25" t="s">
        <v>108</v>
      </c>
      <c r="D138" s="25" t="s">
        <v>1049</v>
      </c>
      <c r="E138" s="42" t="s">
        <v>1050</v>
      </c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32"/>
      <c r="S138" s="25"/>
      <c r="T138" s="25"/>
    </row>
    <row r="139" ht="14.25" customHeight="1">
      <c r="A139" s="40" t="s">
        <v>980</v>
      </c>
      <c r="B139" s="25" t="s">
        <v>103</v>
      </c>
      <c r="C139" s="25" t="s">
        <v>61</v>
      </c>
      <c r="D139" s="25" t="s">
        <v>1051</v>
      </c>
      <c r="E139" s="42" t="s">
        <v>1052</v>
      </c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32"/>
      <c r="S139" s="25"/>
      <c r="T139" s="25"/>
    </row>
    <row r="140" ht="14.25" customHeight="1">
      <c r="A140" s="40" t="s">
        <v>940</v>
      </c>
      <c r="B140" s="25" t="s">
        <v>103</v>
      </c>
      <c r="C140" s="25" t="s">
        <v>306</v>
      </c>
      <c r="D140" s="25" t="s">
        <v>1053</v>
      </c>
      <c r="E140" s="42" t="s">
        <v>1054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32"/>
      <c r="S140" s="25"/>
      <c r="T140" s="25"/>
    </row>
    <row r="141" ht="14.25" customHeight="1">
      <c r="A141" s="40" t="s">
        <v>958</v>
      </c>
      <c r="B141" s="25" t="s">
        <v>103</v>
      </c>
      <c r="C141" s="25" t="s">
        <v>108</v>
      </c>
      <c r="D141" s="25" t="s">
        <v>1055</v>
      </c>
      <c r="E141" s="42" t="s">
        <v>1056</v>
      </c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32"/>
      <c r="S141" s="25"/>
      <c r="T141" s="25"/>
    </row>
    <row r="142" ht="14.25" customHeight="1">
      <c r="A142" s="40" t="s">
        <v>983</v>
      </c>
      <c r="B142" s="25" t="s">
        <v>103</v>
      </c>
      <c r="C142" s="25" t="s">
        <v>61</v>
      </c>
      <c r="D142" s="25" t="s">
        <v>1047</v>
      </c>
      <c r="E142" s="42" t="s">
        <v>1057</v>
      </c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32"/>
      <c r="S142" s="25"/>
      <c r="T142" s="25"/>
    </row>
    <row r="143" ht="14.25" customHeight="1">
      <c r="A143" s="40" t="s">
        <v>960</v>
      </c>
      <c r="B143" s="25" t="s">
        <v>103</v>
      </c>
      <c r="C143" s="25" t="s">
        <v>108</v>
      </c>
      <c r="D143" s="25" t="s">
        <v>1058</v>
      </c>
      <c r="E143" s="42" t="s">
        <v>1059</v>
      </c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32"/>
      <c r="S143" s="25"/>
      <c r="T143" s="25"/>
    </row>
    <row r="144" ht="14.25" customHeight="1">
      <c r="A144" s="40" t="s">
        <v>1000</v>
      </c>
      <c r="B144" s="25" t="s">
        <v>103</v>
      </c>
      <c r="C144" s="25" t="s">
        <v>317</v>
      </c>
      <c r="D144" s="25" t="s">
        <v>1060</v>
      </c>
      <c r="E144" s="42" t="s">
        <v>1061</v>
      </c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32"/>
      <c r="S144" s="25"/>
      <c r="T144" s="25"/>
    </row>
    <row r="145" ht="14.25" customHeight="1">
      <c r="A145" s="40" t="s">
        <v>963</v>
      </c>
      <c r="B145" s="25" t="s">
        <v>103</v>
      </c>
      <c r="C145" s="25" t="s">
        <v>108</v>
      </c>
      <c r="D145" s="25" t="s">
        <v>1062</v>
      </c>
      <c r="E145" s="42" t="s">
        <v>1063</v>
      </c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32"/>
      <c r="S145" s="25"/>
      <c r="T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32"/>
      <c r="S146" s="25"/>
      <c r="T146" s="25"/>
    </row>
    <row r="147" ht="14.25" customHeight="1">
      <c r="A147" s="35" t="s">
        <v>45</v>
      </c>
      <c r="B147" s="36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32"/>
      <c r="S147" s="25"/>
      <c r="T147" s="25"/>
    </row>
    <row r="148" ht="14.25" customHeight="1">
      <c r="A148" s="38" t="s">
        <v>3</v>
      </c>
      <c r="B148" s="38" t="s">
        <v>56</v>
      </c>
      <c r="C148" s="38" t="s">
        <v>57</v>
      </c>
      <c r="D148" s="38" t="s">
        <v>10</v>
      </c>
      <c r="E148" s="38" t="s">
        <v>58</v>
      </c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32"/>
      <c r="S148" s="25"/>
      <c r="T148" s="25"/>
    </row>
    <row r="149" ht="14.25" customHeight="1">
      <c r="A149" s="40" t="s">
        <v>958</v>
      </c>
      <c r="B149" s="25" t="s">
        <v>122</v>
      </c>
      <c r="C149" s="25" t="s">
        <v>108</v>
      </c>
      <c r="D149" s="25" t="s">
        <v>1064</v>
      </c>
      <c r="E149" s="42" t="s">
        <v>1065</v>
      </c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32"/>
      <c r="S149" s="25"/>
      <c r="T149" s="25"/>
    </row>
    <row r="150" ht="14.25" customHeight="1">
      <c r="A150" s="40" t="s">
        <v>989</v>
      </c>
      <c r="B150" s="25" t="s">
        <v>300</v>
      </c>
      <c r="C150" s="25" t="s">
        <v>61</v>
      </c>
      <c r="D150" s="25" t="s">
        <v>1066</v>
      </c>
      <c r="E150" s="42" t="s">
        <v>1067</v>
      </c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32"/>
      <c r="S150" s="25"/>
      <c r="T150" s="25"/>
    </row>
    <row r="151" ht="14.25" customHeight="1">
      <c r="A151" s="40" t="s">
        <v>1007</v>
      </c>
      <c r="B151" s="25" t="s">
        <v>115</v>
      </c>
      <c r="C151" s="25" t="s">
        <v>381</v>
      </c>
      <c r="D151" s="25" t="s">
        <v>1068</v>
      </c>
      <c r="E151" s="42" t="s">
        <v>1069</v>
      </c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32"/>
      <c r="S151" s="25"/>
      <c r="T151" s="25"/>
    </row>
    <row r="152" ht="14.25" customHeight="1">
      <c r="A152" s="40" t="s">
        <v>967</v>
      </c>
      <c r="B152" s="25" t="s">
        <v>59</v>
      </c>
      <c r="C152" s="25" t="s">
        <v>108</v>
      </c>
      <c r="D152" s="25" t="s">
        <v>1070</v>
      </c>
      <c r="E152" s="42" t="s">
        <v>1071</v>
      </c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32"/>
      <c r="S152" s="25"/>
      <c r="T152" s="25"/>
    </row>
    <row r="153" ht="14.25" customHeight="1">
      <c r="A153" s="40" t="s">
        <v>1003</v>
      </c>
      <c r="B153" s="25" t="s">
        <v>300</v>
      </c>
      <c r="C153" s="25" t="s">
        <v>317</v>
      </c>
      <c r="D153" s="25" t="s">
        <v>1072</v>
      </c>
      <c r="E153" s="42" t="s">
        <v>1073</v>
      </c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32"/>
      <c r="S153" s="25"/>
      <c r="T153" s="25"/>
    </row>
    <row r="154" ht="14.25" customHeight="1">
      <c r="A154" s="40" t="s">
        <v>944</v>
      </c>
      <c r="B154" s="25" t="s">
        <v>300</v>
      </c>
      <c r="C154" s="25" t="s">
        <v>306</v>
      </c>
      <c r="D154" s="25" t="s">
        <v>1074</v>
      </c>
      <c r="E154" s="42" t="s">
        <v>1075</v>
      </c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32"/>
      <c r="S154" s="25"/>
      <c r="T154" s="25"/>
    </row>
    <row r="155" ht="14.25" customHeight="1">
      <c r="A155" s="40" t="s">
        <v>927</v>
      </c>
      <c r="B155" s="25" t="s">
        <v>1076</v>
      </c>
      <c r="C155" s="25" t="s">
        <v>293</v>
      </c>
      <c r="D155" s="25" t="s">
        <v>371</v>
      </c>
      <c r="E155" s="42" t="s">
        <v>1077</v>
      </c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32"/>
      <c r="S155" s="25"/>
      <c r="T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32"/>
      <c r="S156" s="25"/>
      <c r="T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32"/>
      <c r="S157" s="25"/>
      <c r="T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32"/>
      <c r="S158" s="25"/>
      <c r="T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32"/>
      <c r="S159" s="25"/>
      <c r="T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32"/>
      <c r="S160" s="25"/>
      <c r="T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32"/>
      <c r="S161" s="25"/>
      <c r="T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32"/>
      <c r="S162" s="25"/>
      <c r="T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32"/>
      <c r="S163" s="25"/>
      <c r="T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32"/>
      <c r="S164" s="25"/>
      <c r="T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32"/>
      <c r="S165" s="25"/>
      <c r="T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32"/>
      <c r="S166" s="25"/>
      <c r="T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32"/>
      <c r="S167" s="25"/>
      <c r="T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32"/>
      <c r="S168" s="25"/>
      <c r="T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32"/>
      <c r="S169" s="25"/>
      <c r="T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32"/>
      <c r="S170" s="25"/>
      <c r="T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32"/>
      <c r="S171" s="25"/>
      <c r="T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32"/>
      <c r="S172" s="25"/>
      <c r="T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32"/>
      <c r="S173" s="25"/>
      <c r="T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32"/>
      <c r="S174" s="25"/>
      <c r="T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32"/>
      <c r="S175" s="25"/>
      <c r="T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32"/>
      <c r="S176" s="25"/>
      <c r="T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32"/>
      <c r="S177" s="25"/>
      <c r="T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32"/>
      <c r="S178" s="25"/>
      <c r="T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32"/>
      <c r="S179" s="25"/>
      <c r="T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32"/>
      <c r="S180" s="25"/>
      <c r="T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32"/>
      <c r="S181" s="25"/>
      <c r="T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32"/>
      <c r="S182" s="25"/>
      <c r="T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32"/>
      <c r="S183" s="25"/>
      <c r="T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32"/>
      <c r="S184" s="25"/>
      <c r="T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32"/>
      <c r="S185" s="25"/>
      <c r="T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32"/>
      <c r="S186" s="25"/>
      <c r="T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32"/>
      <c r="S187" s="25"/>
      <c r="T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32"/>
      <c r="S188" s="25"/>
      <c r="T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32"/>
      <c r="S189" s="25"/>
      <c r="T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32"/>
      <c r="S190" s="25"/>
      <c r="T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32"/>
      <c r="S191" s="25"/>
      <c r="T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32"/>
      <c r="S192" s="25"/>
      <c r="T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32"/>
      <c r="S193" s="25"/>
      <c r="T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32"/>
      <c r="S194" s="25"/>
      <c r="T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32"/>
      <c r="S195" s="25"/>
      <c r="T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32"/>
      <c r="S196" s="25"/>
      <c r="T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32"/>
      <c r="S197" s="25"/>
      <c r="T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32"/>
      <c r="S198" s="25"/>
      <c r="T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32"/>
      <c r="S199" s="25"/>
      <c r="T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32"/>
      <c r="S200" s="25"/>
      <c r="T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32"/>
      <c r="S201" s="25"/>
      <c r="T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32"/>
      <c r="S202" s="25"/>
      <c r="T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32"/>
      <c r="S203" s="25"/>
      <c r="T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32"/>
      <c r="S204" s="25"/>
      <c r="T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32"/>
      <c r="S205" s="25"/>
      <c r="T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32"/>
      <c r="S206" s="25"/>
      <c r="T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32"/>
      <c r="S207" s="25"/>
      <c r="T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32"/>
      <c r="S208" s="25"/>
      <c r="T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32"/>
      <c r="S209" s="25"/>
      <c r="T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32"/>
      <c r="S210" s="25"/>
      <c r="T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32"/>
      <c r="S211" s="25"/>
      <c r="T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32"/>
      <c r="S212" s="25"/>
      <c r="T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32"/>
      <c r="S213" s="25"/>
      <c r="T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32"/>
      <c r="S214" s="25"/>
      <c r="T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32"/>
      <c r="S215" s="25"/>
      <c r="T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32"/>
      <c r="S216" s="25"/>
      <c r="T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32"/>
      <c r="S217" s="25"/>
      <c r="T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32"/>
      <c r="S218" s="25"/>
      <c r="T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32"/>
      <c r="S219" s="25"/>
      <c r="T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32"/>
      <c r="S220" s="25"/>
      <c r="T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32"/>
      <c r="S221" s="25"/>
      <c r="T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32"/>
      <c r="S222" s="25"/>
      <c r="T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32"/>
      <c r="S223" s="25"/>
      <c r="T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32"/>
      <c r="S224" s="25"/>
      <c r="T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32"/>
      <c r="S225" s="25"/>
      <c r="T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32"/>
      <c r="S226" s="25"/>
      <c r="T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32"/>
      <c r="S227" s="25"/>
      <c r="T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32"/>
      <c r="S228" s="25"/>
      <c r="T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32"/>
      <c r="S229" s="25"/>
      <c r="T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32"/>
      <c r="S230" s="25"/>
      <c r="T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32"/>
      <c r="S231" s="25"/>
      <c r="T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32"/>
      <c r="S232" s="25"/>
      <c r="T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32"/>
      <c r="S233" s="25"/>
      <c r="T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32"/>
      <c r="S234" s="25"/>
      <c r="T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32"/>
      <c r="S235" s="25"/>
      <c r="T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32"/>
      <c r="S236" s="25"/>
      <c r="T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32"/>
      <c r="S237" s="25"/>
      <c r="T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32"/>
      <c r="S238" s="25"/>
      <c r="T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32"/>
      <c r="S239" s="25"/>
      <c r="T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32"/>
      <c r="S240" s="25"/>
      <c r="T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32"/>
      <c r="S241" s="25"/>
      <c r="T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32"/>
      <c r="S242" s="25"/>
      <c r="T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32"/>
      <c r="S243" s="25"/>
      <c r="T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32"/>
      <c r="S244" s="25"/>
      <c r="T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32"/>
      <c r="S245" s="25"/>
      <c r="T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32"/>
      <c r="S246" s="25"/>
      <c r="T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32"/>
      <c r="S247" s="25"/>
      <c r="T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32"/>
      <c r="S248" s="25"/>
      <c r="T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32"/>
      <c r="S249" s="25"/>
      <c r="T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32"/>
      <c r="S250" s="25"/>
      <c r="T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32"/>
      <c r="S251" s="25"/>
      <c r="T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32"/>
      <c r="S252" s="25"/>
      <c r="T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32"/>
      <c r="S253" s="25"/>
      <c r="T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32"/>
      <c r="S254" s="25"/>
      <c r="T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32"/>
      <c r="S255" s="25"/>
      <c r="T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32"/>
      <c r="S256" s="25"/>
      <c r="T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32"/>
      <c r="S257" s="25"/>
      <c r="T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32"/>
      <c r="S258" s="25"/>
      <c r="T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32"/>
      <c r="S259" s="25"/>
      <c r="T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32"/>
      <c r="S260" s="25"/>
      <c r="T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32"/>
      <c r="S261" s="25"/>
      <c r="T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32"/>
      <c r="S262" s="25"/>
      <c r="T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32"/>
      <c r="S263" s="25"/>
      <c r="T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32"/>
      <c r="S264" s="25"/>
      <c r="T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32"/>
      <c r="S265" s="25"/>
      <c r="T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32"/>
      <c r="S266" s="25"/>
      <c r="T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32"/>
      <c r="S267" s="25"/>
      <c r="T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32"/>
      <c r="S268" s="25"/>
      <c r="T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32"/>
      <c r="S269" s="25"/>
      <c r="T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32"/>
      <c r="S270" s="25"/>
      <c r="T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32"/>
      <c r="S271" s="25"/>
      <c r="T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32"/>
      <c r="S272" s="25"/>
      <c r="T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32"/>
      <c r="S273" s="25"/>
      <c r="T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32"/>
      <c r="S274" s="25"/>
      <c r="T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32"/>
      <c r="S275" s="25"/>
      <c r="T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32"/>
      <c r="S276" s="25"/>
      <c r="T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32"/>
      <c r="S277" s="25"/>
      <c r="T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32"/>
      <c r="S278" s="25"/>
      <c r="T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32"/>
      <c r="S279" s="25"/>
      <c r="T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32"/>
      <c r="S280" s="25"/>
      <c r="T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32"/>
      <c r="S281" s="25"/>
      <c r="T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32"/>
      <c r="S282" s="25"/>
      <c r="T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32"/>
      <c r="S283" s="25"/>
      <c r="T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32"/>
      <c r="S284" s="25"/>
      <c r="T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32"/>
      <c r="S285" s="25"/>
      <c r="T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32"/>
      <c r="S286" s="25"/>
      <c r="T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32"/>
      <c r="S287" s="25"/>
      <c r="T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32"/>
      <c r="S288" s="25"/>
      <c r="T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32"/>
      <c r="S289" s="25"/>
      <c r="T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32"/>
      <c r="S290" s="25"/>
      <c r="T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32"/>
      <c r="S291" s="25"/>
      <c r="T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32"/>
      <c r="S292" s="25"/>
      <c r="T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32"/>
      <c r="S293" s="25"/>
      <c r="T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32"/>
      <c r="S294" s="25"/>
      <c r="T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32"/>
      <c r="S295" s="25"/>
      <c r="T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32"/>
      <c r="S296" s="25"/>
      <c r="T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32"/>
      <c r="S297" s="25"/>
      <c r="T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32"/>
      <c r="S298" s="25"/>
      <c r="T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32"/>
      <c r="S299" s="25"/>
      <c r="T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32"/>
      <c r="S300" s="25"/>
      <c r="T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32"/>
      <c r="S301" s="25"/>
      <c r="T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32"/>
      <c r="S302" s="25"/>
      <c r="T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32"/>
      <c r="S303" s="25"/>
      <c r="T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32"/>
      <c r="S304" s="25"/>
      <c r="T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32"/>
      <c r="S305" s="25"/>
      <c r="T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32"/>
      <c r="S306" s="25"/>
      <c r="T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32"/>
      <c r="S307" s="25"/>
      <c r="T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32"/>
      <c r="S308" s="25"/>
      <c r="T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32"/>
      <c r="S309" s="25"/>
      <c r="T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32"/>
      <c r="S310" s="25"/>
      <c r="T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32"/>
      <c r="S311" s="25"/>
      <c r="T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32"/>
      <c r="S312" s="25"/>
      <c r="T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32"/>
      <c r="S313" s="25"/>
      <c r="T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32"/>
      <c r="S314" s="25"/>
      <c r="T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32"/>
      <c r="S315" s="25"/>
      <c r="T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32"/>
      <c r="S316" s="25"/>
      <c r="T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32"/>
      <c r="S317" s="25"/>
      <c r="T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32"/>
      <c r="S318" s="25"/>
      <c r="T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32"/>
      <c r="S319" s="25"/>
      <c r="T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32"/>
      <c r="S320" s="25"/>
      <c r="T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32"/>
      <c r="S321" s="25"/>
      <c r="T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32"/>
      <c r="S322" s="25"/>
      <c r="T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32"/>
      <c r="S323" s="25"/>
      <c r="T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32"/>
      <c r="S324" s="25"/>
      <c r="T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32"/>
      <c r="S325" s="25"/>
      <c r="T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32"/>
      <c r="S326" s="25"/>
      <c r="T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32"/>
      <c r="S327" s="25"/>
      <c r="T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32"/>
      <c r="S328" s="25"/>
      <c r="T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32"/>
      <c r="S329" s="25"/>
      <c r="T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32"/>
      <c r="S330" s="25"/>
      <c r="T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32"/>
      <c r="S331" s="25"/>
      <c r="T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32"/>
      <c r="S332" s="25"/>
      <c r="T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32"/>
      <c r="S333" s="25"/>
      <c r="T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32"/>
      <c r="S334" s="25"/>
      <c r="T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32"/>
      <c r="S335" s="25"/>
      <c r="T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32"/>
      <c r="S336" s="25"/>
      <c r="T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32"/>
      <c r="S337" s="25"/>
      <c r="T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32"/>
      <c r="S338" s="25"/>
      <c r="T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32"/>
      <c r="S339" s="25"/>
      <c r="T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32"/>
      <c r="S340" s="25"/>
      <c r="T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32"/>
      <c r="S341" s="25"/>
      <c r="T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32"/>
      <c r="S342" s="25"/>
      <c r="T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32"/>
      <c r="S343" s="25"/>
      <c r="T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32"/>
      <c r="S344" s="25"/>
      <c r="T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32"/>
      <c r="S345" s="25"/>
      <c r="T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32"/>
      <c r="S346" s="25"/>
      <c r="T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32"/>
      <c r="S347" s="25"/>
      <c r="T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32"/>
      <c r="S348" s="25"/>
      <c r="T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32"/>
      <c r="S349" s="25"/>
      <c r="T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32"/>
      <c r="S350" s="25"/>
      <c r="T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32"/>
      <c r="S351" s="25"/>
      <c r="T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32"/>
      <c r="S352" s="25"/>
      <c r="T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32"/>
      <c r="S353" s="25"/>
      <c r="T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32"/>
      <c r="S354" s="25"/>
      <c r="T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32"/>
      <c r="S355" s="25"/>
      <c r="T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32"/>
      <c r="S356" s="25"/>
      <c r="T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32"/>
      <c r="S357" s="25"/>
      <c r="T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32"/>
      <c r="S358" s="25"/>
      <c r="T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32"/>
      <c r="S359" s="25"/>
      <c r="T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32"/>
      <c r="S360" s="25"/>
      <c r="T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32"/>
      <c r="S361" s="25"/>
      <c r="T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32"/>
      <c r="S362" s="25"/>
      <c r="T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32"/>
      <c r="S363" s="25"/>
      <c r="T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32"/>
      <c r="S364" s="25"/>
      <c r="T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32"/>
      <c r="S365" s="25"/>
      <c r="T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32"/>
      <c r="S366" s="25"/>
      <c r="T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32"/>
      <c r="S367" s="25"/>
      <c r="T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32"/>
      <c r="S368" s="25"/>
      <c r="T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32"/>
      <c r="S369" s="25"/>
      <c r="T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32"/>
      <c r="S370" s="25"/>
      <c r="T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32"/>
      <c r="S371" s="25"/>
      <c r="T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32"/>
      <c r="S372" s="25"/>
      <c r="T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32"/>
      <c r="S373" s="25"/>
      <c r="T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32"/>
      <c r="S374" s="25"/>
      <c r="T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32"/>
      <c r="S375" s="25"/>
      <c r="T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32"/>
      <c r="S376" s="25"/>
      <c r="T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32"/>
      <c r="S377" s="25"/>
      <c r="T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32"/>
      <c r="S378" s="25"/>
      <c r="T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32"/>
      <c r="S379" s="25"/>
      <c r="T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32"/>
      <c r="S380" s="25"/>
      <c r="T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32"/>
      <c r="S381" s="25"/>
      <c r="T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32"/>
      <c r="S382" s="25"/>
      <c r="T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32"/>
      <c r="S383" s="25"/>
      <c r="T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32"/>
      <c r="S384" s="25"/>
      <c r="T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32"/>
      <c r="S385" s="25"/>
      <c r="T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32"/>
      <c r="S386" s="25"/>
      <c r="T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32"/>
      <c r="S387" s="25"/>
      <c r="T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32"/>
      <c r="S388" s="25"/>
      <c r="T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32"/>
      <c r="S389" s="25"/>
      <c r="T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32"/>
      <c r="S390" s="25"/>
      <c r="T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32"/>
      <c r="S391" s="25"/>
      <c r="T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32"/>
      <c r="S392" s="25"/>
      <c r="T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32"/>
      <c r="S393" s="25"/>
      <c r="T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32"/>
      <c r="S394" s="25"/>
      <c r="T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32"/>
      <c r="S395" s="25"/>
      <c r="T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32"/>
      <c r="S396" s="25"/>
      <c r="T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32"/>
      <c r="S397" s="25"/>
      <c r="T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32"/>
      <c r="S398" s="25"/>
      <c r="T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32"/>
      <c r="S399" s="25"/>
      <c r="T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32"/>
      <c r="S400" s="25"/>
      <c r="T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32"/>
      <c r="S401" s="25"/>
      <c r="T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32"/>
      <c r="S402" s="25"/>
      <c r="T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32"/>
      <c r="S403" s="25"/>
      <c r="T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32"/>
      <c r="S404" s="25"/>
      <c r="T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32"/>
      <c r="S405" s="25"/>
      <c r="T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32"/>
      <c r="S406" s="25"/>
      <c r="T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32"/>
      <c r="S407" s="25"/>
      <c r="T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32"/>
      <c r="S408" s="25"/>
      <c r="T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32"/>
      <c r="S409" s="25"/>
      <c r="T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32"/>
      <c r="S410" s="25"/>
      <c r="T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32"/>
      <c r="S411" s="25"/>
      <c r="T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32"/>
      <c r="S412" s="25"/>
      <c r="T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32"/>
      <c r="S413" s="25"/>
      <c r="T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32"/>
      <c r="S414" s="25"/>
      <c r="T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32"/>
      <c r="S415" s="25"/>
      <c r="T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32"/>
      <c r="S416" s="25"/>
      <c r="T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32"/>
      <c r="S417" s="25"/>
      <c r="T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32"/>
      <c r="S418" s="25"/>
      <c r="T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32"/>
      <c r="S419" s="25"/>
      <c r="T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32"/>
      <c r="S420" s="25"/>
      <c r="T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32"/>
      <c r="S421" s="25"/>
      <c r="T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32"/>
      <c r="S422" s="25"/>
      <c r="T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32"/>
      <c r="S423" s="25"/>
      <c r="T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32"/>
      <c r="S424" s="25"/>
      <c r="T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32"/>
      <c r="S425" s="25"/>
      <c r="T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32"/>
      <c r="S426" s="25"/>
      <c r="T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32"/>
      <c r="S427" s="25"/>
      <c r="T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32"/>
      <c r="S428" s="25"/>
      <c r="T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32"/>
      <c r="S429" s="25"/>
      <c r="T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32"/>
      <c r="S430" s="25"/>
      <c r="T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32"/>
      <c r="S431" s="25"/>
      <c r="T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32"/>
      <c r="S432" s="25"/>
      <c r="T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32"/>
      <c r="S433" s="25"/>
      <c r="T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32"/>
      <c r="S434" s="25"/>
      <c r="T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32"/>
      <c r="S435" s="25"/>
      <c r="T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32"/>
      <c r="S436" s="25"/>
      <c r="T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32"/>
      <c r="S437" s="25"/>
      <c r="T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32"/>
      <c r="S438" s="25"/>
      <c r="T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32"/>
      <c r="S439" s="25"/>
      <c r="T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32"/>
      <c r="S440" s="25"/>
      <c r="T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32"/>
      <c r="S441" s="25"/>
      <c r="T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32"/>
      <c r="S442" s="25"/>
      <c r="T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32"/>
      <c r="S443" s="25"/>
      <c r="T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32"/>
      <c r="S444" s="25"/>
      <c r="T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32"/>
      <c r="S445" s="25"/>
      <c r="T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32"/>
      <c r="S446" s="25"/>
      <c r="T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32"/>
      <c r="S447" s="25"/>
      <c r="T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32"/>
      <c r="S448" s="25"/>
      <c r="T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32"/>
      <c r="S449" s="25"/>
      <c r="T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32"/>
      <c r="S450" s="25"/>
      <c r="T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32"/>
      <c r="S451" s="25"/>
      <c r="T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32"/>
      <c r="S452" s="25"/>
      <c r="T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32"/>
      <c r="S453" s="25"/>
      <c r="T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32"/>
      <c r="S454" s="25"/>
      <c r="T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32"/>
      <c r="S455" s="25"/>
      <c r="T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32"/>
      <c r="S456" s="25"/>
      <c r="T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32"/>
      <c r="S457" s="25"/>
      <c r="T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32"/>
      <c r="S458" s="25"/>
      <c r="T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32"/>
      <c r="S459" s="25"/>
      <c r="T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32"/>
      <c r="S460" s="25"/>
      <c r="T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32"/>
      <c r="S461" s="25"/>
      <c r="T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32"/>
      <c r="S462" s="25"/>
      <c r="T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32"/>
      <c r="S463" s="25"/>
      <c r="T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32"/>
      <c r="S464" s="25"/>
      <c r="T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32"/>
      <c r="S465" s="25"/>
      <c r="T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32"/>
      <c r="S466" s="25"/>
      <c r="T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32"/>
      <c r="S467" s="25"/>
      <c r="T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32"/>
      <c r="S468" s="25"/>
      <c r="T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32"/>
      <c r="S469" s="25"/>
      <c r="T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32"/>
      <c r="S470" s="25"/>
      <c r="T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32"/>
      <c r="S471" s="25"/>
      <c r="T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32"/>
      <c r="S472" s="25"/>
      <c r="T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32"/>
      <c r="S473" s="25"/>
      <c r="T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32"/>
      <c r="S474" s="25"/>
      <c r="T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32"/>
      <c r="S475" s="25"/>
      <c r="T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32"/>
      <c r="S476" s="25"/>
      <c r="T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32"/>
      <c r="S477" s="25"/>
      <c r="T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32"/>
      <c r="S478" s="25"/>
      <c r="T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32"/>
      <c r="S479" s="25"/>
      <c r="T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32"/>
      <c r="S480" s="25"/>
      <c r="T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32"/>
      <c r="S481" s="25"/>
      <c r="T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32"/>
      <c r="S482" s="25"/>
      <c r="T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32"/>
      <c r="S483" s="25"/>
      <c r="T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32"/>
      <c r="S484" s="25"/>
      <c r="T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32"/>
      <c r="S485" s="25"/>
      <c r="T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32"/>
      <c r="S486" s="25"/>
      <c r="T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32"/>
      <c r="S487" s="25"/>
      <c r="T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32"/>
      <c r="S488" s="25"/>
      <c r="T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32"/>
      <c r="S489" s="25"/>
      <c r="T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32"/>
      <c r="S490" s="25"/>
      <c r="T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32"/>
      <c r="S491" s="25"/>
      <c r="T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32"/>
      <c r="S492" s="25"/>
      <c r="T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32"/>
      <c r="S493" s="25"/>
      <c r="T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32"/>
      <c r="S494" s="25"/>
      <c r="T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32"/>
      <c r="S495" s="25"/>
      <c r="T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32"/>
      <c r="S496" s="25"/>
      <c r="T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32"/>
      <c r="S497" s="25"/>
      <c r="T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32"/>
      <c r="S498" s="25"/>
      <c r="T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32"/>
      <c r="S499" s="25"/>
      <c r="T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32"/>
      <c r="S500" s="25"/>
      <c r="T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32"/>
      <c r="S501" s="25"/>
      <c r="T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32"/>
      <c r="S502" s="25"/>
      <c r="T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32"/>
      <c r="S503" s="25"/>
      <c r="T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32"/>
      <c r="S504" s="25"/>
      <c r="T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32"/>
      <c r="S505" s="25"/>
      <c r="T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32"/>
      <c r="S506" s="25"/>
      <c r="T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32"/>
      <c r="S507" s="25"/>
      <c r="T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32"/>
      <c r="S508" s="25"/>
      <c r="T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32"/>
      <c r="S509" s="25"/>
      <c r="T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32"/>
      <c r="S510" s="25"/>
      <c r="T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32"/>
      <c r="S511" s="25"/>
      <c r="T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32"/>
      <c r="S512" s="25"/>
      <c r="T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32"/>
      <c r="S513" s="25"/>
      <c r="T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32"/>
      <c r="S514" s="25"/>
      <c r="T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32"/>
      <c r="S515" s="25"/>
      <c r="T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32"/>
      <c r="S516" s="25"/>
      <c r="T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32"/>
      <c r="S517" s="25"/>
      <c r="T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32"/>
      <c r="S518" s="25"/>
      <c r="T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32"/>
      <c r="S519" s="25"/>
      <c r="T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32"/>
      <c r="S520" s="25"/>
      <c r="T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32"/>
      <c r="S521" s="25"/>
      <c r="T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32"/>
      <c r="S522" s="25"/>
      <c r="T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32"/>
      <c r="S523" s="25"/>
      <c r="T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32"/>
      <c r="S524" s="25"/>
      <c r="T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32"/>
      <c r="S525" s="25"/>
      <c r="T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32"/>
      <c r="S526" s="25"/>
      <c r="T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32"/>
      <c r="S527" s="25"/>
      <c r="T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32"/>
      <c r="S528" s="25"/>
      <c r="T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32"/>
      <c r="S529" s="25"/>
      <c r="T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32"/>
      <c r="S530" s="25"/>
      <c r="T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32"/>
      <c r="S531" s="25"/>
      <c r="T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32"/>
      <c r="S532" s="25"/>
      <c r="T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32"/>
      <c r="S533" s="25"/>
      <c r="T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32"/>
      <c r="S534" s="25"/>
      <c r="T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32"/>
      <c r="S535" s="25"/>
      <c r="T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32"/>
      <c r="S536" s="25"/>
      <c r="T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32"/>
      <c r="S537" s="25"/>
      <c r="T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32"/>
      <c r="S538" s="25"/>
      <c r="T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32"/>
      <c r="S539" s="25"/>
      <c r="T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32"/>
      <c r="S540" s="25"/>
      <c r="T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32"/>
      <c r="S541" s="25"/>
      <c r="T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32"/>
      <c r="S542" s="25"/>
      <c r="T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32"/>
      <c r="S543" s="25"/>
      <c r="T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32"/>
      <c r="S544" s="25"/>
      <c r="T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32"/>
      <c r="S545" s="25"/>
      <c r="T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32"/>
      <c r="S546" s="25"/>
      <c r="T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32"/>
      <c r="S547" s="25"/>
      <c r="T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32"/>
      <c r="S548" s="25"/>
      <c r="T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32"/>
      <c r="S549" s="25"/>
      <c r="T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32"/>
      <c r="S550" s="25"/>
      <c r="T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32"/>
      <c r="S551" s="25"/>
      <c r="T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32"/>
      <c r="S552" s="25"/>
      <c r="T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32"/>
      <c r="S553" s="25"/>
      <c r="T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32"/>
      <c r="S554" s="25"/>
      <c r="T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32"/>
      <c r="S555" s="25"/>
      <c r="T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32"/>
      <c r="S556" s="25"/>
      <c r="T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32"/>
      <c r="S557" s="25"/>
      <c r="T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32"/>
      <c r="S558" s="25"/>
      <c r="T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32"/>
      <c r="S559" s="25"/>
      <c r="T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32"/>
      <c r="S560" s="25"/>
      <c r="T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32"/>
      <c r="S561" s="25"/>
      <c r="T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32"/>
      <c r="S562" s="25"/>
      <c r="T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32"/>
      <c r="S563" s="25"/>
      <c r="T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32"/>
      <c r="S564" s="25"/>
      <c r="T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32"/>
      <c r="S565" s="25"/>
      <c r="T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32"/>
      <c r="S566" s="25"/>
      <c r="T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32"/>
      <c r="S567" s="25"/>
      <c r="T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32"/>
      <c r="S568" s="25"/>
      <c r="T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32"/>
      <c r="S569" s="25"/>
      <c r="T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32"/>
      <c r="S570" s="25"/>
      <c r="T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32"/>
      <c r="S571" s="25"/>
      <c r="T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32"/>
      <c r="S572" s="25"/>
      <c r="T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32"/>
      <c r="S573" s="25"/>
      <c r="T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32"/>
      <c r="S574" s="25"/>
      <c r="T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32"/>
      <c r="S575" s="25"/>
      <c r="T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32"/>
      <c r="S576" s="25"/>
      <c r="T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32"/>
      <c r="S577" s="25"/>
      <c r="T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32"/>
      <c r="S578" s="25"/>
      <c r="T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32"/>
      <c r="S579" s="25"/>
      <c r="T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32"/>
      <c r="S580" s="25"/>
      <c r="T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32"/>
      <c r="S581" s="25"/>
      <c r="T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32"/>
      <c r="S582" s="25"/>
      <c r="T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32"/>
      <c r="S583" s="25"/>
      <c r="T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32"/>
      <c r="S584" s="25"/>
      <c r="T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32"/>
      <c r="S585" s="25"/>
      <c r="T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32"/>
      <c r="S586" s="25"/>
      <c r="T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32"/>
      <c r="S587" s="25"/>
      <c r="T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32"/>
      <c r="S588" s="25"/>
      <c r="T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32"/>
      <c r="S589" s="25"/>
      <c r="T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32"/>
      <c r="S590" s="25"/>
      <c r="T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32"/>
      <c r="S591" s="25"/>
      <c r="T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32"/>
      <c r="S592" s="25"/>
      <c r="T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32"/>
      <c r="S593" s="25"/>
      <c r="T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32"/>
      <c r="S594" s="25"/>
      <c r="T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32"/>
      <c r="S595" s="25"/>
      <c r="T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32"/>
      <c r="S596" s="25"/>
      <c r="T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32"/>
      <c r="S597" s="25"/>
      <c r="T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32"/>
      <c r="S598" s="25"/>
      <c r="T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32"/>
      <c r="S599" s="25"/>
      <c r="T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32"/>
      <c r="S600" s="25"/>
      <c r="T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32"/>
      <c r="S601" s="25"/>
      <c r="T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32"/>
      <c r="S602" s="25"/>
      <c r="T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32"/>
      <c r="S603" s="25"/>
      <c r="T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32"/>
      <c r="S604" s="25"/>
      <c r="T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32"/>
      <c r="S605" s="25"/>
      <c r="T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32"/>
      <c r="S606" s="25"/>
      <c r="T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32"/>
      <c r="S607" s="25"/>
      <c r="T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32"/>
      <c r="S608" s="25"/>
      <c r="T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32"/>
      <c r="S609" s="25"/>
      <c r="T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32"/>
      <c r="S610" s="25"/>
      <c r="T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32"/>
      <c r="S611" s="25"/>
      <c r="T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32"/>
      <c r="S612" s="25"/>
      <c r="T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32"/>
      <c r="S613" s="25"/>
      <c r="T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32"/>
      <c r="S614" s="25"/>
      <c r="T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32"/>
      <c r="S615" s="25"/>
      <c r="T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32"/>
      <c r="S616" s="25"/>
      <c r="T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32"/>
      <c r="S617" s="25"/>
      <c r="T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32"/>
      <c r="S618" s="25"/>
      <c r="T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32"/>
      <c r="S619" s="25"/>
      <c r="T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32"/>
      <c r="S620" s="25"/>
      <c r="T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32"/>
      <c r="S621" s="25"/>
      <c r="T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32"/>
      <c r="S622" s="25"/>
      <c r="T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32"/>
      <c r="S623" s="25"/>
      <c r="T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32"/>
      <c r="S624" s="25"/>
      <c r="T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32"/>
      <c r="S625" s="25"/>
      <c r="T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32"/>
      <c r="S626" s="25"/>
      <c r="T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32"/>
      <c r="S627" s="25"/>
      <c r="T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32"/>
      <c r="S628" s="25"/>
      <c r="T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32"/>
      <c r="S629" s="25"/>
      <c r="T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32"/>
      <c r="S630" s="25"/>
      <c r="T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32"/>
      <c r="S631" s="25"/>
      <c r="T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32"/>
      <c r="S632" s="25"/>
      <c r="T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32"/>
      <c r="S633" s="25"/>
      <c r="T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32"/>
      <c r="S634" s="25"/>
      <c r="T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32"/>
      <c r="S635" s="25"/>
      <c r="T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32"/>
      <c r="S636" s="25"/>
      <c r="T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32"/>
      <c r="S637" s="25"/>
      <c r="T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32"/>
      <c r="S638" s="25"/>
      <c r="T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32"/>
      <c r="S639" s="25"/>
      <c r="T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32"/>
      <c r="S640" s="25"/>
      <c r="T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32"/>
      <c r="S641" s="25"/>
      <c r="T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32"/>
      <c r="S642" s="25"/>
      <c r="T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32"/>
      <c r="S643" s="25"/>
      <c r="T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32"/>
      <c r="S644" s="25"/>
      <c r="T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32"/>
      <c r="S645" s="25"/>
      <c r="T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32"/>
      <c r="S646" s="25"/>
      <c r="T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32"/>
      <c r="S647" s="25"/>
      <c r="T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32"/>
      <c r="S648" s="25"/>
      <c r="T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32"/>
      <c r="S649" s="25"/>
      <c r="T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32"/>
      <c r="S650" s="25"/>
      <c r="T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32"/>
      <c r="S651" s="25"/>
      <c r="T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32"/>
      <c r="S652" s="25"/>
      <c r="T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32"/>
      <c r="S653" s="25"/>
      <c r="T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32"/>
      <c r="S654" s="25"/>
      <c r="T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32"/>
      <c r="S655" s="25"/>
      <c r="T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32"/>
      <c r="S656" s="25"/>
      <c r="T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32"/>
      <c r="S657" s="25"/>
      <c r="T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32"/>
      <c r="S658" s="25"/>
      <c r="T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32"/>
      <c r="S659" s="25"/>
      <c r="T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32"/>
      <c r="S660" s="25"/>
      <c r="T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32"/>
      <c r="S661" s="25"/>
      <c r="T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32"/>
      <c r="S662" s="25"/>
      <c r="T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32"/>
      <c r="S663" s="25"/>
      <c r="T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32"/>
      <c r="S664" s="25"/>
      <c r="T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32"/>
      <c r="S665" s="25"/>
      <c r="T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32"/>
      <c r="S666" s="25"/>
      <c r="T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32"/>
      <c r="S667" s="25"/>
      <c r="T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32"/>
      <c r="S668" s="25"/>
      <c r="T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32"/>
      <c r="S669" s="25"/>
      <c r="T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32"/>
      <c r="S670" s="25"/>
      <c r="T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32"/>
      <c r="S671" s="25"/>
      <c r="T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32"/>
      <c r="S672" s="25"/>
      <c r="T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32"/>
      <c r="S673" s="25"/>
      <c r="T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32"/>
      <c r="S674" s="25"/>
      <c r="T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32"/>
      <c r="S675" s="25"/>
      <c r="T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32"/>
      <c r="S676" s="25"/>
      <c r="T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32"/>
      <c r="S677" s="25"/>
      <c r="T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32"/>
      <c r="S678" s="25"/>
      <c r="T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32"/>
      <c r="S679" s="25"/>
      <c r="T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32"/>
      <c r="S680" s="25"/>
      <c r="T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32"/>
      <c r="S681" s="25"/>
      <c r="T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32"/>
      <c r="S682" s="25"/>
      <c r="T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32"/>
      <c r="S683" s="25"/>
      <c r="T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32"/>
      <c r="S684" s="25"/>
      <c r="T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32"/>
      <c r="S685" s="25"/>
      <c r="T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32"/>
      <c r="S686" s="25"/>
      <c r="T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32"/>
      <c r="S687" s="25"/>
      <c r="T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32"/>
      <c r="S688" s="25"/>
      <c r="T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32"/>
      <c r="S689" s="25"/>
      <c r="T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32"/>
      <c r="S690" s="25"/>
      <c r="T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32"/>
      <c r="S691" s="25"/>
      <c r="T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32"/>
      <c r="S692" s="25"/>
      <c r="T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32"/>
      <c r="S693" s="25"/>
      <c r="T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32"/>
      <c r="S694" s="25"/>
      <c r="T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32"/>
      <c r="S695" s="25"/>
      <c r="T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32"/>
      <c r="S696" s="25"/>
      <c r="T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32"/>
      <c r="S697" s="25"/>
      <c r="T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32"/>
      <c r="S698" s="25"/>
      <c r="T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32"/>
      <c r="S699" s="25"/>
      <c r="T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32"/>
      <c r="S700" s="25"/>
      <c r="T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32"/>
      <c r="S701" s="25"/>
      <c r="T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32"/>
      <c r="S702" s="25"/>
      <c r="T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32"/>
      <c r="S703" s="25"/>
      <c r="T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32"/>
      <c r="S704" s="25"/>
      <c r="T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32"/>
      <c r="S705" s="25"/>
      <c r="T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32"/>
      <c r="S706" s="25"/>
      <c r="T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32"/>
      <c r="S707" s="25"/>
      <c r="T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32"/>
      <c r="S708" s="25"/>
      <c r="T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32"/>
      <c r="S709" s="25"/>
      <c r="T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32"/>
      <c r="S710" s="25"/>
      <c r="T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32"/>
      <c r="S711" s="25"/>
      <c r="T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32"/>
      <c r="S712" s="25"/>
      <c r="T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32"/>
      <c r="S713" s="25"/>
      <c r="T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32"/>
      <c r="S714" s="25"/>
      <c r="T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32"/>
      <c r="S715" s="25"/>
      <c r="T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32"/>
      <c r="S716" s="25"/>
      <c r="T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32"/>
      <c r="S717" s="25"/>
      <c r="T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32"/>
      <c r="S718" s="25"/>
      <c r="T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32"/>
      <c r="S719" s="25"/>
      <c r="T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32"/>
      <c r="S720" s="25"/>
      <c r="T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32"/>
      <c r="S721" s="25"/>
      <c r="T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32"/>
      <c r="S722" s="25"/>
      <c r="T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32"/>
      <c r="S723" s="25"/>
      <c r="T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32"/>
      <c r="S724" s="25"/>
      <c r="T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32"/>
      <c r="S725" s="25"/>
      <c r="T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32"/>
      <c r="S726" s="25"/>
      <c r="T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32"/>
      <c r="S727" s="25"/>
      <c r="T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32"/>
      <c r="S728" s="25"/>
      <c r="T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32"/>
      <c r="S729" s="25"/>
      <c r="T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32"/>
      <c r="S730" s="25"/>
      <c r="T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32"/>
      <c r="S731" s="25"/>
      <c r="T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32"/>
      <c r="S732" s="25"/>
      <c r="T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32"/>
      <c r="S733" s="25"/>
      <c r="T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32"/>
      <c r="S734" s="25"/>
      <c r="T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32"/>
      <c r="S735" s="25"/>
      <c r="T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32"/>
      <c r="S736" s="25"/>
      <c r="T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32"/>
      <c r="S737" s="25"/>
      <c r="T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32"/>
      <c r="S738" s="25"/>
      <c r="T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32"/>
      <c r="S739" s="25"/>
      <c r="T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32"/>
      <c r="S740" s="25"/>
      <c r="T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32"/>
      <c r="S741" s="25"/>
      <c r="T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32"/>
      <c r="S742" s="25"/>
      <c r="T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32"/>
      <c r="S743" s="25"/>
      <c r="T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32"/>
      <c r="S744" s="25"/>
      <c r="T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32"/>
      <c r="S745" s="25"/>
      <c r="T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32"/>
      <c r="S746" s="25"/>
      <c r="T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32"/>
      <c r="S747" s="25"/>
      <c r="T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32"/>
      <c r="S748" s="25"/>
      <c r="T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32"/>
      <c r="S749" s="25"/>
      <c r="T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32"/>
      <c r="S750" s="25"/>
      <c r="T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32"/>
      <c r="S751" s="25"/>
      <c r="T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32"/>
      <c r="S752" s="25"/>
      <c r="T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32"/>
      <c r="S753" s="25"/>
      <c r="T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32"/>
      <c r="S754" s="25"/>
      <c r="T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32"/>
      <c r="S755" s="25"/>
      <c r="T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32"/>
      <c r="S756" s="25"/>
      <c r="T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32"/>
      <c r="S757" s="25"/>
      <c r="T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32"/>
      <c r="S758" s="25"/>
      <c r="T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32"/>
      <c r="S759" s="25"/>
      <c r="T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32"/>
      <c r="S760" s="25"/>
      <c r="T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32"/>
      <c r="S761" s="25"/>
      <c r="T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32"/>
      <c r="S762" s="25"/>
      <c r="T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32"/>
      <c r="S763" s="25"/>
      <c r="T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32"/>
      <c r="S764" s="25"/>
      <c r="T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32"/>
      <c r="S765" s="25"/>
      <c r="T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32"/>
      <c r="S766" s="25"/>
      <c r="T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32"/>
      <c r="S767" s="25"/>
      <c r="T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32"/>
      <c r="S768" s="25"/>
      <c r="T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32"/>
      <c r="S769" s="25"/>
      <c r="T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32"/>
      <c r="S770" s="25"/>
      <c r="T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32"/>
      <c r="S771" s="25"/>
      <c r="T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32"/>
      <c r="S772" s="25"/>
      <c r="T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32"/>
      <c r="S773" s="25"/>
      <c r="T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32"/>
      <c r="S774" s="25"/>
      <c r="T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32"/>
      <c r="S775" s="25"/>
      <c r="T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32"/>
      <c r="S776" s="25"/>
      <c r="T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32"/>
      <c r="S777" s="25"/>
      <c r="T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32"/>
      <c r="S778" s="25"/>
      <c r="T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32"/>
      <c r="S779" s="25"/>
      <c r="T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32"/>
      <c r="S780" s="25"/>
      <c r="T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32"/>
      <c r="S781" s="25"/>
      <c r="T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32"/>
      <c r="S782" s="25"/>
      <c r="T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32"/>
      <c r="S783" s="25"/>
      <c r="T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32"/>
      <c r="S784" s="25"/>
      <c r="T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32"/>
      <c r="S785" s="25"/>
      <c r="T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32"/>
      <c r="S786" s="25"/>
      <c r="T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32"/>
      <c r="S787" s="25"/>
      <c r="T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32"/>
      <c r="S788" s="25"/>
      <c r="T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32"/>
      <c r="S789" s="25"/>
      <c r="T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32"/>
      <c r="S790" s="25"/>
      <c r="T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32"/>
      <c r="S791" s="25"/>
      <c r="T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32"/>
      <c r="S792" s="25"/>
      <c r="T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32"/>
      <c r="S793" s="25"/>
      <c r="T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32"/>
      <c r="S794" s="25"/>
      <c r="T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32"/>
      <c r="S795" s="25"/>
      <c r="T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32"/>
      <c r="S796" s="25"/>
      <c r="T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32"/>
      <c r="S797" s="25"/>
      <c r="T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32"/>
      <c r="S798" s="25"/>
      <c r="T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32"/>
      <c r="S799" s="25"/>
      <c r="T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32"/>
      <c r="S800" s="25"/>
      <c r="T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32"/>
      <c r="S801" s="25"/>
      <c r="T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32"/>
      <c r="S802" s="25"/>
      <c r="T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32"/>
      <c r="S803" s="25"/>
      <c r="T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32"/>
      <c r="S804" s="25"/>
      <c r="T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32"/>
      <c r="S805" s="25"/>
      <c r="T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32"/>
      <c r="S806" s="25"/>
      <c r="T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32"/>
      <c r="S807" s="25"/>
      <c r="T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32"/>
      <c r="S808" s="25"/>
      <c r="T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32"/>
      <c r="S809" s="25"/>
      <c r="T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32"/>
      <c r="S810" s="25"/>
      <c r="T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32"/>
      <c r="S811" s="25"/>
      <c r="T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32"/>
      <c r="S812" s="25"/>
      <c r="T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32"/>
      <c r="S813" s="25"/>
      <c r="T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32"/>
      <c r="S814" s="25"/>
      <c r="T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32"/>
      <c r="S815" s="25"/>
      <c r="T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32"/>
      <c r="S816" s="25"/>
      <c r="T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32"/>
      <c r="S817" s="25"/>
      <c r="T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32"/>
      <c r="S818" s="25"/>
      <c r="T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32"/>
      <c r="S819" s="25"/>
      <c r="T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32"/>
      <c r="S820" s="25"/>
      <c r="T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32"/>
      <c r="S821" s="25"/>
      <c r="T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32"/>
      <c r="S822" s="25"/>
      <c r="T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32"/>
      <c r="S823" s="25"/>
      <c r="T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32"/>
      <c r="S824" s="25"/>
      <c r="T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32"/>
      <c r="S825" s="25"/>
      <c r="T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32"/>
      <c r="S826" s="25"/>
      <c r="T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32"/>
      <c r="S827" s="25"/>
      <c r="T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32"/>
      <c r="S828" s="25"/>
      <c r="T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32"/>
      <c r="S829" s="25"/>
      <c r="T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32"/>
      <c r="S830" s="25"/>
      <c r="T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32"/>
      <c r="S831" s="25"/>
      <c r="T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32"/>
      <c r="S832" s="25"/>
      <c r="T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32"/>
      <c r="S833" s="25"/>
      <c r="T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32"/>
      <c r="S834" s="25"/>
      <c r="T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32"/>
      <c r="S835" s="25"/>
      <c r="T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32"/>
      <c r="S836" s="25"/>
      <c r="T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32"/>
      <c r="S837" s="25"/>
      <c r="T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32"/>
      <c r="S838" s="25"/>
      <c r="T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32"/>
      <c r="S839" s="25"/>
      <c r="T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32"/>
      <c r="S840" s="25"/>
      <c r="T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32"/>
      <c r="S841" s="25"/>
      <c r="T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32"/>
      <c r="S842" s="25"/>
      <c r="T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32"/>
      <c r="S843" s="25"/>
      <c r="T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32"/>
      <c r="S844" s="25"/>
      <c r="T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32"/>
      <c r="S845" s="25"/>
      <c r="T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32"/>
      <c r="S846" s="25"/>
      <c r="T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32"/>
      <c r="S847" s="25"/>
      <c r="T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32"/>
      <c r="S848" s="25"/>
      <c r="T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32"/>
      <c r="S849" s="25"/>
      <c r="T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32"/>
      <c r="S850" s="25"/>
      <c r="T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32"/>
      <c r="S851" s="25"/>
      <c r="T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32"/>
      <c r="S852" s="25"/>
      <c r="T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32"/>
      <c r="S853" s="25"/>
      <c r="T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32"/>
      <c r="S854" s="25"/>
      <c r="T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32"/>
      <c r="S855" s="25"/>
      <c r="T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32"/>
      <c r="S856" s="25"/>
      <c r="T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32"/>
      <c r="S857" s="25"/>
      <c r="T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32"/>
      <c r="S858" s="25"/>
      <c r="T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32"/>
      <c r="S859" s="25"/>
      <c r="T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32"/>
      <c r="S860" s="25"/>
      <c r="T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32"/>
      <c r="S861" s="25"/>
      <c r="T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32"/>
      <c r="S862" s="25"/>
      <c r="T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32"/>
      <c r="S863" s="25"/>
      <c r="T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32"/>
      <c r="S864" s="25"/>
      <c r="T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32"/>
      <c r="S865" s="25"/>
      <c r="T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32"/>
      <c r="S866" s="25"/>
      <c r="T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32"/>
      <c r="S867" s="25"/>
      <c r="T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32"/>
      <c r="S868" s="25"/>
      <c r="T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32"/>
      <c r="S869" s="25"/>
      <c r="T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32"/>
      <c r="S870" s="25"/>
      <c r="T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32"/>
      <c r="S871" s="25"/>
      <c r="T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32"/>
      <c r="S872" s="25"/>
      <c r="T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32"/>
      <c r="S873" s="25"/>
      <c r="T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32"/>
      <c r="S874" s="25"/>
      <c r="T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32"/>
      <c r="S875" s="25"/>
      <c r="T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32"/>
      <c r="S876" s="25"/>
      <c r="T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32"/>
      <c r="S877" s="25"/>
      <c r="T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32"/>
      <c r="S878" s="25"/>
      <c r="T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32"/>
      <c r="S879" s="25"/>
      <c r="T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32"/>
      <c r="S880" s="25"/>
      <c r="T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32"/>
      <c r="S881" s="25"/>
      <c r="T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32"/>
      <c r="S882" s="25"/>
      <c r="T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32"/>
      <c r="S883" s="25"/>
      <c r="T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32"/>
      <c r="S884" s="25"/>
      <c r="T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32"/>
      <c r="S885" s="25"/>
      <c r="T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32"/>
      <c r="S886" s="25"/>
      <c r="T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32"/>
      <c r="S887" s="25"/>
      <c r="T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32"/>
      <c r="S888" s="25"/>
      <c r="T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32"/>
      <c r="S889" s="25"/>
      <c r="T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32"/>
      <c r="S890" s="25"/>
      <c r="T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32"/>
      <c r="S891" s="25"/>
      <c r="T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32"/>
      <c r="S892" s="25"/>
      <c r="T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32"/>
      <c r="S893" s="25"/>
      <c r="T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32"/>
      <c r="S894" s="25"/>
      <c r="T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32"/>
      <c r="S895" s="25"/>
      <c r="T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32"/>
      <c r="S896" s="25"/>
      <c r="T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32"/>
      <c r="S897" s="25"/>
      <c r="T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32"/>
      <c r="S898" s="25"/>
      <c r="T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32"/>
      <c r="S899" s="25"/>
      <c r="T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32"/>
      <c r="S900" s="25"/>
      <c r="T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32"/>
      <c r="S901" s="25"/>
      <c r="T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32"/>
      <c r="S902" s="25"/>
      <c r="T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32"/>
      <c r="S903" s="25"/>
      <c r="T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32"/>
      <c r="S904" s="25"/>
      <c r="T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32"/>
      <c r="S905" s="25"/>
      <c r="T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32"/>
      <c r="S906" s="25"/>
      <c r="T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32"/>
      <c r="S907" s="25"/>
      <c r="T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32"/>
      <c r="S908" s="25"/>
      <c r="T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32"/>
      <c r="S909" s="25"/>
      <c r="T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32"/>
      <c r="S910" s="25"/>
      <c r="T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32"/>
      <c r="S911" s="25"/>
      <c r="T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32"/>
      <c r="S912" s="25"/>
      <c r="T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32"/>
      <c r="S913" s="25"/>
      <c r="T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32"/>
      <c r="S914" s="25"/>
      <c r="T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32"/>
      <c r="S915" s="25"/>
      <c r="T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32"/>
      <c r="S916" s="25"/>
      <c r="T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32"/>
      <c r="S917" s="25"/>
      <c r="T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32"/>
      <c r="S918" s="25"/>
      <c r="T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32"/>
      <c r="S919" s="25"/>
      <c r="T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32"/>
      <c r="S920" s="25"/>
      <c r="T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32"/>
      <c r="S921" s="25"/>
      <c r="T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32"/>
      <c r="S922" s="25"/>
      <c r="T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32"/>
      <c r="S923" s="25"/>
      <c r="T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32"/>
      <c r="S924" s="25"/>
      <c r="T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32"/>
      <c r="S925" s="25"/>
      <c r="T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32"/>
      <c r="S926" s="25"/>
      <c r="T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32"/>
      <c r="S927" s="25"/>
      <c r="T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32"/>
      <c r="S928" s="25"/>
      <c r="T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32"/>
      <c r="S929" s="25"/>
      <c r="T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32"/>
      <c r="S930" s="25"/>
      <c r="T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32"/>
      <c r="S931" s="25"/>
      <c r="T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32"/>
      <c r="S932" s="25"/>
      <c r="T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32"/>
      <c r="S933" s="25"/>
      <c r="T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32"/>
      <c r="S934" s="25"/>
      <c r="T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32"/>
      <c r="S935" s="25"/>
      <c r="T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32"/>
      <c r="S936" s="25"/>
      <c r="T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32"/>
      <c r="S937" s="25"/>
      <c r="T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32"/>
      <c r="S938" s="25"/>
      <c r="T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32"/>
      <c r="S939" s="25"/>
      <c r="T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32"/>
      <c r="S940" s="25"/>
      <c r="T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32"/>
      <c r="S941" s="25"/>
      <c r="T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32"/>
      <c r="S942" s="25"/>
      <c r="T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32"/>
      <c r="S943" s="25"/>
      <c r="T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32"/>
      <c r="S944" s="25"/>
      <c r="T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32"/>
      <c r="S945" s="25"/>
      <c r="T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32"/>
      <c r="S946" s="25"/>
      <c r="T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32"/>
      <c r="S947" s="25"/>
      <c r="T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32"/>
      <c r="S948" s="25"/>
      <c r="T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32"/>
      <c r="S949" s="25"/>
      <c r="T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32"/>
      <c r="S950" s="25"/>
      <c r="T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32"/>
      <c r="S951" s="25"/>
      <c r="T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32"/>
      <c r="S952" s="25"/>
      <c r="T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32"/>
      <c r="S953" s="25"/>
      <c r="T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32"/>
      <c r="S954" s="25"/>
      <c r="T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32"/>
      <c r="S955" s="25"/>
      <c r="T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32"/>
      <c r="S956" s="25"/>
      <c r="T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32"/>
      <c r="S957" s="25"/>
      <c r="T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32"/>
      <c r="S958" s="25"/>
      <c r="T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32"/>
      <c r="S959" s="25"/>
      <c r="T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32"/>
      <c r="S960" s="25"/>
      <c r="T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32"/>
      <c r="S961" s="25"/>
      <c r="T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32"/>
      <c r="S962" s="25"/>
      <c r="T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32"/>
      <c r="S963" s="25"/>
      <c r="T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32"/>
      <c r="S964" s="25"/>
      <c r="T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32"/>
      <c r="S965" s="25"/>
      <c r="T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32"/>
      <c r="S966" s="25"/>
      <c r="T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32"/>
      <c r="S967" s="25"/>
      <c r="T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32"/>
      <c r="S968" s="25"/>
      <c r="T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32"/>
      <c r="S969" s="25"/>
      <c r="T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32"/>
      <c r="S970" s="25"/>
      <c r="T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32"/>
      <c r="S971" s="25"/>
      <c r="T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32"/>
      <c r="S972" s="25"/>
      <c r="T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32"/>
      <c r="S973" s="25"/>
      <c r="T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32"/>
      <c r="S974" s="25"/>
      <c r="T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32"/>
      <c r="S975" s="25"/>
      <c r="T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32"/>
      <c r="S976" s="25"/>
      <c r="T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32"/>
      <c r="S977" s="25"/>
      <c r="T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32"/>
      <c r="S978" s="25"/>
      <c r="T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32"/>
      <c r="S979" s="25"/>
      <c r="T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32"/>
      <c r="S980" s="25"/>
      <c r="T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32"/>
      <c r="S981" s="25"/>
      <c r="T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32"/>
      <c r="S982" s="25"/>
      <c r="T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32"/>
      <c r="S983" s="25"/>
      <c r="T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32"/>
      <c r="S984" s="25"/>
      <c r="T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32"/>
      <c r="S985" s="25"/>
      <c r="T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32"/>
      <c r="S986" s="25"/>
      <c r="T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32"/>
      <c r="S987" s="25"/>
      <c r="T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32"/>
      <c r="S988" s="25"/>
      <c r="T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32"/>
      <c r="S989" s="25"/>
      <c r="T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32"/>
      <c r="S990" s="25"/>
      <c r="T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32"/>
      <c r="S991" s="25"/>
      <c r="T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32"/>
      <c r="S992" s="25"/>
      <c r="T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32"/>
      <c r="S993" s="25"/>
      <c r="T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32"/>
      <c r="S994" s="25"/>
      <c r="T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32"/>
      <c r="S995" s="25"/>
      <c r="T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32"/>
      <c r="S996" s="25"/>
      <c r="T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32"/>
      <c r="S997" s="25"/>
      <c r="T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32"/>
      <c r="S998" s="25"/>
      <c r="T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32"/>
      <c r="S999" s="25"/>
      <c r="T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32"/>
      <c r="S1000" s="25"/>
      <c r="T1000" s="25"/>
    </row>
  </sheetData>
  <mergeCells count="28">
    <mergeCell ref="C3:C4"/>
    <mergeCell ref="D3:D4"/>
    <mergeCell ref="S3:S4"/>
    <mergeCell ref="T3:T4"/>
    <mergeCell ref="J3:M3"/>
    <mergeCell ref="N3:Q3"/>
    <mergeCell ref="R3:R4"/>
    <mergeCell ref="A1:T2"/>
    <mergeCell ref="A3:A4"/>
    <mergeCell ref="B3:B4"/>
    <mergeCell ref="E3:E4"/>
    <mergeCell ref="A61:S61"/>
    <mergeCell ref="A72:S72"/>
    <mergeCell ref="A78:S78"/>
    <mergeCell ref="A28:S28"/>
    <mergeCell ref="A31:S31"/>
    <mergeCell ref="A35:S35"/>
    <mergeCell ref="A38:S38"/>
    <mergeCell ref="A41:S41"/>
    <mergeCell ref="A45:S45"/>
    <mergeCell ref="A51:S51"/>
    <mergeCell ref="F3:I3"/>
    <mergeCell ref="A5:S5"/>
    <mergeCell ref="A10:S10"/>
    <mergeCell ref="A15:S15"/>
    <mergeCell ref="A18:S18"/>
    <mergeCell ref="A21:S21"/>
    <mergeCell ref="A24:S24"/>
  </mergeCells>
  <drawing r:id="rId1"/>
</worksheet>
</file>