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8655" tabRatio="921" activeTab="3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state="hidden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'3-Lift'!$A$1:$AC$22</definedName>
    <definedName name="_xlnm.Print_Area" localSheetId="5">'Bench'!$A$1:$Q$13</definedName>
    <definedName name="_xlnm.Print_Area" localSheetId="6">'Deadlift'!$A$1:$F$2</definedName>
    <definedName name="_xlnm.Print_Area" localSheetId="9">'PrintSheet'!$A$1:$AI$24</definedName>
    <definedName name="_xlnm.Print_Area" localSheetId="7">'Push-Pull'!$A$1:$W$2</definedName>
    <definedName name="_xlnm.Print_Area" localSheetId="4">'Squat'!$A$1:$Q$2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<sst xmlns="http://schemas.openxmlformats.org/spreadsheetml/2006/main" count="1122" uniqueCount="311">
  <si>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</si>
  <si>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</si>
  <si>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</si>
  <si>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</si>
  <si>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</si>
  <si>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</si>
  <si>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</si>
  <si>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</si>
  <si>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</si>
  <si>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</si>
  <si>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</si>
  <si>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</si>
  <si>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</si>
  <si>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</si>
  <si>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</si>
  <si>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</si>
  <si>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</si>
  <si>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</si>
  <si>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</si>
  <si>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</si>
  <si>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</si>
  <si>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</si>
  <si>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</si>
  <si>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</si>
  <si>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</si>
  <si>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</si>
  <si>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</si>
  <si>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</si>
  <si>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</si>
  <si>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</si>
  <si>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</si>
  <si>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</si>
  <si>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</si>
  <si>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</si>
  <si>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</si>
  <si>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</si>
  <si>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</si>
  <si>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</si>
  <si>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</si>
  <si>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</si>
  <si>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</si>
  <si>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</si>
  <si>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</si>
  <si>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</si>
  <si>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</si>
  <si>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</si>
  <si>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</si>
  <si>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</si>
  <si>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</si>
  <si>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</si>
  <si>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</si>
  <si>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</si>
  <si>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</si>
  <si>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</si>
  <si>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</si>
  <si>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</si>
  <si>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</si>
  <si>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</si>
  <si>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</si>
  <si>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</si>
  <si>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</si>
  <si>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</si>
  <si>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</si>
  <si>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</si>
  <si>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</si>
  <si>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</si>
  <si>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</si>
  <si>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</si>
  <si>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</si>
  <si>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</si>
  <si>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</si>
  <si>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</si>
  <si>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</si>
  <si>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</si>
  <si>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</si>
  <si>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Div-Wilks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</si>
  <si>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</si>
  <si>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</si>
  <si>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</si>
  <si>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</si>
  <si>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</si>
  <si>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</si>
  <si>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</si>
  <si>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</si>
  <si>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</si>
  <si>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</si>
  <si>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</si>
  <si>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</si>
  <si>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</si>
  <si>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</si>
  <si>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</si>
  <si>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</si>
  <si>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</si>
  <si>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</si>
  <si>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</si>
  <si>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</si>
  <si>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</si>
  <si>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</si>
  <si>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</si>
  <si>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</si>
  <si>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</si>
  <si>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</si>
  <si>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</si>
  <si>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</si>
  <si>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</si>
  <si>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</si>
  <si>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</si>
  <si>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</si>
  <si>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</si>
  <si>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</si>
  <si>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</si>
  <si>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</si>
  <si>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</si>
  <si>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</si>
  <si>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</si>
  <si>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</si>
  <si>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</si>
  <si>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</si>
  <si>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</si>
  <si>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</si>
  <si>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</si>
  <si>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</si>
  <si>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</si>
  <si>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</si>
  <si>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</si>
  <si>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</si>
  <si>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</si>
  <si>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</si>
  <si>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</si>
  <si>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</si>
  <si>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</si>
  <si>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</si>
  <si>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</si>
  <si>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</si>
  <si>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</si>
  <si>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</si>
  <si>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</si>
  <si>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</si>
  <si>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</si>
  <si>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</si>
  <si>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</si>
  <si>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</si>
  <si>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</si>
  <si>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</si>
  <si>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</si>
  <si>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</si>
  <si>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</si>
  <si>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</si>
  <si>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</si>
  <si>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</si>
  <si>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</si>
  <si>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</si>
  <si>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</si>
  <si>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</si>
  <si>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</si>
  <si>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</si>
  <si>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</si>
  <si>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</si>
  <si>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</si>
  <si>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</si>
  <si>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</si>
  <si>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</si>
  <si>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</si>
  <si>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</si>
  <si>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</si>
  <si>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</si>
  <si>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</si>
  <si>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</si>
  <si>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</si>
  <si>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</si>
  <si>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</si>
  <si>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BWt (Lb)</t>
  </si>
  <si>
    <t>Female open</t>
  </si>
  <si>
    <t>WtCls (Lb)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</si>
  <si>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</si>
  <si>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</si>
  <si>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</si>
  <si>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</si>
  <si>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</si>
  <si>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</si>
  <si>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</si>
  <si>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</si>
  <si>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</si>
  <si>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</si>
  <si>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</si>
  <si>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</si>
  <si>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</si>
  <si>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</si>
  <si>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</si>
  <si>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</si>
  <si>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</si>
  <si>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</si>
  <si>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</si>
  <si>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</si>
  <si>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</si>
  <si>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BP</t>
  </si>
  <si>
    <t>Wilks</t>
  </si>
  <si>
    <t>Results - Lbs &amp; Kgs?</t>
  </si>
  <si>
    <t>abs score</t>
  </si>
  <si>
    <t>PP</t>
  </si>
  <si>
    <t>F1</t>
  </si>
  <si>
    <t>F3</t>
  </si>
  <si>
    <t>F4</t>
  </si>
  <si>
    <t>M1</t>
  </si>
  <si>
    <t>M2</t>
  </si>
  <si>
    <t>M3</t>
  </si>
  <si>
    <t>M4</t>
  </si>
  <si>
    <t>M5</t>
  </si>
  <si>
    <t>M6</t>
  </si>
  <si>
    <t>M-T</t>
  </si>
  <si>
    <t>Male Teen</t>
  </si>
  <si>
    <t>M7</t>
  </si>
  <si>
    <t>DL</t>
  </si>
  <si>
    <t>M-O</t>
  </si>
  <si>
    <t>Male Open Div</t>
  </si>
  <si>
    <t>HOLIDAY FESTIVAL OF STRENGTH</t>
  </si>
  <si>
    <t>Kg</t>
  </si>
  <si>
    <t>yes</t>
  </si>
  <si>
    <t>FFO</t>
  </si>
  <si>
    <t>Female Open</t>
  </si>
  <si>
    <t>Female Masters 55-59</t>
  </si>
  <si>
    <t>Female Masters 50-54</t>
  </si>
  <si>
    <t>Female Masters 40-45</t>
  </si>
  <si>
    <t>Male 20-23</t>
  </si>
  <si>
    <t>Male 33-39</t>
  </si>
  <si>
    <t>Male 40-44</t>
  </si>
  <si>
    <t>Male 45-49</t>
  </si>
  <si>
    <t>Male 50-54</t>
  </si>
  <si>
    <t>Male 55-59</t>
  </si>
  <si>
    <t>Male 60-64</t>
  </si>
  <si>
    <t>M8</t>
  </si>
  <si>
    <t>Male 70-74</t>
  </si>
  <si>
    <t>Joanne Azoo</t>
  </si>
  <si>
    <t>Robert Mattison</t>
  </si>
  <si>
    <t>Ken Larson</t>
  </si>
  <si>
    <t>Gary Strassberg</t>
  </si>
  <si>
    <t>Denise Pollock</t>
  </si>
  <si>
    <t>David David</t>
  </si>
  <si>
    <t>Scott Galeck</t>
  </si>
  <si>
    <t>Mark Lambert</t>
  </si>
  <si>
    <t>Andrew Hooyman</t>
  </si>
  <si>
    <t>Lance Iman</t>
  </si>
  <si>
    <t>Michael Salemi</t>
  </si>
  <si>
    <t>Amy Razor</t>
  </si>
  <si>
    <t>Slade Rheaume</t>
  </si>
  <si>
    <t>Steve Tamerius</t>
  </si>
  <si>
    <t>Devan Downs</t>
  </si>
  <si>
    <t>Nick Campbell</t>
  </si>
  <si>
    <t>Cliff Privetera</t>
  </si>
  <si>
    <t>Brad Hegel</t>
  </si>
  <si>
    <t>Sam Graham</t>
  </si>
  <si>
    <t>Julian Skye</t>
  </si>
  <si>
    <t>Kenneth Thunberg</t>
  </si>
  <si>
    <t>William Coffman</t>
  </si>
  <si>
    <t>Bruce Darley</t>
  </si>
  <si>
    <t>Alvin Walden</t>
  </si>
  <si>
    <t>Patrick Sims</t>
  </si>
  <si>
    <t>Evan Knutson</t>
  </si>
  <si>
    <t>Jeremy Schraw</t>
  </si>
  <si>
    <t>Sean Demarinis</t>
  </si>
  <si>
    <t>JR Mancini</t>
  </si>
  <si>
    <t>Larry Pollock</t>
  </si>
  <si>
    <t>Alex Mohr</t>
  </si>
  <si>
    <t>George Beckham</t>
  </si>
  <si>
    <t>Allan Mehan</t>
  </si>
  <si>
    <t>Thad Coleman</t>
  </si>
  <si>
    <t>7</t>
  </si>
  <si>
    <t>11</t>
  </si>
  <si>
    <t>21</t>
  </si>
  <si>
    <t>15</t>
  </si>
  <si>
    <t>Scot Mendelson</t>
  </si>
  <si>
    <t>Flt C</t>
  </si>
  <si>
    <t>Y14</t>
  </si>
  <si>
    <t>Erik Sandstrom</t>
  </si>
  <si>
    <t>Mark Sandstrom</t>
  </si>
  <si>
    <t>Howard Myers</t>
  </si>
  <si>
    <t>Gordan Macani</t>
  </si>
  <si>
    <t>PL</t>
  </si>
  <si>
    <t>Pl</t>
  </si>
  <si>
    <t>1-F1</t>
  </si>
  <si>
    <t>2-M3</t>
  </si>
  <si>
    <t>1-F4</t>
  </si>
  <si>
    <t>4-M1</t>
  </si>
  <si>
    <t>1-M3</t>
  </si>
  <si>
    <t>1-M8</t>
  </si>
  <si>
    <t>6-M1</t>
  </si>
  <si>
    <t>1-M2</t>
  </si>
  <si>
    <t>3-M1</t>
  </si>
  <si>
    <t>5-M-O</t>
  </si>
  <si>
    <t>2-M1</t>
  </si>
  <si>
    <t>6-M-O</t>
  </si>
  <si>
    <t>7-M1</t>
  </si>
  <si>
    <t>5-M1</t>
  </si>
  <si>
    <t>2-M2</t>
  </si>
  <si>
    <t>3-M-O</t>
  </si>
  <si>
    <t>4-M-O</t>
  </si>
  <si>
    <t>2-M-O</t>
  </si>
  <si>
    <t>1-M1</t>
  </si>
  <si>
    <t>1-M-O</t>
  </si>
  <si>
    <t>2-M-T</t>
  </si>
  <si>
    <t>1-M-T</t>
  </si>
  <si>
    <t>2-M4</t>
  </si>
  <si>
    <t>3-M4</t>
  </si>
  <si>
    <t>1-M6</t>
  </si>
  <si>
    <t>1-M4</t>
  </si>
  <si>
    <t>1-M5</t>
  </si>
  <si>
    <t>1-M7</t>
  </si>
  <si>
    <t>Medal</t>
  </si>
  <si>
    <t>M9</t>
  </si>
  <si>
    <t>Denise</t>
  </si>
  <si>
    <t>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</si>
</sst>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trike/>
      <sz val="12"/>
      <color indexed="9"/>
      <name val="Arial"/>
      <family val="2"/>
    </font>
    <font>
      <sz val="4.7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3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3" applyAlignment="1" applyProtection="1">
      <alignment/>
      <protection/>
    </xf>
    <xf numFmtId="0" fontId="0" fillId="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1" fillId="2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20" borderId="19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20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20" borderId="19" xfId="0" applyFill="1" applyBorder="1" applyAlignment="1" applyProtection="1">
      <alignment horizontal="center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/>
    </xf>
    <xf numFmtId="0" fontId="0" fillId="20" borderId="15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5" fillId="20" borderId="0" xfId="0" applyFont="1" applyFill="1" applyBorder="1" applyAlignment="1" applyProtection="1">
      <alignment horizontal="center"/>
      <protection/>
    </xf>
    <xf numFmtId="0" fontId="1" fillId="20" borderId="2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 wrapText="1"/>
    </xf>
    <xf numFmtId="0" fontId="0" fillId="22" borderId="24" xfId="0" applyFont="1" applyFill="1" applyBorder="1" applyAlignment="1">
      <alignment horizontal="center" wrapText="1"/>
    </xf>
    <xf numFmtId="0" fontId="0" fillId="22" borderId="25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66" fontId="10" fillId="0" borderId="15" xfId="0" applyNumberFormat="1" applyFont="1" applyBorder="1" applyAlignment="1" applyProtection="1">
      <alignment horizontal="center"/>
      <protection locked="0"/>
    </xf>
    <xf numFmtId="172" fontId="10" fillId="0" borderId="15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172" fontId="10" fillId="0" borderId="0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5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4" fillId="20" borderId="27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/>
      <protection/>
    </xf>
    <xf numFmtId="164" fontId="16" fillId="0" borderId="13" xfId="0" applyNumberFormat="1" applyFont="1" applyFill="1" applyBorder="1" applyAlignment="1" applyProtection="1">
      <alignment vertical="center" shrinkToFit="1"/>
      <protection/>
    </xf>
    <xf numFmtId="164" fontId="16" fillId="0" borderId="14" xfId="0" applyNumberFormat="1" applyFont="1" applyFill="1" applyBorder="1" applyAlignment="1" applyProtection="1">
      <alignment vertical="center" shrinkToFit="1"/>
      <protection/>
    </xf>
    <xf numFmtId="164" fontId="16" fillId="0" borderId="27" xfId="0" applyNumberFormat="1" applyFont="1" applyFill="1" applyBorder="1" applyAlignment="1" applyProtection="1">
      <alignment vertical="center" shrinkToFit="1"/>
      <protection/>
    </xf>
    <xf numFmtId="0" fontId="0" fillId="20" borderId="15" xfId="0" applyFill="1" applyBorder="1" applyAlignment="1" applyProtection="1">
      <alignment/>
      <protection/>
    </xf>
    <xf numFmtId="0" fontId="1" fillId="20" borderId="30" xfId="0" applyFont="1" applyFill="1" applyBorder="1" applyAlignment="1" applyProtection="1">
      <alignment horizontal="center" vertical="center" wrapText="1"/>
      <protection/>
    </xf>
    <xf numFmtId="0" fontId="13" fillId="26" borderId="31" xfId="0" applyFont="1" applyFill="1" applyBorder="1" applyAlignment="1" applyProtection="1">
      <alignment horizontal="center" vertical="center" wrapText="1"/>
      <protection locked="0"/>
    </xf>
    <xf numFmtId="0" fontId="1" fillId="20" borderId="32" xfId="0" applyFont="1" applyFill="1" applyBorder="1" applyAlignment="1" applyProtection="1">
      <alignment horizontal="center" vertical="center" wrapText="1"/>
      <protection/>
    </xf>
    <xf numFmtId="0" fontId="1" fillId="20" borderId="33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7" fillId="20" borderId="34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vertical="center" wrapText="1"/>
      <protection/>
    </xf>
    <xf numFmtId="0" fontId="1" fillId="20" borderId="10" xfId="0" applyFont="1" applyFill="1" applyBorder="1" applyAlignment="1">
      <alignment horizontal="center" wrapText="1"/>
    </xf>
    <xf numFmtId="0" fontId="7" fillId="2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27" borderId="34" xfId="0" applyFont="1" applyFill="1" applyBorder="1" applyAlignment="1" applyProtection="1">
      <alignment horizontal="center" vertical="center" wrapText="1"/>
      <protection/>
    </xf>
    <xf numFmtId="0" fontId="17" fillId="20" borderId="28" xfId="0" applyFont="1" applyFill="1" applyBorder="1" applyAlignment="1" applyProtection="1">
      <alignment horizontal="center" vertical="center" shrinkToFit="1"/>
      <protection locked="0"/>
    </xf>
    <xf numFmtId="164" fontId="16" fillId="0" borderId="35" xfId="0" applyNumberFormat="1" applyFont="1" applyFill="1" applyBorder="1" applyAlignment="1" applyProtection="1">
      <alignment vertical="center" shrinkToFit="1"/>
      <protection/>
    </xf>
    <xf numFmtId="164" fontId="16" fillId="0" borderId="15" xfId="0" applyNumberFormat="1" applyFont="1" applyFill="1" applyBorder="1" applyAlignment="1" applyProtection="1">
      <alignment vertical="center" shrinkToFit="1"/>
      <protection/>
    </xf>
    <xf numFmtId="164" fontId="16" fillId="0" borderId="29" xfId="0" applyNumberFormat="1" applyFont="1" applyFill="1" applyBorder="1" applyAlignment="1" applyProtection="1">
      <alignment vertical="center" shrinkToFit="1"/>
      <protection/>
    </xf>
    <xf numFmtId="0" fontId="17" fillId="20" borderId="28" xfId="0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19" fillId="20" borderId="0" xfId="0" applyFont="1" applyFill="1" applyBorder="1" applyAlignment="1" applyProtection="1">
      <alignment/>
      <protection/>
    </xf>
    <xf numFmtId="0" fontId="19" fillId="20" borderId="0" xfId="0" applyFont="1" applyFill="1" applyBorder="1" applyAlignment="1" applyProtection="1">
      <alignment horizontal="center"/>
      <protection/>
    </xf>
    <xf numFmtId="0" fontId="19" fillId="20" borderId="0" xfId="0" applyFont="1" applyFill="1" applyBorder="1" applyAlignment="1" applyProtection="1">
      <alignment horizontal="left"/>
      <protection/>
    </xf>
    <xf numFmtId="0" fontId="13" fillId="27" borderId="34" xfId="0" applyFont="1" applyFill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20" borderId="0" xfId="0" applyFill="1" applyBorder="1" applyAlignment="1" applyProtection="1">
      <alignment/>
      <protection/>
    </xf>
    <xf numFmtId="0" fontId="1" fillId="20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20" borderId="21" xfId="0" applyFont="1" applyFill="1" applyBorder="1" applyAlignment="1" applyProtection="1">
      <alignment/>
      <protection/>
    </xf>
    <xf numFmtId="0" fontId="10" fillId="20" borderId="21" xfId="0" applyFont="1" applyFill="1" applyBorder="1" applyAlignment="1" applyProtection="1">
      <alignment wrapText="1"/>
      <protection/>
    </xf>
    <xf numFmtId="0" fontId="0" fillId="20" borderId="27" xfId="0" applyFill="1" applyBorder="1" applyAlignment="1" applyProtection="1">
      <alignment/>
      <protection/>
    </xf>
    <xf numFmtId="0" fontId="10" fillId="20" borderId="27" xfId="0" applyFont="1" applyFill="1" applyBorder="1" applyAlignment="1" applyProtection="1">
      <alignment/>
      <protection/>
    </xf>
    <xf numFmtId="0" fontId="10" fillId="20" borderId="0" xfId="0" applyFont="1" applyFill="1" applyBorder="1" applyAlignment="1" applyProtection="1">
      <alignment wrapText="1"/>
      <protection/>
    </xf>
    <xf numFmtId="0" fontId="0" fillId="2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5" xfId="0" applyFont="1" applyFill="1" applyBorder="1" applyAlignment="1" applyProtection="1">
      <alignment horizontal="center" shrinkToFit="1"/>
      <protection locked="0"/>
    </xf>
    <xf numFmtId="0" fontId="0" fillId="0" borderId="15" xfId="0" applyFill="1" applyBorder="1" applyAlignment="1" applyProtection="1">
      <alignment horizontal="center" shrinkToFit="1"/>
      <protection/>
    </xf>
    <xf numFmtId="0" fontId="0" fillId="20" borderId="15" xfId="0" applyFill="1" applyBorder="1" applyAlignment="1" applyProtection="1">
      <alignment horizontal="center" shrinkToFit="1"/>
      <protection/>
    </xf>
    <xf numFmtId="172" fontId="0" fillId="20" borderId="15" xfId="0" applyNumberFormat="1" applyFill="1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 shrinkToFit="1"/>
      <protection/>
    </xf>
    <xf numFmtId="0" fontId="11" fillId="2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1" fillId="2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13" fillId="27" borderId="34" xfId="0" applyFont="1" applyFill="1" applyBorder="1" applyAlignment="1" applyProtection="1">
      <alignment horizontal="center" vertical="center" wrapText="1" shrinkToFit="1"/>
      <protection locked="0"/>
    </xf>
    <xf numFmtId="0" fontId="1" fillId="20" borderId="34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3" fillId="26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27" borderId="0" xfId="0" applyFont="1" applyFill="1" applyBorder="1" applyAlignment="1" applyProtection="1">
      <alignment/>
      <protection locked="0"/>
    </xf>
    <xf numFmtId="0" fontId="22" fillId="27" borderId="0" xfId="0" applyFont="1" applyFill="1" applyBorder="1" applyAlignment="1" applyProtection="1">
      <alignment horizontal="center"/>
      <protection locked="0"/>
    </xf>
    <xf numFmtId="0" fontId="22" fillId="27" borderId="0" xfId="0" applyFont="1" applyFill="1" applyAlignment="1" applyProtection="1">
      <alignment/>
      <protection locked="0"/>
    </xf>
    <xf numFmtId="0" fontId="22" fillId="27" borderId="0" xfId="0" applyFont="1" applyFill="1" applyAlignment="1" applyProtection="1">
      <alignment horizontal="center"/>
      <protection locked="0"/>
    </xf>
    <xf numFmtId="0" fontId="13" fillId="27" borderId="0" xfId="0" applyFont="1" applyFill="1" applyBorder="1" applyAlignment="1" applyProtection="1">
      <alignment horizontal="center" wrapText="1"/>
      <protection locked="0"/>
    </xf>
    <xf numFmtId="0" fontId="22" fillId="27" borderId="0" xfId="0" applyFont="1" applyFill="1" applyAlignment="1" applyProtection="1">
      <alignment horizontal="center" vertical="center" wrapText="1"/>
      <protection locked="0"/>
    </xf>
    <xf numFmtId="2" fontId="25" fillId="27" borderId="0" xfId="0" applyNumberFormat="1" applyFont="1" applyFill="1" applyAlignment="1" applyProtection="1">
      <alignment horizontal="center" vertical="center" wrapText="1"/>
      <protection/>
    </xf>
    <xf numFmtId="0" fontId="25" fillId="27" borderId="0" xfId="0" applyFont="1" applyFill="1" applyAlignment="1" applyProtection="1">
      <alignment horizontal="center" vertical="center" wrapText="1"/>
      <protection locked="0"/>
    </xf>
    <xf numFmtId="2" fontId="22" fillId="27" borderId="0" xfId="0" applyNumberFormat="1" applyFont="1" applyFill="1" applyAlignment="1" applyProtection="1">
      <alignment horizontal="center"/>
      <protection locked="0"/>
    </xf>
    <xf numFmtId="0" fontId="24" fillId="27" borderId="0" xfId="0" applyFont="1" applyFill="1" applyAlignment="1" applyProtection="1">
      <alignment horizontal="left" vertical="center" wrapText="1"/>
      <protection/>
    </xf>
    <xf numFmtId="0" fontId="22" fillId="27" borderId="0" xfId="0" applyFont="1" applyFill="1" applyAlignment="1" applyProtection="1">
      <alignment horizontal="center"/>
      <protection/>
    </xf>
    <xf numFmtId="0" fontId="22" fillId="27" borderId="0" xfId="0" applyFont="1" applyFill="1" applyAlignment="1" applyProtection="1">
      <alignment/>
      <protection/>
    </xf>
    <xf numFmtId="0" fontId="25" fillId="27" borderId="0" xfId="0" applyFont="1" applyFill="1" applyBorder="1" applyAlignment="1" applyProtection="1">
      <alignment horizontal="center" vertical="center" wrapText="1"/>
      <protection locked="0"/>
    </xf>
    <xf numFmtId="0" fontId="27" fillId="27" borderId="0" xfId="0" applyFont="1" applyFill="1" applyAlignment="1" applyProtection="1">
      <alignment horizontal="center" vertical="center" wrapText="1"/>
      <protection/>
    </xf>
    <xf numFmtId="0" fontId="27" fillId="27" borderId="0" xfId="0" applyFont="1" applyFill="1" applyAlignment="1" applyProtection="1">
      <alignment horizontal="left" vertical="center" wrapText="1"/>
      <protection/>
    </xf>
    <xf numFmtId="0" fontId="25" fillId="27" borderId="0" xfId="0" applyFont="1" applyFill="1" applyAlignment="1" applyProtection="1">
      <alignment horizontal="center" vertical="center" wrapText="1"/>
      <protection/>
    </xf>
    <xf numFmtId="0" fontId="22" fillId="27" borderId="0" xfId="0" applyFont="1" applyFill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 wrapText="1"/>
      <protection locked="0"/>
    </xf>
    <xf numFmtId="0" fontId="27" fillId="27" borderId="0" xfId="0" applyFont="1" applyFill="1" applyAlignment="1" applyProtection="1">
      <alignment horizontal="left" vertical="center" wrapText="1"/>
      <protection locked="0"/>
    </xf>
    <xf numFmtId="2" fontId="25" fillId="27" borderId="0" xfId="0" applyNumberFormat="1" applyFont="1" applyFill="1" applyAlignment="1" applyProtection="1">
      <alignment horizontal="center" vertical="center" wrapText="1"/>
      <protection locked="0"/>
    </xf>
    <xf numFmtId="0" fontId="22" fillId="27" borderId="0" xfId="0" applyFont="1" applyFill="1" applyBorder="1" applyAlignment="1" applyProtection="1">
      <alignment horizontal="center" vertical="center" wrapText="1"/>
      <protection locked="0"/>
    </xf>
    <xf numFmtId="15" fontId="5" fillId="0" borderId="32" xfId="0" applyNumberFormat="1" applyFont="1" applyBorder="1" applyAlignment="1" applyProtection="1">
      <alignment horizontal="center" shrinkToFit="1"/>
      <protection locked="0"/>
    </xf>
    <xf numFmtId="15" fontId="8" fillId="0" borderId="0" xfId="0" applyNumberFormat="1" applyFont="1" applyAlignment="1">
      <alignment horizontal="center" vertical="center"/>
    </xf>
    <xf numFmtId="15" fontId="8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8" fillId="2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20" borderId="31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78" fontId="6" fillId="2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8" fontId="1" fillId="20" borderId="31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/>
      <protection/>
    </xf>
    <xf numFmtId="172" fontId="1" fillId="20" borderId="11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2" fontId="1" fillId="2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wrapText="1"/>
    </xf>
    <xf numFmtId="166" fontId="10" fillId="0" borderId="0" xfId="0" applyNumberFormat="1" applyFont="1" applyFill="1" applyAlignment="1">
      <alignment horizontal="center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6" xfId="0" applyNumberForma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shrinkToFit="1"/>
      <protection/>
    </xf>
    <xf numFmtId="1" fontId="0" fillId="0" borderId="15" xfId="0" applyNumberFormat="1" applyBorder="1" applyAlignment="1" applyProtection="1">
      <alignment horizontal="center"/>
      <protection/>
    </xf>
    <xf numFmtId="164" fontId="4" fillId="0" borderId="10" xfId="57" applyNumberFormat="1" applyFont="1" applyBorder="1" applyAlignment="1">
      <alignment horizontal="center" wrapText="1"/>
      <protection/>
    </xf>
    <xf numFmtId="0" fontId="1" fillId="20" borderId="10" xfId="57" applyFont="1" applyFill="1" applyBorder="1" applyAlignment="1" applyProtection="1">
      <alignment horizontal="center" wrapText="1"/>
      <protection locked="0"/>
    </xf>
    <xf numFmtId="0" fontId="1" fillId="0" borderId="10" xfId="57" applyFont="1" applyFill="1" applyBorder="1" applyAlignment="1" applyProtection="1">
      <alignment horizontal="center" wrapText="1"/>
      <protection locked="0"/>
    </xf>
    <xf numFmtId="0" fontId="30" fillId="0" borderId="0" xfId="57" applyAlignment="1">
      <alignment horizontal="center" wrapText="1"/>
      <protection/>
    </xf>
    <xf numFmtId="0" fontId="30" fillId="0" borderId="0" xfId="57" applyAlignment="1">
      <alignment wrapText="1"/>
      <protection/>
    </xf>
    <xf numFmtId="164" fontId="4" fillId="0" borderId="10" xfId="57" applyNumberFormat="1" applyFont="1" applyBorder="1" applyAlignment="1" applyProtection="1">
      <alignment horizontal="center"/>
      <protection locked="0"/>
    </xf>
    <xf numFmtId="0" fontId="1" fillId="20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 applyProtection="1">
      <alignment horizontal="center"/>
      <protection locked="0"/>
    </xf>
    <xf numFmtId="0" fontId="30" fillId="0" borderId="0" xfId="57" applyAlignment="1">
      <alignment horizontal="center"/>
      <protection/>
    </xf>
    <xf numFmtId="0" fontId="30" fillId="0" borderId="0" xfId="57">
      <alignment/>
      <protection/>
    </xf>
    <xf numFmtId="164" fontId="4" fillId="0" borderId="10" xfId="57" applyNumberFormat="1" applyFont="1" applyBorder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0" fillId="20" borderId="0" xfId="57" applyFont="1" applyFill="1">
      <alignment/>
      <protection/>
    </xf>
    <xf numFmtId="0" fontId="0" fillId="0" borderId="0" xfId="57" applyFont="1" applyFill="1">
      <alignment/>
      <protection/>
    </xf>
    <xf numFmtId="0" fontId="1" fillId="20" borderId="10" xfId="0" applyFont="1" applyFill="1" applyBorder="1" applyAlignment="1" applyProtection="1">
      <alignment wrapText="1"/>
      <protection/>
    </xf>
    <xf numFmtId="0" fontId="1" fillId="20" borderId="39" xfId="0" applyFont="1" applyFill="1" applyBorder="1" applyAlignment="1" applyProtection="1">
      <alignment wrapText="1"/>
      <protection/>
    </xf>
    <xf numFmtId="0" fontId="1" fillId="20" borderId="10" xfId="0" applyFont="1" applyFill="1" applyBorder="1" applyAlignment="1" applyProtection="1">
      <alignment horizontal="center" wrapText="1"/>
      <protection locked="0"/>
    </xf>
    <xf numFmtId="172" fontId="0" fillId="0" borderId="15" xfId="0" applyNumberFormat="1" applyFill="1" applyBorder="1" applyAlignment="1" applyProtection="1">
      <alignment horizontal="center"/>
      <protection/>
    </xf>
    <xf numFmtId="0" fontId="31" fillId="27" borderId="0" xfId="0" applyFont="1" applyFill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49" fontId="6" fillId="2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1" fillId="2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1" fillId="20" borderId="10" xfId="0" applyNumberFormat="1" applyFont="1" applyFill="1" applyBorder="1" applyAlignment="1" applyProtection="1">
      <alignment horizontal="center" wrapText="1"/>
      <protection locked="0"/>
    </xf>
    <xf numFmtId="0" fontId="0" fillId="10" borderId="15" xfId="0" applyFont="1" applyFill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shrinkToFit="1"/>
      <protection locked="0"/>
    </xf>
    <xf numFmtId="49" fontId="0" fillId="0" borderId="10" xfId="0" applyNumberFormat="1" applyFill="1" applyBorder="1" applyAlignment="1" applyProtection="1">
      <alignment horizontal="center" shrinkToFit="1"/>
      <protection locked="0"/>
    </xf>
    <xf numFmtId="49" fontId="0" fillId="0" borderId="15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10" borderId="15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 horizontal="center" shrinkToFit="1"/>
      <protection locked="0"/>
    </xf>
    <xf numFmtId="0" fontId="21" fillId="20" borderId="40" xfId="0" applyFont="1" applyFill="1" applyBorder="1" applyAlignment="1">
      <alignment horizontal="center" vertical="center"/>
    </xf>
    <xf numFmtId="0" fontId="14" fillId="27" borderId="41" xfId="0" applyFont="1" applyFill="1" applyBorder="1" applyAlignment="1" applyProtection="1">
      <alignment horizontal="center" vertical="center" shrinkToFit="1"/>
      <protection locked="0"/>
    </xf>
    <xf numFmtId="0" fontId="0" fillId="10" borderId="10" xfId="0" applyFill="1" applyBorder="1" applyAlignment="1" applyProtection="1">
      <alignment horizontal="center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/>
    </xf>
    <xf numFmtId="15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center" shrinkToFit="1"/>
    </xf>
    <xf numFmtId="0" fontId="50" fillId="20" borderId="32" xfId="0" applyFont="1" applyFill="1" applyBorder="1" applyAlignment="1" applyProtection="1">
      <alignment horizontal="center" vertical="center" wrapText="1"/>
      <protection/>
    </xf>
    <xf numFmtId="0" fontId="50" fillId="20" borderId="33" xfId="0" applyFont="1" applyFill="1" applyBorder="1" applyAlignment="1" applyProtection="1">
      <alignment horizontal="center" vertical="center" wrapText="1"/>
      <protection/>
    </xf>
    <xf numFmtId="0" fontId="50" fillId="20" borderId="34" xfId="0" applyFont="1" applyFill="1" applyBorder="1" applyAlignment="1" applyProtection="1">
      <alignment horizontal="center" vertical="center" wrapText="1"/>
      <protection/>
    </xf>
    <xf numFmtId="0" fontId="51" fillId="27" borderId="34" xfId="0" applyFont="1" applyFill="1" applyBorder="1" applyAlignment="1" applyProtection="1">
      <alignment horizontal="center" vertical="center" wrapText="1"/>
      <protection/>
    </xf>
    <xf numFmtId="0" fontId="52" fillId="20" borderId="34" xfId="0" applyFont="1" applyFill="1" applyBorder="1" applyAlignment="1" applyProtection="1">
      <alignment horizontal="center" vertical="center" wrapText="1"/>
      <protection/>
    </xf>
    <xf numFmtId="0" fontId="50" fillId="27" borderId="34" xfId="0" applyFont="1" applyFill="1" applyBorder="1" applyAlignment="1" applyProtection="1">
      <alignment horizontal="center" vertical="center" wrapText="1" shrinkToFit="1"/>
      <protection locked="0"/>
    </xf>
    <xf numFmtId="0" fontId="50" fillId="20" borderId="34" xfId="0" applyFont="1" applyFill="1" applyBorder="1" applyAlignment="1" applyProtection="1">
      <alignment horizontal="center" vertical="center" wrapText="1" shrinkToFit="1"/>
      <protection/>
    </xf>
    <xf numFmtId="0" fontId="50" fillId="20" borderId="34" xfId="0" applyFont="1" applyFill="1" applyBorder="1" applyAlignment="1" applyProtection="1">
      <alignment horizontal="center" vertical="center" shrinkToFit="1"/>
      <protection/>
    </xf>
    <xf numFmtId="0" fontId="50" fillId="20" borderId="31" xfId="0" applyFont="1" applyFill="1" applyBorder="1" applyAlignment="1" applyProtection="1">
      <alignment horizontal="center" vertical="center" wrapText="1"/>
      <protection/>
    </xf>
    <xf numFmtId="0" fontId="50" fillId="20" borderId="34" xfId="0" applyFont="1" applyFill="1" applyBorder="1" applyAlignment="1" applyProtection="1">
      <alignment vertical="center" wrapText="1"/>
      <protection/>
    </xf>
    <xf numFmtId="0" fontId="17" fillId="20" borderId="42" xfId="0" applyFont="1" applyFill="1" applyBorder="1" applyAlignment="1">
      <alignment horizontal="center" vertical="center"/>
    </xf>
    <xf numFmtId="0" fontId="17" fillId="20" borderId="43" xfId="0" applyFont="1" applyFill="1" applyBorder="1" applyAlignment="1">
      <alignment horizontal="center" vertical="center"/>
    </xf>
    <xf numFmtId="0" fontId="17" fillId="20" borderId="44" xfId="0" applyFont="1" applyFill="1" applyBorder="1" applyAlignment="1">
      <alignment horizontal="center" vertical="center"/>
    </xf>
    <xf numFmtId="0" fontId="17" fillId="20" borderId="4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40" xfId="0" applyFont="1" applyFill="1" applyBorder="1" applyAlignment="1">
      <alignment horizontal="center" vertical="center"/>
    </xf>
    <xf numFmtId="0" fontId="20" fillId="20" borderId="17" xfId="0" applyFont="1" applyFill="1" applyBorder="1" applyAlignment="1" applyProtection="1">
      <alignment horizontal="center" vertical="center" shrinkToFit="1"/>
      <protection locked="0"/>
    </xf>
    <xf numFmtId="0" fontId="20" fillId="20" borderId="46" xfId="0" applyFont="1" applyFill="1" applyBorder="1" applyAlignment="1" applyProtection="1">
      <alignment horizontal="center" vertical="center" shrinkToFit="1"/>
      <protection locked="0"/>
    </xf>
    <xf numFmtId="0" fontId="20" fillId="20" borderId="28" xfId="0" applyFont="1" applyFill="1" applyBorder="1" applyAlignment="1" applyProtection="1">
      <alignment horizontal="center" vertical="center" shrinkToFit="1"/>
      <protection locked="0"/>
    </xf>
    <xf numFmtId="0" fontId="20" fillId="20" borderId="17" xfId="0" applyFont="1" applyFill="1" applyBorder="1" applyAlignment="1">
      <alignment horizontal="center" vertical="center" shrinkToFit="1"/>
    </xf>
    <xf numFmtId="0" fontId="20" fillId="20" borderId="28" xfId="0" applyFont="1" applyFill="1" applyBorder="1" applyAlignment="1">
      <alignment horizontal="center" vertical="center" shrinkToFit="1"/>
    </xf>
    <xf numFmtId="0" fontId="9" fillId="20" borderId="47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48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0" fontId="21" fillId="20" borderId="44" xfId="0" applyFont="1" applyFill="1" applyBorder="1" applyAlignment="1">
      <alignment horizontal="center" vertical="center"/>
    </xf>
    <xf numFmtId="0" fontId="21" fillId="20" borderId="45" xfId="0" applyFont="1" applyFill="1" applyBorder="1" applyAlignment="1">
      <alignment horizontal="center" vertical="center"/>
    </xf>
    <xf numFmtId="0" fontId="14" fillId="27" borderId="49" xfId="0" applyFont="1" applyFill="1" applyBorder="1" applyAlignment="1" applyProtection="1">
      <alignment horizontal="center" vertical="center" shrinkToFit="1"/>
      <protection locked="0"/>
    </xf>
    <xf numFmtId="0" fontId="14" fillId="27" borderId="50" xfId="0" applyFont="1" applyFill="1" applyBorder="1" applyAlignment="1" applyProtection="1">
      <alignment horizontal="center" vertical="center" shrinkToFit="1"/>
      <protection locked="0"/>
    </xf>
    <xf numFmtId="0" fontId="14" fillId="27" borderId="45" xfId="0" applyFont="1" applyFill="1" applyBorder="1" applyAlignment="1" applyProtection="1">
      <alignment horizontal="center" vertical="center" shrinkToFit="1"/>
      <protection locked="0"/>
    </xf>
    <xf numFmtId="0" fontId="14" fillId="27" borderId="16" xfId="0" applyFont="1" applyFill="1" applyBorder="1" applyAlignment="1" applyProtection="1">
      <alignment horizontal="center" vertical="center" shrinkToFit="1"/>
      <protection locked="0"/>
    </xf>
    <xf numFmtId="0" fontId="14" fillId="27" borderId="40" xfId="0" applyFont="1" applyFill="1" applyBorder="1" applyAlignment="1" applyProtection="1">
      <alignment horizontal="center" vertical="center" shrinkToFit="1"/>
      <protection locked="0"/>
    </xf>
    <xf numFmtId="0" fontId="16" fillId="20" borderId="42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44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16" fillId="20" borderId="39" xfId="0" applyFont="1" applyFill="1" applyBorder="1" applyAlignment="1">
      <alignment horizontal="center" vertical="center"/>
    </xf>
    <xf numFmtId="0" fontId="16" fillId="20" borderId="52" xfId="0" applyFont="1" applyFill="1" applyBorder="1" applyAlignment="1">
      <alignment horizontal="center" vertical="center"/>
    </xf>
    <xf numFmtId="0" fontId="14" fillId="27" borderId="53" xfId="0" applyFont="1" applyFill="1" applyBorder="1" applyAlignment="1">
      <alignment horizontal="center" vertical="center"/>
    </xf>
    <xf numFmtId="0" fontId="14" fillId="27" borderId="29" xfId="0" applyFont="1" applyFill="1" applyBorder="1" applyAlignment="1">
      <alignment horizontal="center" vertical="center"/>
    </xf>
    <xf numFmtId="0" fontId="0" fillId="20" borderId="11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12" fillId="20" borderId="42" xfId="0" applyFont="1" applyFill="1" applyBorder="1" applyAlignment="1">
      <alignment horizontal="center" vertical="center"/>
    </xf>
    <xf numFmtId="0" fontId="12" fillId="20" borderId="43" xfId="0" applyFont="1" applyFill="1" applyBorder="1" applyAlignment="1">
      <alignment horizontal="center" vertical="center"/>
    </xf>
    <xf numFmtId="0" fontId="12" fillId="20" borderId="44" xfId="0" applyFont="1" applyFill="1" applyBorder="1" applyAlignment="1">
      <alignment horizontal="center" vertical="center"/>
    </xf>
    <xf numFmtId="0" fontId="12" fillId="20" borderId="51" xfId="0" applyFont="1" applyFill="1" applyBorder="1" applyAlignment="1">
      <alignment horizontal="center" vertical="center"/>
    </xf>
    <xf numFmtId="0" fontId="12" fillId="20" borderId="39" xfId="0" applyFont="1" applyFill="1" applyBorder="1" applyAlignment="1">
      <alignment horizontal="center" vertical="center"/>
    </xf>
    <xf numFmtId="0" fontId="12" fillId="20" borderId="52" xfId="0" applyFont="1" applyFill="1" applyBorder="1" applyAlignment="1">
      <alignment horizontal="center" vertical="center"/>
    </xf>
    <xf numFmtId="0" fontId="12" fillId="20" borderId="54" xfId="0" applyFont="1" applyFill="1" applyBorder="1" applyAlignment="1" applyProtection="1">
      <alignment horizontal="center" vertical="center"/>
      <protection locked="0"/>
    </xf>
    <xf numFmtId="0" fontId="12" fillId="20" borderId="55" xfId="0" applyFont="1" applyFill="1" applyBorder="1" applyAlignment="1" applyProtection="1">
      <alignment horizontal="center" vertical="center"/>
      <protection locked="0"/>
    </xf>
    <xf numFmtId="15" fontId="20" fillId="20" borderId="17" xfId="0" applyNumberFormat="1" applyFont="1" applyFill="1" applyBorder="1" applyAlignment="1">
      <alignment horizontal="center" vertical="center" shrinkToFit="1"/>
    </xf>
    <xf numFmtId="0" fontId="20" fillId="20" borderId="46" xfId="0" applyFont="1" applyFill="1" applyBorder="1" applyAlignment="1">
      <alignment horizontal="center" vertical="center" shrinkToFit="1"/>
    </xf>
    <xf numFmtId="0" fontId="14" fillId="27" borderId="56" xfId="0" applyFont="1" applyFill="1" applyBorder="1" applyAlignment="1" applyProtection="1">
      <alignment horizontal="center" vertical="center"/>
      <protection locked="0"/>
    </xf>
    <xf numFmtId="0" fontId="14" fillId="27" borderId="0" xfId="0" applyFont="1" applyFill="1" applyBorder="1" applyAlignment="1" applyProtection="1">
      <alignment horizontal="center" vertical="center"/>
      <protection locked="0"/>
    </xf>
    <xf numFmtId="0" fontId="14" fillId="27" borderId="57" xfId="0" applyFont="1" applyFill="1" applyBorder="1" applyAlignment="1" applyProtection="1">
      <alignment horizontal="center" vertical="center"/>
      <protection locked="0"/>
    </xf>
    <xf numFmtId="0" fontId="14" fillId="27" borderId="45" xfId="0" applyFont="1" applyFill="1" applyBorder="1" applyAlignment="1" applyProtection="1">
      <alignment horizontal="center" vertical="center"/>
      <protection locked="0"/>
    </xf>
    <xf numFmtId="0" fontId="14" fillId="27" borderId="16" xfId="0" applyFont="1" applyFill="1" applyBorder="1" applyAlignment="1" applyProtection="1">
      <alignment horizontal="center" vertical="center"/>
      <protection locked="0"/>
    </xf>
    <xf numFmtId="0" fontId="14" fillId="27" borderId="40" xfId="0" applyFont="1" applyFill="1" applyBorder="1" applyAlignment="1" applyProtection="1">
      <alignment horizontal="center" vertical="center"/>
      <protection locked="0"/>
    </xf>
    <xf numFmtId="0" fontId="12" fillId="20" borderId="4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40" xfId="0" applyFont="1" applyFill="1" applyBorder="1" applyAlignment="1">
      <alignment horizontal="center" vertical="center"/>
    </xf>
    <xf numFmtId="0" fontId="17" fillId="20" borderId="58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164" fontId="13" fillId="28" borderId="59" xfId="0" applyNumberFormat="1" applyFont="1" applyFill="1" applyBorder="1" applyAlignment="1" applyProtection="1">
      <alignment horizontal="center" vertical="center" shrinkToFit="1"/>
      <protection locked="0"/>
    </xf>
    <xf numFmtId="164" fontId="13" fillId="28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25" borderId="30" xfId="0" applyFont="1" applyFill="1" applyBorder="1" applyAlignment="1" applyProtection="1">
      <alignment horizontal="center" vertical="center" shrinkToFit="1"/>
      <protection/>
    </xf>
    <xf numFmtId="0" fontId="9" fillId="25" borderId="61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164" fontId="8" fillId="10" borderId="46" xfId="0" applyNumberFormat="1" applyFont="1" applyFill="1" applyBorder="1" applyAlignment="1" applyProtection="1">
      <alignment horizontal="center" vertical="center"/>
      <protection/>
    </xf>
    <xf numFmtId="0" fontId="9" fillId="25" borderId="34" xfId="0" applyFon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64" fontId="8" fillId="10" borderId="17" xfId="0" applyNumberFormat="1" applyFont="1" applyFill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61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 textRotation="90" wrapText="1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46" xfId="0" applyFont="1" applyBorder="1" applyAlignment="1" applyProtection="1">
      <alignment horizontal="center" shrinkToFit="1"/>
      <protection locked="0"/>
    </xf>
    <xf numFmtId="0" fontId="5" fillId="0" borderId="28" xfId="0" applyFont="1" applyBorder="1" applyAlignment="1" applyProtection="1">
      <alignment horizontal="center" shrinkToFit="1"/>
      <protection locked="0"/>
    </xf>
    <xf numFmtId="0" fontId="26" fillId="27" borderId="0" xfId="0" applyFont="1" applyFill="1" applyAlignment="1" applyProtection="1">
      <alignment horizontal="center" vertical="center"/>
      <protection locked="0"/>
    </xf>
    <xf numFmtId="0" fontId="26" fillId="27" borderId="0" xfId="0" applyFont="1" applyFill="1" applyAlignment="1" applyProtection="1">
      <alignment horizontal="center" vertical="center" wrapText="1"/>
      <protection locked="0"/>
    </xf>
    <xf numFmtId="0" fontId="23" fillId="27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Load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4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75"/>
          <c:w val="0.92325"/>
          <c:h val="0.94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tx>
            <c:strRef>
              <c:f>Setup!#REF!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9400325"/>
        <c:axId val="40385198"/>
      </c:barChart>
      <c:catAx>
        <c:axId val="19400325"/>
        <c:scaling>
          <c:orientation val="minMax"/>
        </c:scaling>
        <c:axPos val="l"/>
        <c:delete val="1"/>
        <c:majorTickMark val="out"/>
        <c:minorTickMark val="none"/>
        <c:tickLblPos val="none"/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19400325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4686300"/>
          <a:ext cx="20764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381000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62000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304800</xdr:colOff>
      <xdr:row>5</xdr:row>
      <xdr:rowOff>209550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9600" cy="1809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161925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8867775" y="0"/>
        <a:ext cx="31718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PageLayoutView="0" workbookViewId="0" topLeftCell="B1">
      <selection activeCell="P22" sqref="P22"/>
    </sheetView>
  </sheetViews>
  <sheetFormatPr defaultColWidth="9.140625" defaultRowHeight="12.75"/>
  <cols>
    <col min="1" max="1" width="3.421875" style="7" hidden="1" customWidth="1"/>
    <col min="2" max="2" width="1.8515625" style="7" customWidth="1"/>
    <col min="3" max="3" width="8.57421875" style="8" customWidth="1"/>
    <col min="4" max="4" width="7.8515625" style="8" customWidth="1"/>
    <col min="5" max="5" width="8.00390625" style="8" customWidth="1"/>
    <col min="6" max="6" width="8.57421875" style="7" customWidth="1"/>
    <col min="7" max="7" width="7.8515625" style="7" customWidth="1"/>
    <col min="8" max="8" width="8.00390625" style="7" customWidth="1"/>
    <col min="9" max="9" width="1.8515625" style="7" customWidth="1"/>
    <col min="10" max="10" width="9.140625" style="8" hidden="1" customWidth="1"/>
    <col min="11" max="11" width="9.140625" style="84" customWidth="1"/>
    <col min="12" max="12" width="9.140625" style="7" hidden="1" customWidth="1"/>
    <col min="13" max="13" width="9.140625" style="201" customWidth="1"/>
    <col min="14" max="14" width="2.00390625" style="7" customWidth="1"/>
    <col min="15" max="15" width="7.140625" style="8" customWidth="1"/>
    <col min="16" max="16" width="23.00390625" style="7" customWidth="1"/>
    <col min="17" max="17" width="8.7109375" style="7" customWidth="1"/>
    <col min="18" max="18" width="2.00390625" style="7" customWidth="1"/>
    <col min="19" max="19" width="8.7109375" style="7" customWidth="1"/>
    <col min="20" max="20" width="8.57421875" style="7" customWidth="1"/>
    <col min="21" max="16384" width="9.140625" style="7" customWidth="1"/>
  </cols>
  <sheetData>
    <row r="1" spans="12:58" ht="13.5" thickBot="1">
      <c r="L1" s="7" t="str">
        <f>IF(K6="BWt (Lb)",CONCATENATE("DATA!F14:F28"),CONCATENATE("DATA!E14:E28"))</f>
        <v>DATA!F14:F28</v>
      </c>
      <c r="BB1" s="7" t="s">
        <v>63</v>
      </c>
      <c r="BC1" s="7" t="s">
        <v>64</v>
      </c>
      <c r="BD1" s="7" t="s">
        <v>65</v>
      </c>
      <c r="BE1" s="7" t="s">
        <v>66</v>
      </c>
      <c r="BF1" s="7" t="s">
        <v>67</v>
      </c>
    </row>
    <row r="2" spans="3:20" ht="28.5" customHeight="1" thickBot="1">
      <c r="C2" s="284" t="s">
        <v>215</v>
      </c>
      <c r="D2" s="285"/>
      <c r="E2" s="285"/>
      <c r="F2" s="285"/>
      <c r="G2" s="285"/>
      <c r="H2" s="286"/>
      <c r="K2" s="325">
        <v>40159</v>
      </c>
      <c r="L2" s="326"/>
      <c r="M2" s="288"/>
      <c r="O2" s="284" t="s">
        <v>63</v>
      </c>
      <c r="P2" s="285"/>
      <c r="Q2" s="286"/>
      <c r="S2" s="287" t="s">
        <v>154</v>
      </c>
      <c r="T2" s="288"/>
    </row>
    <row r="3" ht="13.5" thickBot="1"/>
    <row r="4" spans="3:20" ht="13.5" customHeight="1">
      <c r="C4" s="278" t="s">
        <v>83</v>
      </c>
      <c r="D4" s="279"/>
      <c r="E4" s="279"/>
      <c r="F4" s="279"/>
      <c r="G4" s="336"/>
      <c r="H4" s="308" t="s">
        <v>216</v>
      </c>
      <c r="K4" s="317" t="s">
        <v>129</v>
      </c>
      <c r="L4" s="318"/>
      <c r="M4" s="319"/>
      <c r="O4" s="278" t="s">
        <v>131</v>
      </c>
      <c r="P4" s="279"/>
      <c r="Q4" s="280"/>
      <c r="S4" s="289" t="s">
        <v>79</v>
      </c>
      <c r="T4" s="291" t="s">
        <v>155</v>
      </c>
    </row>
    <row r="5" spans="3:20" ht="13.5" customHeight="1">
      <c r="C5" s="281"/>
      <c r="D5" s="282"/>
      <c r="E5" s="282"/>
      <c r="F5" s="282"/>
      <c r="G5" s="337"/>
      <c r="H5" s="309"/>
      <c r="K5" s="333"/>
      <c r="L5" s="334"/>
      <c r="M5" s="335"/>
      <c r="O5" s="281"/>
      <c r="P5" s="282"/>
      <c r="Q5" s="283"/>
      <c r="S5" s="290"/>
      <c r="T5" s="292"/>
    </row>
    <row r="6" spans="3:20" ht="13.5" customHeight="1">
      <c r="C6" s="310" t="s">
        <v>62</v>
      </c>
      <c r="D6" s="311"/>
      <c r="E6" s="311"/>
      <c r="F6" s="311" t="s">
        <v>77</v>
      </c>
      <c r="G6" s="311"/>
      <c r="H6" s="312"/>
      <c r="K6" s="327" t="s">
        <v>171</v>
      </c>
      <c r="L6" s="328"/>
      <c r="M6" s="329"/>
      <c r="O6" s="89" t="s">
        <v>132</v>
      </c>
      <c r="P6" s="81" t="s">
        <v>133</v>
      </c>
      <c r="Q6" s="90" t="s">
        <v>134</v>
      </c>
      <c r="S6" s="86">
        <v>1</v>
      </c>
      <c r="T6" s="150">
        <v>7</v>
      </c>
    </row>
    <row r="7" spans="3:20" ht="12.75">
      <c r="C7" s="74" t="str">
        <f>TRIM(Lifting!B3)</f>
        <v>Deadlift 3</v>
      </c>
      <c r="D7" s="6">
        <f>ABS(Lifting!D3)</f>
        <v>0</v>
      </c>
      <c r="E7" s="6"/>
      <c r="F7" s="6"/>
      <c r="G7" s="6">
        <f>ABS(Lifting!D3)</f>
        <v>0</v>
      </c>
      <c r="H7" s="10"/>
      <c r="I7" s="8"/>
      <c r="K7" s="330"/>
      <c r="L7" s="331"/>
      <c r="M7" s="332"/>
      <c r="O7" s="13" t="s">
        <v>218</v>
      </c>
      <c r="P7" s="153" t="s">
        <v>219</v>
      </c>
      <c r="Q7" s="150">
        <v>2</v>
      </c>
      <c r="S7" s="86">
        <v>2</v>
      </c>
      <c r="T7" s="150">
        <v>5</v>
      </c>
    </row>
    <row r="8" spans="3:20" ht="12.75" customHeight="1">
      <c r="C8" s="9" t="s">
        <v>4</v>
      </c>
      <c r="D8" s="6" t="s">
        <v>43</v>
      </c>
      <c r="E8" s="6" t="s">
        <v>5</v>
      </c>
      <c r="F8" s="6" t="s">
        <v>4</v>
      </c>
      <c r="G8" s="6" t="s">
        <v>44</v>
      </c>
      <c r="H8" s="10" t="s">
        <v>5</v>
      </c>
      <c r="J8" s="8" t="s">
        <v>130</v>
      </c>
      <c r="K8" s="200" t="s">
        <v>9</v>
      </c>
      <c r="L8" s="85"/>
      <c r="M8" s="202" t="s">
        <v>10</v>
      </c>
      <c r="O8" s="13" t="s">
        <v>200</v>
      </c>
      <c r="P8" s="153" t="s">
        <v>220</v>
      </c>
      <c r="Q8" s="150">
        <v>2</v>
      </c>
      <c r="S8" s="86">
        <v>3</v>
      </c>
      <c r="T8" s="150">
        <v>3</v>
      </c>
    </row>
    <row r="9" spans="3:20" ht="12.75" customHeight="1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204">
        <v>10</v>
      </c>
      <c r="K9" s="205">
        <v>114</v>
      </c>
      <c r="L9" s="204">
        <v>10</v>
      </c>
      <c r="M9" s="207">
        <v>97</v>
      </c>
      <c r="O9" s="13" t="s">
        <v>201</v>
      </c>
      <c r="P9" s="153" t="s">
        <v>221</v>
      </c>
      <c r="Q9" s="150">
        <v>2</v>
      </c>
      <c r="S9" s="86">
        <v>4</v>
      </c>
      <c r="T9" s="150">
        <v>2</v>
      </c>
    </row>
    <row r="10" spans="3:20" ht="12.75">
      <c r="C10" s="13">
        <v>0</v>
      </c>
      <c r="D10" s="6">
        <v>110</v>
      </c>
      <c r="E10" s="6">
        <f>IF(OR(D7=0,H4="Kg"),0,MIN(INT((D7-IF(LEFT($C$7,1)="S",$D$22,$D$23))/(2*D10)),C10/2))</f>
        <v>0</v>
      </c>
      <c r="F10" s="70">
        <v>0</v>
      </c>
      <c r="G10" s="6">
        <v>50</v>
      </c>
      <c r="H10" s="10">
        <f>IF(OR(G7=0,H4="Lb"),0,MIN(INT((G7-IF(LEFT($C$7,1)="S",$G$22,$G$23))/(2*G10)),F10/2))</f>
        <v>0</v>
      </c>
      <c r="I10" s="8"/>
      <c r="J10" s="204">
        <f>IF(K9="SHW",1000,IF(K10="",J9+1,IF(ISERROR(VLOOKUP(K9,DATA!$F$32:$G$59,2,FALSE)),K9,VLOOKUP(K9,DATA!$F$32:$G$59,2,FALSE))+0.0001))</f>
        <v>114.6393</v>
      </c>
      <c r="K10" s="205">
        <v>123</v>
      </c>
      <c r="L10" s="204">
        <f>IF(M9="SHW",1000,IF(M10="",L9+1,IF(ISERROR(VLOOKUP(M9,DATA!$F$32:$G$59,2,FALSE)),M9,VLOOKUP(M9,DATA!$F$32:$G$59,2,FALSE))+0.0001))</f>
        <v>97.00250000000001</v>
      </c>
      <c r="M10" s="207">
        <v>105</v>
      </c>
      <c r="O10" s="13" t="s">
        <v>202</v>
      </c>
      <c r="P10" s="153" t="s">
        <v>222</v>
      </c>
      <c r="Q10" s="150">
        <v>2</v>
      </c>
      <c r="S10" s="86">
        <v>5</v>
      </c>
      <c r="T10" s="150">
        <v>1</v>
      </c>
    </row>
    <row r="11" spans="3:20" ht="12.75">
      <c r="C11" s="13">
        <v>2</v>
      </c>
      <c r="D11" s="6">
        <v>100</v>
      </c>
      <c r="E11" s="6">
        <f>IF(OR(D7=0,H4="Kg"),0,MIN(INT((D7-IF(LEFT($C$7,1)="S",$D$22,$D$23)-2*E10*D10)/(2*D11)),C11/2))</f>
        <v>0</v>
      </c>
      <c r="F11" s="70">
        <v>0</v>
      </c>
      <c r="G11" s="6">
        <v>45</v>
      </c>
      <c r="H11" s="10">
        <f>IF(OR(G7=0,H4="Lb"),0,MIN(INT((G7-IF(LEFT($C$7,1)="S",$G$22,$G$23)-2*H10*G10)/(2*G11)),F11/2))</f>
        <v>0</v>
      </c>
      <c r="I11" s="8"/>
      <c r="J11" s="204">
        <f>IF(K10="SHW",1000,IF(K11="",J10+1,IF(ISERROR(VLOOKUP(K10,DATA!$F$32:$G$59,2,FALSE)),K10,VLOOKUP(K10,DATA!$F$32:$G$59,2,FALSE))+0.001))</f>
        <v>123.45860000000002</v>
      </c>
      <c r="K11" s="205">
        <v>132</v>
      </c>
      <c r="L11" s="204">
        <f>IF(M10="SHW",1000,IF(M11="",L10+1,IF(ISERROR(VLOOKUP(M10,DATA!$F$32:$G$59,2,FALSE)),M10,VLOOKUP(M10,DATA!$F$32:$G$59,2,FALSE))+0.001))</f>
        <v>105.82180000000001</v>
      </c>
      <c r="M11" s="207">
        <v>114</v>
      </c>
      <c r="O11" s="13" t="s">
        <v>203</v>
      </c>
      <c r="P11" s="153" t="s">
        <v>223</v>
      </c>
      <c r="Q11" s="150">
        <v>2</v>
      </c>
      <c r="S11" s="86"/>
      <c r="T11" s="150">
        <v>0</v>
      </c>
    </row>
    <row r="12" spans="3:20" ht="12.75">
      <c r="C12" s="13">
        <v>0</v>
      </c>
      <c r="D12" s="6">
        <v>50</v>
      </c>
      <c r="E12" s="6">
        <f>IF(OR(D7=0,H4="Kg"),0,MIN(INT((D7-IF(LEFT($C$7,1)="S",$D$22,$D$23)-2*E10*D10-2*E11*D11)/(2*D12)),C12/2))</f>
        <v>0</v>
      </c>
      <c r="F12" s="70">
        <v>18</v>
      </c>
      <c r="G12" s="6">
        <v>25</v>
      </c>
      <c r="H12" s="10">
        <f>IF(OR(G7=0,H4="Lb"),0,MIN(INT((G7-IF(LEFT($C$7,1)="S",$G$22,$G$23)-2*H10*G10-2*H11*G11)/(2*G12)),F12/2))</f>
        <v>0</v>
      </c>
      <c r="I12" s="8"/>
      <c r="J12" s="204">
        <f>IF(K11="SHW",1000,IF(K12="",J11+1,IF(ISERROR(VLOOKUP(K11,DATA!$F$32:$G$59,2,FALSE)),K11,VLOOKUP(K11,DATA!$F$32:$G$59,2,FALSE))+0.001))</f>
        <v>132.27700000000002</v>
      </c>
      <c r="K12" s="205">
        <v>148</v>
      </c>
      <c r="L12" s="204">
        <f>IF(M11="SHW",1000,IF(M12="",L11+1,IF(ISERROR(VLOOKUP(M11,DATA!$F$32:$G$59,2,FALSE)),M11,VLOOKUP(M11,DATA!$F$32:$G$59,2,FALSE))+0.001))</f>
        <v>114.64020000000001</v>
      </c>
      <c r="M12" s="207">
        <v>123</v>
      </c>
      <c r="O12" s="13" t="s">
        <v>204</v>
      </c>
      <c r="P12" s="153" t="s">
        <v>224</v>
      </c>
      <c r="Q12" s="150">
        <v>2</v>
      </c>
      <c r="S12" s="86"/>
      <c r="T12" s="150">
        <v>0</v>
      </c>
    </row>
    <row r="13" spans="3:20" ht="12.75">
      <c r="C13" s="13">
        <v>6</v>
      </c>
      <c r="D13" s="6">
        <v>45</v>
      </c>
      <c r="E13" s="6">
        <f>IF(OR(D7=0,H4="Kg"),0,MIN(INT((D7-IF(LEFT($C$7,1)="S",$D$22,$D$23)-2*E10*D10-2*E11*D11-2*E12*D12)/(2*D13)),C13/2))</f>
        <v>0</v>
      </c>
      <c r="F13" s="70">
        <v>6</v>
      </c>
      <c r="G13" s="6">
        <v>20</v>
      </c>
      <c r="H13" s="10">
        <f>IF(OR(G7=0,H4="Lb"),0,MIN(INT((G7-IF(LEFT($C$7,1)="S",$G$22,$G$23)-2*H10*G10-2*H11*G11-2*H12*G12)/(2*G13)),F13/2))</f>
        <v>0</v>
      </c>
      <c r="I13" s="8"/>
      <c r="J13" s="204">
        <f>IF(K12="SHW",1000,IF(K13="",J12+1,IF(ISERROR(VLOOKUP(K12,DATA!$F$32:$G$59,2,FALSE)),K12,VLOOKUP(K12,DATA!$F$32:$G$59,2,FALSE))+0.001))</f>
        <v>148.81150000000002</v>
      </c>
      <c r="K13" s="205">
        <v>165</v>
      </c>
      <c r="L13" s="204">
        <f>IF(M12="SHW",1000,IF(M13="",L12+1,IF(ISERROR(VLOOKUP(M12,DATA!$F$32:$G$59,2,FALSE)),M12,VLOOKUP(M12,DATA!$F$32:$G$59,2,FALSE))+0.001))</f>
        <v>123.45860000000002</v>
      </c>
      <c r="M13" s="207">
        <v>132</v>
      </c>
      <c r="O13" s="13" t="s">
        <v>205</v>
      </c>
      <c r="P13" s="153" t="s">
        <v>225</v>
      </c>
      <c r="Q13" s="150">
        <v>2</v>
      </c>
      <c r="S13" s="86"/>
      <c r="T13" s="150">
        <v>0</v>
      </c>
    </row>
    <row r="14" spans="3:20" ht="12.75">
      <c r="C14" s="13">
        <v>4</v>
      </c>
      <c r="D14" s="6">
        <v>35</v>
      </c>
      <c r="E14" s="6">
        <f>IF(OR(D7=0,H4="Kg"),0,MIN(INT((D7-IF(LEFT($C$7,1)="S",$D$22,$D$23)-2*E10*D10-2*E11*D11-2*E12*D12-2*E13*D13)/(2*D14)),C14/2))</f>
        <v>0</v>
      </c>
      <c r="F14" s="70">
        <v>4</v>
      </c>
      <c r="G14" s="6">
        <v>15</v>
      </c>
      <c r="H14" s="10">
        <f>IF(OR(G7=0,H4="Lb"),0,MIN(INT((G7-IF(LEFT($C$7,1)="S",$G$22,$G$23)-2*H10*G10-2*H11*G11-2*H12*G12-2*H13*G13)/(2*G14)),F14/2))</f>
        <v>0</v>
      </c>
      <c r="I14" s="8"/>
      <c r="J14" s="204">
        <f>IF(K13="SHW",1000,IF(K14="",J13+1,IF(ISERROR(VLOOKUP(K13,DATA!$F$32:$G$59,2,FALSE)),K13,VLOOKUP(K13,DATA!$F$32:$G$59,2,FALSE))+0.001))</f>
        <v>165.346</v>
      </c>
      <c r="K14" s="205">
        <v>181</v>
      </c>
      <c r="L14" s="204">
        <f>IF(M13="SHW",1000,IF(M14="",L13+1,IF(ISERROR(VLOOKUP(M13,DATA!$F$32:$G$59,2,FALSE)),M13,VLOOKUP(M13,DATA!$F$32:$G$59,2,FALSE))+0.001))</f>
        <v>132.27700000000002</v>
      </c>
      <c r="M14" s="207">
        <v>165</v>
      </c>
      <c r="O14" s="13" t="s">
        <v>206</v>
      </c>
      <c r="P14" s="153" t="s">
        <v>226</v>
      </c>
      <c r="Q14" s="150">
        <v>2</v>
      </c>
      <c r="S14" s="86"/>
      <c r="T14" s="150">
        <v>0</v>
      </c>
    </row>
    <row r="15" spans="3:20" ht="13.5" thickBot="1">
      <c r="C15" s="13">
        <v>2</v>
      </c>
      <c r="D15" s="6">
        <v>25</v>
      </c>
      <c r="E15" s="6">
        <f>IF(OR(D7=0,H4="Kg"),0,MIN(INT((D7-IF(LEFT($C$7,1)="S",$D$22,$D$23)-2*E10*D10-2*E11*D11-2*E12*D12-2*E13*D13-2*E14*D14)/(2*D15)),C15/2))</f>
        <v>0</v>
      </c>
      <c r="F15" s="70">
        <v>4</v>
      </c>
      <c r="G15" s="6">
        <v>10</v>
      </c>
      <c r="H15" s="10">
        <f>IF(OR(G7=0,H4="Lb"),0,MIN(INT((G7-IF(LEFT($C$7,1)="S",$G$22,$G$23)-2*H10*G10-2*H11*G11-2*H12*G12-2*H13*G13-2*H14*G14)/(2*G15)),F15/2))</f>
        <v>0</v>
      </c>
      <c r="I15" s="8"/>
      <c r="J15" s="204">
        <f>IF(K14="SHW",1000,IF(K15="",J14+1,IF(ISERROR(VLOOKUP(K14,DATA!$F$32:$G$59,2,FALSE)),K14,VLOOKUP(K14,DATA!$F$32:$G$59,2,FALSE))+0.001))</f>
        <v>181.8805</v>
      </c>
      <c r="K15" s="205">
        <v>198</v>
      </c>
      <c r="L15" s="204">
        <f>IF(M14="SHW",1000,IF(M15="",L14+1,IF(ISERROR(VLOOKUP(M14,DATA!$F$32:$G$59,2,FALSE)),M14,VLOOKUP(M14,DATA!$F$32:$G$59,2,FALSE))+0.001))</f>
        <v>165.346</v>
      </c>
      <c r="M15" s="207">
        <v>198</v>
      </c>
      <c r="O15" s="13" t="s">
        <v>207</v>
      </c>
      <c r="P15" s="153" t="s">
        <v>227</v>
      </c>
      <c r="Q15" s="150">
        <v>2</v>
      </c>
      <c r="S15" s="87"/>
      <c r="T15" s="152">
        <v>0</v>
      </c>
    </row>
    <row r="16" spans="3:17" ht="12.75">
      <c r="C16" s="13">
        <v>6</v>
      </c>
      <c r="D16" s="6">
        <v>10</v>
      </c>
      <c r="E16" s="6">
        <f>IF(OR(D7=0,H4="Kg"),0,MIN(INT((D7-IF(LEFT($C$7,1)="S",$D$22,$D$23)-2*E10*D10-2*E11*D11-2*E12*D12-2*E13*D13-2*E14*D14-2*E15*D15)/(2*D16)),C16/2))</f>
        <v>0</v>
      </c>
      <c r="F16" s="70">
        <v>4</v>
      </c>
      <c r="G16" s="6">
        <v>5</v>
      </c>
      <c r="H16" s="10">
        <f>IF(OR(G7=0,H4="Lb"),0,MIN(INT((G7-IF(LEFT($C$7,1)="S",$G$22,$G$23)-2*H10*G10-2*H11*G11-2*H12*G12-2*H13*G13-2*H14*G14-2*H15*G15)/(2*G16)),F16/2))</f>
        <v>0</v>
      </c>
      <c r="I16" s="8"/>
      <c r="J16" s="204">
        <f>IF(K15="SHW",1000,IF(K16="",J15+1,IF(ISERROR(VLOOKUP(K15,DATA!$F$32:$G$59,2,FALSE)),K15,VLOOKUP(K15,DATA!$F$32:$G$59,2,FALSE))+0.001))</f>
        <v>198.41500000000002</v>
      </c>
      <c r="K16" s="205">
        <v>220</v>
      </c>
      <c r="L16" s="204">
        <f>IF(M15="SHW",1000,IF(M16="",L15+1,IF(ISERROR(VLOOKUP(M15,DATA!$F$32:$G$59,2,FALSE)),M15,VLOOKUP(M15,DATA!$F$32:$G$59,2,FALSE))+0.001))</f>
        <v>198.41500000000002</v>
      </c>
      <c r="M16" s="207" t="s">
        <v>126</v>
      </c>
      <c r="O16" s="13" t="s">
        <v>208</v>
      </c>
      <c r="P16" s="153" t="s">
        <v>228</v>
      </c>
      <c r="Q16" s="150">
        <v>2</v>
      </c>
    </row>
    <row r="17" spans="3:17" ht="12.75">
      <c r="C17" s="13">
        <v>4</v>
      </c>
      <c r="D17" s="6">
        <v>5</v>
      </c>
      <c r="E17" s="6">
        <f>IF(OR(D7=0,H4="Kg"),0,MIN(INT((D7-IF(LEFT($C$7,1)="S",$D$22,$D$23)-2*E10*D10-2*E11*D11-2*E12*D12-2*E13*D13-2*E14*D14-2*E15*D15-2*E16*D16)/(2*D17)),C17/2))</f>
        <v>0</v>
      </c>
      <c r="F17" s="70">
        <v>2</v>
      </c>
      <c r="G17" s="6">
        <v>2.5</v>
      </c>
      <c r="H17" s="10">
        <f>IF(OR(G7=0,H4="Lb"),0,MIN(INT((G7-IF(LEFT($C$7,1)="S",$G$22,$G$23)-2*H10*G10-2*H11*G11-2*H12*G12-2*H13*G13-2*H14*G14-2*H15*G15-2*H16*G16)/(2*G17)),F17/2))</f>
        <v>0</v>
      </c>
      <c r="I17" s="8"/>
      <c r="J17" s="204">
        <f>IF(K16="SHW",1000,IF(K17="",J16+1,IF(ISERROR(VLOOKUP(K16,DATA!$F$32:$G$59,2,FALSE)),K16,VLOOKUP(K16,DATA!$F$32:$G$59,2,FALSE))+0.001))</f>
        <v>220.461</v>
      </c>
      <c r="K17" s="205">
        <v>242</v>
      </c>
      <c r="L17" s="204">
        <f>IF(M16="SHW",1000,IF(M17="",L16+1,IF(ISERROR(VLOOKUP(M16,DATA!$F$32:$G$59,2,FALSE)),M16,VLOOKUP(M16,DATA!$F$32:$G$59,2,FALSE))+0.001))</f>
        <v>1000</v>
      </c>
      <c r="M17" s="207">
        <v>148</v>
      </c>
      <c r="O17" s="13" t="s">
        <v>209</v>
      </c>
      <c r="P17" s="153" t="s">
        <v>210</v>
      </c>
      <c r="Q17" s="150">
        <v>2</v>
      </c>
    </row>
    <row r="18" spans="3:17" ht="12.75">
      <c r="C18" s="13">
        <v>4</v>
      </c>
      <c r="D18" s="6">
        <v>2.5</v>
      </c>
      <c r="E18" s="6">
        <f>IF(OR(D7=0,H4="Kg"),0,MIN(INT((D7-IF(LEFT($C$7,1)="S",$D$22,$D$23)-2*E10*D10-2*E11*D11-2*E12*D12-2*E13*D13-2*E14*D14-2*E15*D15-2*E16*D16-2*E17*D17)/(2*D18)),C18/2))</f>
        <v>0</v>
      </c>
      <c r="F18" s="70">
        <v>2</v>
      </c>
      <c r="G18" s="6">
        <v>1.25</v>
      </c>
      <c r="H18" s="10">
        <f>IF(OR(G7=0,H4="Lb"),0,INT((G7-IF(LEFT($C$7,1)="S",$G$22,$G$23)-2*H10*G10-2*H11*G11-2*H12*G12-2*H13*G13-2*H14*G14-2*H15*G15-2*H16*G16-2*H17*G17)/(2*G18)))</f>
        <v>0</v>
      </c>
      <c r="I18" s="8"/>
      <c r="J18" s="204">
        <f>IF(K17="SHW",1000,IF(K18="",J17+1,IF(ISERROR(VLOOKUP(K17,DATA!$F$32:$G$59,2,FALSE)),K17,VLOOKUP(K17,DATA!$F$32:$G$59,2,FALSE))+0.001))</f>
        <v>242.507</v>
      </c>
      <c r="K18" s="205">
        <v>275</v>
      </c>
      <c r="L18" s="204">
        <f>IF(M17="SHW",1000,IF(M18="",L17+1,IF(ISERROR(VLOOKUP(M17,DATA!$F$32:$G$59,2,FALSE)),M17,VLOOKUP(M17,DATA!$F$32:$G$59,2,FALSE))+0.001))</f>
        <v>1001</v>
      </c>
      <c r="M18" s="207"/>
      <c r="O18" s="13" t="s">
        <v>211</v>
      </c>
      <c r="P18" s="153" t="s">
        <v>229</v>
      </c>
      <c r="Q18" s="150">
        <v>2</v>
      </c>
    </row>
    <row r="19" spans="3:17" ht="12.75">
      <c r="C19" s="13">
        <v>0</v>
      </c>
      <c r="D19" s="6">
        <v>1</v>
      </c>
      <c r="E19" s="6">
        <f>IF(OR(D7=0,H4="Kg"),0,MIN(INT((D7-IF(LEFT($C$7,1)="S",$D$22,$D$23)-2*E10*D10-2*E11*D11-2*E12*D12-2*E13*D13-2*E14*D14-2*E15*D15-2*E16*D16-2*E17*D17-2*E18*D18)/(2*D19)),C19/2))</f>
        <v>0</v>
      </c>
      <c r="F19" s="70">
        <v>4</v>
      </c>
      <c r="G19" s="6">
        <v>0.5</v>
      </c>
      <c r="H19" s="10">
        <f>IF(OR(G7=0,H4="Lb"),0,INT((G7-IF(LEFT($C$7,1)="S",$G$22,$G$23)-2*H10*G10-2*H11*G11-2*H12*G12-2*H13*G13-2*H14*G14-2*H15*G15-2*H16*G16-2*H17*G17-2*H18*G18)/(2*G19)))</f>
        <v>0</v>
      </c>
      <c r="I19" s="8"/>
      <c r="J19" s="204">
        <f>IF(K18="SHW",1000,IF(K19="",J18+1,IF(ISERROR(VLOOKUP(K18,DATA!$F$32:$G$59,2,FALSE)),K18,VLOOKUP(K18,DATA!$F$32:$G$59,2,FALSE))+0.001))</f>
        <v>275.57599999999996</v>
      </c>
      <c r="K19" s="205">
        <v>308</v>
      </c>
      <c r="L19" s="204">
        <f>IF(M18="SHW",1000,IF(M19="",L18+1,IF(ISERROR(VLOOKUP(M18,DATA!$F$32:$G$59,2,FALSE)),M18,VLOOKUP(M18,DATA!$F$32:$G$59,2,FALSE))+0.001))</f>
        <v>1002</v>
      </c>
      <c r="M19" s="207"/>
      <c r="O19" s="13" t="s">
        <v>213</v>
      </c>
      <c r="P19" s="153" t="s">
        <v>214</v>
      </c>
      <c r="Q19" s="150">
        <v>2</v>
      </c>
    </row>
    <row r="20" spans="3:17" ht="12.75">
      <c r="C20" s="13">
        <v>0</v>
      </c>
      <c r="D20" s="6">
        <v>0.5</v>
      </c>
      <c r="E20" s="6">
        <f>IF(OR(D7=0,H4="Kg"),0,MIN(INT((D7-IF(LEFT($C$7,1)="S",$D$22,$D$23)-2*E10*D10-2*E11*D11-2*E12*D12-2*E13*D13-2*E14*D14-2*E15*D15-2*E16*D16-2*E17*D17-2*E18*D18-2*E19*D19)/(2*D20)),C20/2))</f>
        <v>0</v>
      </c>
      <c r="F20" s="70">
        <v>2</v>
      </c>
      <c r="G20" s="6">
        <v>0.25</v>
      </c>
      <c r="H20" s="10">
        <f>IF(OR(G7=0,H4="Lb"),0,INT((G7-IF(LEFT($C$7,1)="S",$G$22,$G$23)-2*H10*G10-2*H11*G11-2*H12*G12-2*H13*G13-2*H14*G14-2*H15*G15-2*H16*G16-2*H17*G17-2*H18*G18-2*H19*G19)/(2*G20)))</f>
        <v>0</v>
      </c>
      <c r="I20" s="8"/>
      <c r="J20" s="204">
        <f>IF(K19="SHW",1000,IF(K20="",J19+1,IF(ISERROR(VLOOKUP(K19,DATA!$F$32:$G$59,2,FALSE)),K19,VLOOKUP(K19,DATA!$F$32:$G$59,2,FALSE))+0.001))</f>
        <v>308.645</v>
      </c>
      <c r="K20" s="205" t="s">
        <v>126</v>
      </c>
      <c r="L20" s="204">
        <f>IF(M19="SHW",1000,IF(M20="",L19+1,IF(ISERROR(VLOOKUP(M19,DATA!$F$32:$G$59,2,FALSE)),M19,VLOOKUP(M19,DATA!$F$32:$G$59,2,FALSE))+0.001))</f>
        <v>1003</v>
      </c>
      <c r="M20" s="207"/>
      <c r="O20" s="13" t="s">
        <v>230</v>
      </c>
      <c r="P20" s="153" t="s">
        <v>231</v>
      </c>
      <c r="Q20" s="150">
        <v>2</v>
      </c>
    </row>
    <row r="21" spans="3:17" ht="12.75">
      <c r="C21" s="310" t="s">
        <v>82</v>
      </c>
      <c r="D21" s="311"/>
      <c r="E21" s="6">
        <v>1</v>
      </c>
      <c r="F21" s="311" t="s">
        <v>82</v>
      </c>
      <c r="G21" s="311"/>
      <c r="H21" s="10">
        <v>1</v>
      </c>
      <c r="I21" s="8"/>
      <c r="J21" s="204">
        <f>IF(K20="SHW",1000,IF(K21="",J20+1,IF(ISERROR(VLOOKUP(K20,DATA!$F$32:$G$59,2,FALSE)),K20,VLOOKUP(K20,DATA!$F$32:$G$59,2,FALSE))+0.001))</f>
        <v>1000</v>
      </c>
      <c r="K21" s="205"/>
      <c r="L21" s="204">
        <f>IF(M20="SHW",1000,IF(M21="",L20+1,IF(ISERROR(VLOOKUP(M20,DATA!$F$32:$G$59,2,FALSE)),M20,VLOOKUP(M20,DATA!$F$32:$G$59,2,FALSE))+0.001))</f>
        <v>1004</v>
      </c>
      <c r="M21" s="207"/>
      <c r="O21" s="13"/>
      <c r="P21" s="153"/>
      <c r="Q21" s="150"/>
    </row>
    <row r="22" spans="3:17" ht="12.75">
      <c r="C22" s="9" t="s">
        <v>80</v>
      </c>
      <c r="D22" s="65">
        <v>65</v>
      </c>
      <c r="E22" s="313" t="s">
        <v>62</v>
      </c>
      <c r="F22" s="6" t="s">
        <v>80</v>
      </c>
      <c r="G22" s="72">
        <v>30</v>
      </c>
      <c r="H22" s="315" t="s">
        <v>77</v>
      </c>
      <c r="I22" s="8"/>
      <c r="J22" s="204">
        <f>IF(K21="SHW",1000,IF(K22="",J21+1,IF(ISERROR(VLOOKUP(K21,DATA!$F$32:$G$59,2,FALSE)),K21,VLOOKUP(K21,DATA!$F$32:$G$59,2,FALSE))+0.001))</f>
        <v>1001</v>
      </c>
      <c r="K22" s="205"/>
      <c r="L22" s="204">
        <f>IF(M21="SHW",1000,IF(M22="",L21+1,IF(ISERROR(VLOOKUP(M21,DATA!$F$32:$G$59,2,FALSE)),M21,VLOOKUP(M21,DATA!$F$32:$G$59,2,FALSE))+0.001))</f>
        <v>1005</v>
      </c>
      <c r="M22" s="207"/>
      <c r="O22" s="13" t="s">
        <v>308</v>
      </c>
      <c r="P22" s="153"/>
      <c r="Q22" s="150"/>
    </row>
    <row r="23" spans="3:17" ht="13.5" thickBot="1">
      <c r="C23" s="11" t="s">
        <v>81</v>
      </c>
      <c r="D23" s="71">
        <v>55</v>
      </c>
      <c r="E23" s="314"/>
      <c r="F23" s="12" t="s">
        <v>81</v>
      </c>
      <c r="G23" s="73">
        <v>25</v>
      </c>
      <c r="H23" s="316"/>
      <c r="I23" s="8"/>
      <c r="J23" s="204">
        <f>IF(K22="SHW",1000,IF(K23="",J22+1,IF(ISERROR(VLOOKUP(K22,DATA!$F$32:$G$59,2,FALSE)),K22,VLOOKUP(K22,DATA!$F$32:$G$59,2,FALSE))+0.001))</f>
        <v>1002</v>
      </c>
      <c r="K23" s="206"/>
      <c r="L23" s="204">
        <f>IF(M22="SHW",1000,IF(M23="",L22+1,IF(ISERROR(VLOOKUP(M22,DATA!$F$32:$G$59,2,FALSE)),M22,VLOOKUP(M22,DATA!$F$32:$G$59,2,FALSE))+0.001))</f>
        <v>1006</v>
      </c>
      <c r="M23" s="208"/>
      <c r="O23" s="13"/>
      <c r="P23" s="153"/>
      <c r="Q23" s="150"/>
    </row>
    <row r="24" spans="8:17" ht="13.5" thickBot="1">
      <c r="H24" s="14"/>
      <c r="I24" s="8"/>
      <c r="O24" s="13"/>
      <c r="P24" s="153"/>
      <c r="Q24" s="150"/>
    </row>
    <row r="25" spans="4:17" ht="12.75" customHeight="1">
      <c r="D25" s="317" t="s">
        <v>197</v>
      </c>
      <c r="E25" s="318"/>
      <c r="F25" s="319"/>
      <c r="G25" s="323" t="s">
        <v>217</v>
      </c>
      <c r="H25" s="14"/>
      <c r="I25" s="8"/>
      <c r="O25" s="13"/>
      <c r="P25" s="153"/>
      <c r="Q25" s="150"/>
    </row>
    <row r="26" spans="4:17" ht="12.75" customHeight="1" thickBot="1">
      <c r="D26" s="320"/>
      <c r="E26" s="321"/>
      <c r="F26" s="322"/>
      <c r="G26" s="324"/>
      <c r="H26" s="14"/>
      <c r="I26" s="8"/>
      <c r="O26" s="13"/>
      <c r="P26" s="153"/>
      <c r="Q26" s="150"/>
    </row>
    <row r="27" spans="8:17" ht="13.5" thickBot="1">
      <c r="H27" s="14"/>
      <c r="I27" s="8"/>
      <c r="O27" s="13"/>
      <c r="P27" s="153"/>
      <c r="Q27" s="150"/>
    </row>
    <row r="28" spans="4:17" ht="12.75">
      <c r="D28" s="302" t="s">
        <v>153</v>
      </c>
      <c r="E28" s="303"/>
      <c r="F28" s="303"/>
      <c r="G28" s="304"/>
      <c r="H28" s="14"/>
      <c r="I28" s="8"/>
      <c r="K28" s="293" t="s">
        <v>160</v>
      </c>
      <c r="L28" s="294"/>
      <c r="M28" s="295"/>
      <c r="O28" s="13"/>
      <c r="P28" s="153"/>
      <c r="Q28" s="150"/>
    </row>
    <row r="29" spans="3:17" ht="13.5" thickBot="1">
      <c r="C29" s="88"/>
      <c r="D29" s="305"/>
      <c r="E29" s="306"/>
      <c r="F29" s="306"/>
      <c r="G29" s="307"/>
      <c r="H29" s="14"/>
      <c r="I29" s="8"/>
      <c r="K29" s="296"/>
      <c r="L29" s="264"/>
      <c r="M29" s="253"/>
      <c r="O29" s="13"/>
      <c r="P29" s="153"/>
      <c r="Q29" s="150"/>
    </row>
    <row r="30" spans="8:17" ht="12.75">
      <c r="H30" s="14"/>
      <c r="I30" s="8"/>
      <c r="K30" s="254" t="s">
        <v>196</v>
      </c>
      <c r="L30" s="297"/>
      <c r="M30" s="298"/>
      <c r="O30" s="13"/>
      <c r="P30" s="153"/>
      <c r="Q30" s="150"/>
    </row>
    <row r="31" spans="11:17" ht="12.75">
      <c r="K31" s="299"/>
      <c r="L31" s="300"/>
      <c r="M31" s="301"/>
      <c r="O31" s="13"/>
      <c r="P31" s="153"/>
      <c r="Q31" s="150"/>
    </row>
    <row r="32" spans="15:17" ht="12.75">
      <c r="O32" s="13"/>
      <c r="P32" s="153"/>
      <c r="Q32" s="150"/>
    </row>
    <row r="33" spans="15:17" ht="12.75">
      <c r="O33" s="13"/>
      <c r="P33" s="153"/>
      <c r="Q33" s="150"/>
    </row>
    <row r="34" spans="15:17" ht="12.75">
      <c r="O34" s="13"/>
      <c r="P34" s="153"/>
      <c r="Q34" s="150"/>
    </row>
    <row r="35" spans="15:17" ht="12.75">
      <c r="O35" s="13"/>
      <c r="P35" s="153"/>
      <c r="Q35" s="150"/>
    </row>
    <row r="36" spans="15:17" ht="12.75">
      <c r="O36" s="13"/>
      <c r="P36" s="153"/>
      <c r="Q36" s="150"/>
    </row>
    <row r="37" spans="15:17" ht="12.75">
      <c r="O37" s="13"/>
      <c r="P37" s="153"/>
      <c r="Q37" s="150"/>
    </row>
    <row r="38" spans="15:17" ht="12.75">
      <c r="O38" s="13"/>
      <c r="P38" s="153"/>
      <c r="Q38" s="150"/>
    </row>
    <row r="39" spans="15:17" ht="12.75">
      <c r="O39" s="13"/>
      <c r="P39" s="153"/>
      <c r="Q39" s="150"/>
    </row>
    <row r="40" spans="15:17" ht="12.75">
      <c r="O40" s="13"/>
      <c r="P40" s="153"/>
      <c r="Q40" s="150"/>
    </row>
    <row r="41" spans="15:17" ht="12.75">
      <c r="O41" s="13"/>
      <c r="P41" s="153"/>
      <c r="Q41" s="150"/>
    </row>
    <row r="42" spans="15:17" ht="12.75">
      <c r="O42" s="13"/>
      <c r="P42" s="153"/>
      <c r="Q42" s="150"/>
    </row>
    <row r="43" spans="15:17" ht="12.75">
      <c r="O43" s="13"/>
      <c r="P43" s="153"/>
      <c r="Q43" s="150"/>
    </row>
    <row r="44" spans="15:17" ht="12.75">
      <c r="O44" s="13"/>
      <c r="P44" s="153"/>
      <c r="Q44" s="150"/>
    </row>
    <row r="45" spans="15:17" ht="12.75">
      <c r="O45" s="13"/>
      <c r="P45" s="153"/>
      <c r="Q45" s="150"/>
    </row>
    <row r="46" spans="15:17" ht="12.75">
      <c r="O46" s="13"/>
      <c r="P46" s="153"/>
      <c r="Q46" s="150"/>
    </row>
    <row r="47" spans="15:17" ht="12.75">
      <c r="O47" s="13"/>
      <c r="P47" s="153"/>
      <c r="Q47" s="150"/>
    </row>
    <row r="48" spans="15:17" ht="12.75">
      <c r="O48" s="13"/>
      <c r="P48" s="153"/>
      <c r="Q48" s="150"/>
    </row>
    <row r="49" spans="15:17" ht="12.75">
      <c r="O49" s="13"/>
      <c r="P49" s="153"/>
      <c r="Q49" s="150"/>
    </row>
    <row r="50" spans="15:17" ht="12.75">
      <c r="O50" s="13"/>
      <c r="P50" s="153"/>
      <c r="Q50" s="150"/>
    </row>
    <row r="51" spans="15:17" ht="12.75">
      <c r="O51" s="13"/>
      <c r="P51" s="153"/>
      <c r="Q51" s="150"/>
    </row>
    <row r="52" spans="15:17" ht="12.75">
      <c r="O52" s="13"/>
      <c r="P52" s="153"/>
      <c r="Q52" s="150"/>
    </row>
    <row r="53" spans="15:17" ht="12.75">
      <c r="O53" s="13"/>
      <c r="P53" s="153"/>
      <c r="Q53" s="150"/>
    </row>
    <row r="54" spans="15:17" ht="12.75">
      <c r="O54" s="13"/>
      <c r="P54" s="153"/>
      <c r="Q54" s="150"/>
    </row>
    <row r="55" spans="15:17" ht="13.5" thickBot="1">
      <c r="O55" s="151"/>
      <c r="P55" s="153"/>
      <c r="Q55" s="152"/>
    </row>
  </sheetData>
  <sheetProtection/>
  <mergeCells count="22">
    <mergeCell ref="D25:F26"/>
    <mergeCell ref="G25:G26"/>
    <mergeCell ref="C2:H2"/>
    <mergeCell ref="K2:M2"/>
    <mergeCell ref="K6:M7"/>
    <mergeCell ref="K4:M5"/>
    <mergeCell ref="C4:G5"/>
    <mergeCell ref="K28:M29"/>
    <mergeCell ref="K30:M31"/>
    <mergeCell ref="D28:G29"/>
    <mergeCell ref="H4:H5"/>
    <mergeCell ref="C6:E6"/>
    <mergeCell ref="F6:H6"/>
    <mergeCell ref="E22:E23"/>
    <mergeCell ref="H22:H23"/>
    <mergeCell ref="C21:D21"/>
    <mergeCell ref="F21:G21"/>
    <mergeCell ref="O4:Q5"/>
    <mergeCell ref="O2:Q2"/>
    <mergeCell ref="S2:T2"/>
    <mergeCell ref="S4:S5"/>
    <mergeCell ref="T4:T5"/>
  </mergeCells>
  <conditionalFormatting sqref="D6:E23 C6 C8:C23">
    <cfRule type="expression" priority="1" dxfId="152" stopIfTrue="1">
      <formula>AND($H$4="Kg")</formula>
    </cfRule>
  </conditionalFormatting>
  <conditionalFormatting sqref="F6:H23">
    <cfRule type="expression" priority="2" dxfId="152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F10:F12 C14 F14 C10:C12">
      <formula1>"0,2,4,6,8,10,12,14,16,18,20"</formula1>
    </dataValidation>
    <dataValidation type="list" allowBlank="1" showInputMessage="1" showErrorMessage="1" sqref="J26:J28 C13 F13 F15:F18 C15:C18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3">
      <formula1>"20,22.5,25,30,32.5"</formula1>
    </dataValidation>
    <dataValidation type="list" allowBlank="1" showInputMessage="1" showErrorMessage="1" promptTitle="Weight of bar &amp; collars" prompt="select the weight of the Bar plus collars from the pulldown list" sqref="G22">
      <formula1>"20,22.5,25,30,32.5"</formula1>
    </dataValidation>
    <dataValidation type="list" allowBlank="1" showInputMessage="1" showErrorMessage="1" sqref="G25:G26">
      <formula1>"yes,no"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02"/>
  <sheetViews>
    <sheetView showZeros="0" zoomScalePageLayoutView="0" workbookViewId="0" topLeftCell="C1">
      <pane ySplit="2" topLeftCell="BM3" activePane="bottomLeft" state="frozen"/>
      <selection pane="topLeft" activeCell="B1" sqref="B1"/>
      <selection pane="bottomLeft" activeCell="C3" sqref="C3"/>
    </sheetView>
  </sheetViews>
  <sheetFormatPr defaultColWidth="9.140625" defaultRowHeight="12.75"/>
  <cols>
    <col min="1" max="1" width="9.140625" style="53" hidden="1" customWidth="1"/>
    <col min="2" max="2" width="3.140625" style="52" hidden="1" customWidth="1"/>
    <col min="3" max="3" width="15.8515625" style="63" customWidth="1"/>
    <col min="4" max="4" width="4.140625" style="52" customWidth="1"/>
    <col min="5" max="5" width="4.7109375" style="52" customWidth="1"/>
    <col min="6" max="6" width="5.8515625" style="52" customWidth="1"/>
    <col min="7" max="7" width="5.57421875" style="52" customWidth="1"/>
    <col min="8" max="8" width="8.28125" style="57" customWidth="1"/>
    <col min="9" max="9" width="3.7109375" style="52" hidden="1" customWidth="1"/>
    <col min="10" max="10" width="5.7109375" style="52" hidden="1" customWidth="1"/>
    <col min="11" max="13" width="5.7109375" style="52" customWidth="1"/>
    <col min="14" max="16" width="5.7109375" style="52" hidden="1" customWidth="1"/>
    <col min="17" max="19" width="5.7109375" style="52" customWidth="1"/>
    <col min="20" max="22" width="5.7109375" style="52" hidden="1" customWidth="1"/>
    <col min="23" max="25" width="5.7109375" style="52" customWidth="1"/>
    <col min="26" max="27" width="5.7109375" style="52" hidden="1" customWidth="1"/>
    <col min="28" max="28" width="7.00390625" style="58" customWidth="1"/>
    <col min="29" max="30" width="7.00390625" style="61" customWidth="1"/>
    <col min="31" max="31" width="8.8515625" style="121" customWidth="1"/>
    <col min="32" max="32" width="7.8515625" style="121" customWidth="1"/>
    <col min="33" max="33" width="7.00390625" style="61" customWidth="1"/>
    <col min="34" max="34" width="8.7109375" style="61" customWidth="1"/>
    <col min="35" max="35" width="8.421875" style="59" customWidth="1"/>
    <col min="36" max="36" width="9.140625" style="53" hidden="1" customWidth="1"/>
    <col min="37" max="47" width="0" style="53" hidden="1" customWidth="1"/>
    <col min="48" max="16384" width="9.140625" style="53" customWidth="1"/>
  </cols>
  <sheetData>
    <row r="1" spans="3:35" ht="28.5" customHeight="1" thickBot="1">
      <c r="C1" s="179">
        <f>Setup!K2</f>
        <v>40159</v>
      </c>
      <c r="D1" s="359" t="str">
        <f>Setup!C2</f>
        <v>HOLIDAY FESTIVAL OF STRENGTH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5" s="182" customFormat="1" ht="34.5" customHeight="1" thickBot="1">
      <c r="A2" s="182" t="s">
        <v>32</v>
      </c>
      <c r="B2" s="183" t="s">
        <v>150</v>
      </c>
      <c r="C2" s="184" t="s">
        <v>0</v>
      </c>
      <c r="D2" s="185" t="s">
        <v>1</v>
      </c>
      <c r="E2" s="185" t="s">
        <v>29</v>
      </c>
      <c r="F2" s="185" t="str">
        <f>Lifting!F8</f>
        <v>BWt (Lb)</v>
      </c>
      <c r="G2" s="185" t="str">
        <f>Lifting!G8</f>
        <v>WtCls (Lb)</v>
      </c>
      <c r="H2" s="186" t="str">
        <f>Lifting!H8</f>
        <v>Wilks</v>
      </c>
      <c r="I2" s="185" t="s">
        <v>2</v>
      </c>
      <c r="J2" s="185" t="s">
        <v>26</v>
      </c>
      <c r="K2" s="185" t="s">
        <v>22</v>
      </c>
      <c r="L2" s="185" t="s">
        <v>23</v>
      </c>
      <c r="M2" s="185" t="s">
        <v>24</v>
      </c>
      <c r="N2" s="185" t="s">
        <v>25</v>
      </c>
      <c r="O2" s="185" t="s">
        <v>11</v>
      </c>
      <c r="P2" s="185" t="s">
        <v>27</v>
      </c>
      <c r="Q2" s="185" t="s">
        <v>12</v>
      </c>
      <c r="R2" s="185" t="s">
        <v>13</v>
      </c>
      <c r="S2" s="185" t="s">
        <v>14</v>
      </c>
      <c r="T2" s="185" t="s">
        <v>28</v>
      </c>
      <c r="U2" s="185" t="s">
        <v>15</v>
      </c>
      <c r="V2" s="185" t="s">
        <v>16</v>
      </c>
      <c r="W2" s="185" t="s">
        <v>17</v>
      </c>
      <c r="X2" s="185" t="s">
        <v>18</v>
      </c>
      <c r="Y2" s="185" t="s">
        <v>19</v>
      </c>
      <c r="Z2" s="185" t="s">
        <v>20</v>
      </c>
      <c r="AA2" s="185" t="s">
        <v>21</v>
      </c>
      <c r="AB2" s="187" t="str">
        <f>Lifting!AB8</f>
        <v>PL Total</v>
      </c>
      <c r="AC2" s="188" t="s">
        <v>135</v>
      </c>
      <c r="AD2" s="188" t="s">
        <v>140</v>
      </c>
      <c r="AE2" s="188" t="s">
        <v>145</v>
      </c>
      <c r="AF2" s="188" t="s">
        <v>31</v>
      </c>
      <c r="AG2" s="188" t="s">
        <v>38</v>
      </c>
      <c r="AH2" s="188" t="s">
        <v>45</v>
      </c>
      <c r="AI2" s="189" t="s">
        <v>146</v>
      </c>
    </row>
    <row r="3" spans="2:35" ht="14.25" customHeight="1">
      <c r="B3" s="54"/>
      <c r="C3" s="64"/>
      <c r="D3" s="54"/>
      <c r="E3" s="54"/>
      <c r="F3" s="54"/>
      <c r="G3" s="54"/>
      <c r="H3" s="5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0"/>
      <c r="AC3" s="62"/>
      <c r="AD3" s="62"/>
      <c r="AE3" s="120"/>
      <c r="AF3" s="120"/>
      <c r="AG3" s="62"/>
      <c r="AH3" s="62"/>
      <c r="AI3" s="56"/>
    </row>
    <row r="4" spans="2:35" ht="14.25" customHeight="1">
      <c r="B4" s="54"/>
      <c r="C4" s="64"/>
      <c r="D4" s="54"/>
      <c r="E4" s="54"/>
      <c r="F4" s="54"/>
      <c r="G4" s="54"/>
      <c r="H4" s="5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60"/>
      <c r="AC4" s="62"/>
      <c r="AD4" s="62"/>
      <c r="AE4" s="120"/>
      <c r="AF4" s="120"/>
      <c r="AG4" s="62"/>
      <c r="AH4" s="62"/>
      <c r="AI4" s="56"/>
    </row>
    <row r="5" spans="2:35" ht="14.25" customHeight="1">
      <c r="B5" s="54"/>
      <c r="C5" s="64"/>
      <c r="D5" s="54"/>
      <c r="E5" s="54"/>
      <c r="F5" s="54"/>
      <c r="G5" s="54"/>
      <c r="H5" s="5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60"/>
      <c r="AC5" s="62"/>
      <c r="AD5" s="62"/>
      <c r="AE5" s="120"/>
      <c r="AF5" s="120"/>
      <c r="AG5" s="62"/>
      <c r="AH5" s="62"/>
      <c r="AI5" s="56"/>
    </row>
    <row r="6" spans="2:35" ht="14.25" customHeight="1">
      <c r="B6" s="54"/>
      <c r="C6" s="64"/>
      <c r="D6" s="54"/>
      <c r="E6" s="54"/>
      <c r="F6" s="54"/>
      <c r="G6" s="54"/>
      <c r="H6" s="5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60"/>
      <c r="AC6" s="62"/>
      <c r="AD6" s="62"/>
      <c r="AE6" s="120"/>
      <c r="AF6" s="120"/>
      <c r="AG6" s="62"/>
      <c r="AH6" s="62"/>
      <c r="AI6" s="56"/>
    </row>
    <row r="7" spans="2:35" ht="14.25" customHeight="1">
      <c r="B7" s="54"/>
      <c r="C7" s="64"/>
      <c r="D7" s="54"/>
      <c r="E7" s="54"/>
      <c r="F7" s="54"/>
      <c r="G7" s="54"/>
      <c r="H7" s="55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60"/>
      <c r="AC7" s="62"/>
      <c r="AD7" s="62"/>
      <c r="AE7" s="120"/>
      <c r="AF7" s="120"/>
      <c r="AG7" s="62"/>
      <c r="AH7" s="62"/>
      <c r="AI7" s="56"/>
    </row>
    <row r="8" spans="2:35" ht="14.25" customHeight="1">
      <c r="B8" s="54"/>
      <c r="C8" s="64"/>
      <c r="D8" s="54"/>
      <c r="E8" s="54"/>
      <c r="F8" s="54"/>
      <c r="G8" s="54"/>
      <c r="H8" s="55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60"/>
      <c r="AC8" s="62"/>
      <c r="AD8" s="62"/>
      <c r="AE8" s="120"/>
      <c r="AF8" s="120"/>
      <c r="AG8" s="62"/>
      <c r="AH8" s="62"/>
      <c r="AI8" s="56"/>
    </row>
    <row r="9" spans="2:35" ht="14.25" customHeight="1">
      <c r="B9" s="54"/>
      <c r="C9" s="64"/>
      <c r="D9" s="54"/>
      <c r="E9" s="54"/>
      <c r="F9" s="54"/>
      <c r="G9" s="54"/>
      <c r="H9" s="5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60"/>
      <c r="AC9" s="62"/>
      <c r="AD9" s="62"/>
      <c r="AE9" s="120"/>
      <c r="AF9" s="120"/>
      <c r="AG9" s="62"/>
      <c r="AH9" s="62"/>
      <c r="AI9" s="56"/>
    </row>
    <row r="10" spans="2:35" ht="14.25" customHeight="1">
      <c r="B10" s="54"/>
      <c r="C10" s="64"/>
      <c r="D10" s="54"/>
      <c r="E10" s="54"/>
      <c r="F10" s="54"/>
      <c r="G10" s="54"/>
      <c r="H10" s="55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60"/>
      <c r="AC10" s="62"/>
      <c r="AD10" s="62"/>
      <c r="AE10" s="120"/>
      <c r="AF10" s="120"/>
      <c r="AG10" s="62"/>
      <c r="AH10" s="62"/>
      <c r="AI10" s="56"/>
    </row>
    <row r="11" spans="2:35" ht="14.25" customHeight="1">
      <c r="B11" s="54"/>
      <c r="C11" s="64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60"/>
      <c r="AC11" s="62"/>
      <c r="AD11" s="62"/>
      <c r="AE11" s="120"/>
      <c r="AF11" s="120"/>
      <c r="AG11" s="62"/>
      <c r="AH11" s="62"/>
      <c r="AI11" s="56"/>
    </row>
    <row r="12" spans="2:35" ht="14.25" customHeight="1">
      <c r="B12" s="54"/>
      <c r="C12" s="64"/>
      <c r="D12" s="54"/>
      <c r="E12" s="54"/>
      <c r="F12" s="54"/>
      <c r="G12" s="54"/>
      <c r="H12" s="55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0"/>
      <c r="AC12" s="62"/>
      <c r="AD12" s="62"/>
      <c r="AE12" s="120"/>
      <c r="AF12" s="120"/>
      <c r="AG12" s="62"/>
      <c r="AH12" s="62"/>
      <c r="AI12" s="56"/>
    </row>
    <row r="13" spans="2:35" ht="14.25" customHeight="1">
      <c r="B13" s="54"/>
      <c r="C13" s="64"/>
      <c r="D13" s="54"/>
      <c r="E13" s="54"/>
      <c r="F13" s="54"/>
      <c r="G13" s="54"/>
      <c r="H13" s="55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60"/>
      <c r="AC13" s="62"/>
      <c r="AD13" s="62"/>
      <c r="AE13" s="120"/>
      <c r="AF13" s="120"/>
      <c r="AG13" s="62"/>
      <c r="AH13" s="62"/>
      <c r="AI13" s="56"/>
    </row>
    <row r="14" spans="2:35" ht="14.25" customHeight="1">
      <c r="B14" s="54"/>
      <c r="C14" s="64"/>
      <c r="D14" s="54"/>
      <c r="E14" s="54"/>
      <c r="F14" s="54"/>
      <c r="G14" s="54"/>
      <c r="H14" s="55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60"/>
      <c r="AC14" s="62"/>
      <c r="AD14" s="62"/>
      <c r="AE14" s="120"/>
      <c r="AF14" s="120"/>
      <c r="AG14" s="62"/>
      <c r="AH14" s="62"/>
      <c r="AI14" s="56"/>
    </row>
    <row r="15" spans="2:35" ht="14.25" customHeight="1">
      <c r="B15" s="54"/>
      <c r="C15" s="64"/>
      <c r="D15" s="54"/>
      <c r="E15" s="54"/>
      <c r="F15" s="54"/>
      <c r="G15" s="54"/>
      <c r="H15" s="5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60"/>
      <c r="AC15" s="62"/>
      <c r="AD15" s="62"/>
      <c r="AE15" s="120"/>
      <c r="AF15" s="120"/>
      <c r="AG15" s="62"/>
      <c r="AH15" s="62"/>
      <c r="AI15" s="56"/>
    </row>
    <row r="16" spans="2:35" ht="14.25" customHeight="1">
      <c r="B16" s="54"/>
      <c r="C16" s="64"/>
      <c r="D16" s="54"/>
      <c r="E16" s="54"/>
      <c r="F16" s="54"/>
      <c r="G16" s="54"/>
      <c r="H16" s="55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60"/>
      <c r="AC16" s="62"/>
      <c r="AD16" s="62"/>
      <c r="AE16" s="120"/>
      <c r="AF16" s="120"/>
      <c r="AG16" s="62"/>
      <c r="AH16" s="62"/>
      <c r="AI16" s="56"/>
    </row>
    <row r="17" spans="2:35" ht="14.25" customHeight="1">
      <c r="B17" s="54"/>
      <c r="C17" s="64"/>
      <c r="D17" s="54"/>
      <c r="E17" s="54"/>
      <c r="F17" s="54"/>
      <c r="G17" s="54"/>
      <c r="H17" s="55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60"/>
      <c r="AC17" s="62"/>
      <c r="AD17" s="62"/>
      <c r="AE17" s="120"/>
      <c r="AF17" s="120"/>
      <c r="AG17" s="62"/>
      <c r="AH17" s="62"/>
      <c r="AI17" s="56"/>
    </row>
    <row r="18" spans="2:35" ht="14.25" customHeight="1">
      <c r="B18" s="54"/>
      <c r="C18" s="64"/>
      <c r="D18" s="54"/>
      <c r="E18" s="54"/>
      <c r="F18" s="54"/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60"/>
      <c r="AC18" s="62"/>
      <c r="AD18" s="62"/>
      <c r="AE18" s="120"/>
      <c r="AF18" s="120"/>
      <c r="AG18" s="62"/>
      <c r="AH18" s="62"/>
      <c r="AI18" s="56"/>
    </row>
    <row r="19" spans="2:35" ht="14.25" customHeight="1">
      <c r="B19" s="54"/>
      <c r="C19" s="64"/>
      <c r="D19" s="54"/>
      <c r="E19" s="54"/>
      <c r="F19" s="54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60"/>
      <c r="AC19" s="62"/>
      <c r="AD19" s="62"/>
      <c r="AE19" s="120"/>
      <c r="AF19" s="120"/>
      <c r="AG19" s="62"/>
      <c r="AH19" s="62"/>
      <c r="AI19" s="56"/>
    </row>
    <row r="20" spans="2:35" ht="14.25" customHeight="1">
      <c r="B20" s="54"/>
      <c r="C20" s="64"/>
      <c r="D20" s="54"/>
      <c r="E20" s="54"/>
      <c r="F20" s="54"/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60"/>
      <c r="AC20" s="62"/>
      <c r="AD20" s="62"/>
      <c r="AE20" s="120"/>
      <c r="AF20" s="120"/>
      <c r="AG20" s="62"/>
      <c r="AH20" s="62"/>
      <c r="AI20" s="56"/>
    </row>
    <row r="21" spans="2:35" ht="14.25" customHeight="1">
      <c r="B21" s="54"/>
      <c r="C21" s="64"/>
      <c r="D21" s="54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0"/>
      <c r="AC21" s="62"/>
      <c r="AD21" s="62"/>
      <c r="AE21" s="120"/>
      <c r="AF21" s="120"/>
      <c r="AG21" s="62"/>
      <c r="AH21" s="62"/>
      <c r="AI21" s="56"/>
    </row>
    <row r="22" spans="2:35" ht="14.25" customHeight="1">
      <c r="B22" s="54"/>
      <c r="C22" s="64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60"/>
      <c r="AC22" s="62"/>
      <c r="AD22" s="62"/>
      <c r="AE22" s="120"/>
      <c r="AF22" s="120"/>
      <c r="AG22" s="62"/>
      <c r="AH22" s="62"/>
      <c r="AI22" s="56"/>
    </row>
    <row r="23" spans="2:35" ht="14.25" customHeight="1">
      <c r="B23" s="54"/>
      <c r="C23" s="64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60"/>
      <c r="AC23" s="62"/>
      <c r="AD23" s="62"/>
      <c r="AE23" s="120"/>
      <c r="AF23" s="120"/>
      <c r="AG23" s="62"/>
      <c r="AH23" s="62"/>
      <c r="AI23" s="56"/>
    </row>
    <row r="24" spans="2:35" ht="14.25" customHeight="1">
      <c r="B24" s="54"/>
      <c r="C24" s="64"/>
      <c r="D24" s="54"/>
      <c r="E24" s="54"/>
      <c r="F24" s="54"/>
      <c r="G24" s="54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60"/>
      <c r="AC24" s="62"/>
      <c r="AD24" s="62"/>
      <c r="AE24" s="120"/>
      <c r="AF24" s="120"/>
      <c r="AG24" s="62"/>
      <c r="AH24" s="62"/>
      <c r="AI24" s="56"/>
    </row>
    <row r="25" spans="2:35" ht="14.25" customHeight="1">
      <c r="B25" s="54"/>
      <c r="C25" s="64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60"/>
      <c r="AC25" s="62"/>
      <c r="AD25" s="62"/>
      <c r="AE25" s="120"/>
      <c r="AF25" s="120"/>
      <c r="AG25" s="62"/>
      <c r="AH25" s="62"/>
      <c r="AI25" s="56"/>
    </row>
    <row r="26" spans="2:35" ht="14.25" customHeight="1">
      <c r="B26" s="54"/>
      <c r="C26" s="6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60"/>
      <c r="AC26" s="62"/>
      <c r="AD26" s="62"/>
      <c r="AE26" s="120"/>
      <c r="AF26" s="120"/>
      <c r="AG26" s="62"/>
      <c r="AH26" s="62"/>
      <c r="AI26" s="56"/>
    </row>
    <row r="27" spans="2:35" ht="14.25" customHeight="1">
      <c r="B27" s="54"/>
      <c r="C27" s="64"/>
      <c r="D27" s="54"/>
      <c r="E27" s="54"/>
      <c r="F27" s="54"/>
      <c r="G27" s="54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60"/>
      <c r="AC27" s="62"/>
      <c r="AD27" s="62"/>
      <c r="AE27" s="120"/>
      <c r="AF27" s="120"/>
      <c r="AG27" s="62"/>
      <c r="AH27" s="62"/>
      <c r="AI27" s="56"/>
    </row>
    <row r="28" spans="2:35" ht="14.25" customHeight="1">
      <c r="B28" s="54"/>
      <c r="C28" s="64"/>
      <c r="D28" s="54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60"/>
      <c r="AC28" s="62"/>
      <c r="AD28" s="62"/>
      <c r="AE28" s="120"/>
      <c r="AF28" s="120"/>
      <c r="AG28" s="62"/>
      <c r="AH28" s="62"/>
      <c r="AI28" s="56"/>
    </row>
    <row r="29" spans="2:35" ht="14.25" customHeight="1">
      <c r="B29" s="54"/>
      <c r="C29" s="6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60"/>
      <c r="AC29" s="62"/>
      <c r="AD29" s="62"/>
      <c r="AE29" s="120"/>
      <c r="AF29" s="120"/>
      <c r="AG29" s="62"/>
      <c r="AH29" s="62"/>
      <c r="AI29" s="56"/>
    </row>
    <row r="30" spans="2:35" ht="14.25" customHeight="1">
      <c r="B30" s="54"/>
      <c r="C30" s="64"/>
      <c r="D30" s="54"/>
      <c r="E30" s="54"/>
      <c r="F30" s="54"/>
      <c r="G30" s="54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60"/>
      <c r="AC30" s="62"/>
      <c r="AD30" s="62"/>
      <c r="AE30" s="120"/>
      <c r="AF30" s="120"/>
      <c r="AG30" s="62"/>
      <c r="AH30" s="62"/>
      <c r="AI30" s="56"/>
    </row>
    <row r="31" spans="2:35" ht="14.25" customHeight="1">
      <c r="B31" s="54"/>
      <c r="C31" s="64"/>
      <c r="D31" s="54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60"/>
      <c r="AC31" s="62"/>
      <c r="AD31" s="62"/>
      <c r="AE31" s="120"/>
      <c r="AF31" s="120"/>
      <c r="AG31" s="62"/>
      <c r="AH31" s="62"/>
      <c r="AI31" s="56"/>
    </row>
    <row r="32" spans="2:35" ht="14.25" customHeight="1">
      <c r="B32" s="54"/>
      <c r="C32" s="6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60"/>
      <c r="AC32" s="62"/>
      <c r="AD32" s="62"/>
      <c r="AE32" s="120"/>
      <c r="AF32" s="120"/>
      <c r="AG32" s="62"/>
      <c r="AH32" s="62"/>
      <c r="AI32" s="56"/>
    </row>
    <row r="33" spans="2:35" ht="14.25" customHeight="1">
      <c r="B33" s="54"/>
      <c r="C33" s="64"/>
      <c r="D33" s="54"/>
      <c r="E33" s="54"/>
      <c r="F33" s="54"/>
      <c r="G33" s="54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60"/>
      <c r="AC33" s="62"/>
      <c r="AD33" s="62"/>
      <c r="AE33" s="120"/>
      <c r="AF33" s="120"/>
      <c r="AG33" s="62"/>
      <c r="AH33" s="62"/>
      <c r="AI33" s="56"/>
    </row>
    <row r="34" spans="2:35" ht="14.25" customHeight="1">
      <c r="B34" s="54"/>
      <c r="C34" s="64"/>
      <c r="D34" s="54"/>
      <c r="E34" s="54"/>
      <c r="F34" s="54"/>
      <c r="G34" s="54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60"/>
      <c r="AC34" s="62"/>
      <c r="AD34" s="62"/>
      <c r="AE34" s="120"/>
      <c r="AF34" s="120"/>
      <c r="AG34" s="62"/>
      <c r="AH34" s="62"/>
      <c r="AI34" s="56"/>
    </row>
    <row r="35" spans="2:35" ht="14.25" customHeight="1">
      <c r="B35" s="54"/>
      <c r="C35" s="6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60"/>
      <c r="AC35" s="62"/>
      <c r="AD35" s="62"/>
      <c r="AE35" s="120"/>
      <c r="AF35" s="120"/>
      <c r="AG35" s="62"/>
      <c r="AH35" s="62"/>
      <c r="AI35" s="56"/>
    </row>
    <row r="36" spans="2:35" ht="14.25" customHeight="1">
      <c r="B36" s="54"/>
      <c r="C36" s="64"/>
      <c r="D36" s="54"/>
      <c r="E36" s="54"/>
      <c r="F36" s="54"/>
      <c r="G36" s="54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60"/>
      <c r="AC36" s="62"/>
      <c r="AD36" s="62"/>
      <c r="AE36" s="120"/>
      <c r="AF36" s="120"/>
      <c r="AG36" s="62"/>
      <c r="AH36" s="62"/>
      <c r="AI36" s="56"/>
    </row>
    <row r="37" spans="2:35" ht="14.25" customHeight="1">
      <c r="B37" s="54"/>
      <c r="C37" s="64"/>
      <c r="D37" s="54"/>
      <c r="E37" s="54"/>
      <c r="F37" s="54"/>
      <c r="G37" s="54"/>
      <c r="H37" s="55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60"/>
      <c r="AC37" s="62"/>
      <c r="AD37" s="62"/>
      <c r="AE37" s="120"/>
      <c r="AF37" s="120"/>
      <c r="AG37" s="62"/>
      <c r="AH37" s="62"/>
      <c r="AI37" s="56"/>
    </row>
    <row r="38" spans="2:35" ht="14.25" customHeight="1">
      <c r="B38" s="54"/>
      <c r="C38" s="64"/>
      <c r="D38" s="54"/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0"/>
      <c r="AC38" s="62"/>
      <c r="AD38" s="62"/>
      <c r="AE38" s="120"/>
      <c r="AF38" s="120"/>
      <c r="AG38" s="62"/>
      <c r="AH38" s="62"/>
      <c r="AI38" s="56"/>
    </row>
    <row r="39" spans="2:35" ht="14.25" customHeight="1">
      <c r="B39" s="54"/>
      <c r="C39" s="64"/>
      <c r="D39" s="54"/>
      <c r="E39" s="54"/>
      <c r="F39" s="54"/>
      <c r="G39" s="54"/>
      <c r="H39" s="5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60"/>
      <c r="AC39" s="62"/>
      <c r="AD39" s="62"/>
      <c r="AE39" s="120"/>
      <c r="AF39" s="120"/>
      <c r="AG39" s="62"/>
      <c r="AH39" s="62"/>
      <c r="AI39" s="56"/>
    </row>
    <row r="40" spans="2:35" ht="14.25" customHeight="1">
      <c r="B40" s="54"/>
      <c r="C40" s="64"/>
      <c r="D40" s="54"/>
      <c r="E40" s="54"/>
      <c r="F40" s="54"/>
      <c r="G40" s="54" t="s">
        <v>30</v>
      </c>
      <c r="H40" s="55" t="s">
        <v>30</v>
      </c>
      <c r="I40" s="54"/>
      <c r="J40" s="54"/>
      <c r="K40" s="54"/>
      <c r="L40" s="54"/>
      <c r="M40" s="54"/>
      <c r="N40" s="54"/>
      <c r="O40" s="54">
        <v>0</v>
      </c>
      <c r="P40" s="54"/>
      <c r="Q40" s="54"/>
      <c r="R40" s="54"/>
      <c r="S40" s="54"/>
      <c r="T40" s="54"/>
      <c r="U40" s="54">
        <v>0</v>
      </c>
      <c r="V40" s="54">
        <v>0</v>
      </c>
      <c r="W40" s="54"/>
      <c r="X40" s="54"/>
      <c r="Y40" s="54"/>
      <c r="Z40" s="54"/>
      <c r="AA40" s="54">
        <v>0</v>
      </c>
      <c r="AB40" s="60">
        <v>0</v>
      </c>
      <c r="AC40" s="62">
        <v>0</v>
      </c>
      <c r="AD40" s="62">
        <v>0</v>
      </c>
      <c r="AE40" s="120">
        <v>0</v>
      </c>
      <c r="AF40" s="120">
        <v>0</v>
      </c>
      <c r="AG40" s="62">
        <v>0</v>
      </c>
      <c r="AH40" s="62">
        <v>0</v>
      </c>
      <c r="AI40" s="56" t="s">
        <v>75</v>
      </c>
    </row>
    <row r="41" spans="2:35" ht="14.25" customHeight="1">
      <c r="B41" s="54"/>
      <c r="C41" s="64"/>
      <c r="D41" s="54"/>
      <c r="E41" s="54"/>
      <c r="F41" s="54"/>
      <c r="G41" s="54"/>
      <c r="H41" s="55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60"/>
      <c r="AC41" s="62"/>
      <c r="AD41" s="62"/>
      <c r="AE41" s="120"/>
      <c r="AF41" s="120"/>
      <c r="AG41" s="62"/>
      <c r="AH41" s="62"/>
      <c r="AI41" s="56"/>
    </row>
    <row r="42" spans="2:35" ht="14.25" customHeight="1">
      <c r="B42" s="54"/>
      <c r="C42" s="64"/>
      <c r="D42" s="54"/>
      <c r="E42" s="54"/>
      <c r="F42" s="54"/>
      <c r="G42" s="54"/>
      <c r="H42" s="5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60"/>
      <c r="AC42" s="62"/>
      <c r="AD42" s="62"/>
      <c r="AE42" s="120"/>
      <c r="AF42" s="120"/>
      <c r="AG42" s="62"/>
      <c r="AH42" s="62"/>
      <c r="AI42" s="56"/>
    </row>
    <row r="43" spans="2:35" ht="14.25" customHeight="1">
      <c r="B43" s="54"/>
      <c r="C43" s="64"/>
      <c r="D43" s="54"/>
      <c r="E43" s="54" t="s">
        <v>30</v>
      </c>
      <c r="F43" s="54"/>
      <c r="G43" s="54" t="s">
        <v>30</v>
      </c>
      <c r="H43" s="55" t="s">
        <v>30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 t="s">
        <v>30</v>
      </c>
      <c r="W43" s="54"/>
      <c r="X43" s="54"/>
      <c r="Y43" s="54"/>
      <c r="Z43" s="54"/>
      <c r="AA43" s="54"/>
      <c r="AB43" s="60" t="s">
        <v>30</v>
      </c>
      <c r="AC43" s="62" t="s">
        <v>30</v>
      </c>
      <c r="AD43" s="62">
        <v>0</v>
      </c>
      <c r="AE43" s="120">
        <v>0</v>
      </c>
      <c r="AF43" s="120">
        <v>0</v>
      </c>
      <c r="AG43" s="62"/>
      <c r="AH43" s="62" t="s">
        <v>30</v>
      </c>
      <c r="AI43" s="56" t="s">
        <v>30</v>
      </c>
    </row>
    <row r="44" spans="2:35" ht="14.25" customHeight="1">
      <c r="B44" s="54"/>
      <c r="C44" s="64"/>
      <c r="D44" s="54"/>
      <c r="E44" s="54" t="s">
        <v>30</v>
      </c>
      <c r="F44" s="54"/>
      <c r="G44" s="54" t="s">
        <v>30</v>
      </c>
      <c r="H44" s="55" t="s">
        <v>30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 t="s">
        <v>30</v>
      </c>
      <c r="W44" s="54"/>
      <c r="X44" s="54"/>
      <c r="Y44" s="54"/>
      <c r="Z44" s="54"/>
      <c r="AA44" s="54"/>
      <c r="AB44" s="60" t="s">
        <v>30</v>
      </c>
      <c r="AC44" s="62" t="s">
        <v>30</v>
      </c>
      <c r="AD44" s="62">
        <v>0</v>
      </c>
      <c r="AE44" s="120">
        <v>0</v>
      </c>
      <c r="AF44" s="120">
        <v>0</v>
      </c>
      <c r="AG44" s="62"/>
      <c r="AH44" s="62" t="s">
        <v>30</v>
      </c>
      <c r="AI44" s="56" t="s">
        <v>30</v>
      </c>
    </row>
    <row r="45" spans="2:35" ht="14.25" customHeight="1">
      <c r="B45" s="54"/>
      <c r="C45" s="64"/>
      <c r="D45" s="54"/>
      <c r="E45" s="54" t="s">
        <v>30</v>
      </c>
      <c r="F45" s="54"/>
      <c r="G45" s="54" t="s">
        <v>30</v>
      </c>
      <c r="H45" s="55" t="s">
        <v>30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 t="s">
        <v>30</v>
      </c>
      <c r="W45" s="54"/>
      <c r="X45" s="54"/>
      <c r="Y45" s="54"/>
      <c r="Z45" s="54"/>
      <c r="AA45" s="54"/>
      <c r="AB45" s="60" t="s">
        <v>30</v>
      </c>
      <c r="AC45" s="62" t="s">
        <v>30</v>
      </c>
      <c r="AD45" s="62">
        <v>0</v>
      </c>
      <c r="AE45" s="120">
        <v>0</v>
      </c>
      <c r="AF45" s="120">
        <v>0</v>
      </c>
      <c r="AG45" s="62"/>
      <c r="AH45" s="62" t="s">
        <v>30</v>
      </c>
      <c r="AI45" s="56" t="s">
        <v>30</v>
      </c>
    </row>
    <row r="46" spans="2:35" ht="14.25" customHeight="1">
      <c r="B46" s="54"/>
      <c r="C46" s="64"/>
      <c r="D46" s="54"/>
      <c r="E46" s="54" t="s">
        <v>30</v>
      </c>
      <c r="F46" s="54"/>
      <c r="G46" s="54" t="s">
        <v>30</v>
      </c>
      <c r="H46" s="55" t="s">
        <v>30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 t="s">
        <v>30</v>
      </c>
      <c r="W46" s="54"/>
      <c r="X46" s="54"/>
      <c r="Y46" s="54"/>
      <c r="Z46" s="54"/>
      <c r="AA46" s="54"/>
      <c r="AB46" s="60" t="s">
        <v>30</v>
      </c>
      <c r="AC46" s="62" t="s">
        <v>30</v>
      </c>
      <c r="AD46" s="62">
        <v>0</v>
      </c>
      <c r="AE46" s="120">
        <v>0</v>
      </c>
      <c r="AF46" s="120">
        <v>0</v>
      </c>
      <c r="AG46" s="62"/>
      <c r="AH46" s="62" t="s">
        <v>30</v>
      </c>
      <c r="AI46" s="56" t="s">
        <v>30</v>
      </c>
    </row>
    <row r="47" spans="2:35" ht="14.25" customHeight="1">
      <c r="B47" s="54"/>
      <c r="C47" s="64"/>
      <c r="D47" s="54"/>
      <c r="E47" s="54" t="s">
        <v>30</v>
      </c>
      <c r="F47" s="54"/>
      <c r="G47" s="54" t="s">
        <v>30</v>
      </c>
      <c r="H47" s="55" t="s">
        <v>30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 t="s">
        <v>30</v>
      </c>
      <c r="W47" s="54"/>
      <c r="X47" s="54"/>
      <c r="Y47" s="54"/>
      <c r="Z47" s="54"/>
      <c r="AA47" s="54"/>
      <c r="AB47" s="60" t="s">
        <v>30</v>
      </c>
      <c r="AC47" s="62" t="s">
        <v>30</v>
      </c>
      <c r="AD47" s="62">
        <v>0</v>
      </c>
      <c r="AE47" s="120">
        <v>0</v>
      </c>
      <c r="AF47" s="120">
        <v>0</v>
      </c>
      <c r="AG47" s="62"/>
      <c r="AH47" s="62" t="s">
        <v>30</v>
      </c>
      <c r="AI47" s="56" t="s">
        <v>30</v>
      </c>
    </row>
    <row r="48" spans="2:35" ht="14.25" customHeight="1">
      <c r="B48" s="54"/>
      <c r="C48" s="64"/>
      <c r="D48" s="54"/>
      <c r="E48" s="54" t="s">
        <v>30</v>
      </c>
      <c r="F48" s="54"/>
      <c r="G48" s="54" t="s">
        <v>30</v>
      </c>
      <c r="H48" s="55" t="s">
        <v>30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 t="s">
        <v>30</v>
      </c>
      <c r="W48" s="54"/>
      <c r="X48" s="54"/>
      <c r="Y48" s="54"/>
      <c r="Z48" s="54"/>
      <c r="AA48" s="54"/>
      <c r="AB48" s="60" t="s">
        <v>30</v>
      </c>
      <c r="AC48" s="62" t="s">
        <v>30</v>
      </c>
      <c r="AD48" s="62">
        <v>0</v>
      </c>
      <c r="AE48" s="120">
        <v>0</v>
      </c>
      <c r="AF48" s="120">
        <v>0</v>
      </c>
      <c r="AG48" s="62"/>
      <c r="AH48" s="62" t="s">
        <v>30</v>
      </c>
      <c r="AI48" s="56" t="s">
        <v>30</v>
      </c>
    </row>
    <row r="49" spans="2:35" ht="14.25" customHeight="1">
      <c r="B49" s="54"/>
      <c r="C49" s="64"/>
      <c r="D49" s="54"/>
      <c r="E49" s="54" t="s">
        <v>30</v>
      </c>
      <c r="F49" s="54"/>
      <c r="G49" s="54" t="s">
        <v>30</v>
      </c>
      <c r="H49" s="55" t="s">
        <v>30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 t="s">
        <v>30</v>
      </c>
      <c r="W49" s="54"/>
      <c r="X49" s="54"/>
      <c r="Y49" s="54"/>
      <c r="Z49" s="54"/>
      <c r="AA49" s="54"/>
      <c r="AB49" s="60" t="s">
        <v>30</v>
      </c>
      <c r="AC49" s="62" t="s">
        <v>30</v>
      </c>
      <c r="AD49" s="62">
        <v>0</v>
      </c>
      <c r="AE49" s="120">
        <v>0</v>
      </c>
      <c r="AF49" s="120">
        <v>0</v>
      </c>
      <c r="AG49" s="62"/>
      <c r="AH49" s="62" t="s">
        <v>30</v>
      </c>
      <c r="AI49" s="56" t="s">
        <v>30</v>
      </c>
    </row>
    <row r="50" spans="2:35" ht="14.25" customHeight="1">
      <c r="B50" s="54"/>
      <c r="C50" s="64"/>
      <c r="D50" s="54"/>
      <c r="E50" s="54" t="s">
        <v>30</v>
      </c>
      <c r="F50" s="54"/>
      <c r="G50" s="54" t="s">
        <v>30</v>
      </c>
      <c r="H50" s="55" t="s">
        <v>30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 t="s">
        <v>30</v>
      </c>
      <c r="W50" s="54"/>
      <c r="X50" s="54"/>
      <c r="Y50" s="54"/>
      <c r="Z50" s="54"/>
      <c r="AA50" s="54"/>
      <c r="AB50" s="60" t="s">
        <v>30</v>
      </c>
      <c r="AC50" s="62" t="s">
        <v>30</v>
      </c>
      <c r="AD50" s="62">
        <v>0</v>
      </c>
      <c r="AE50" s="120">
        <v>0</v>
      </c>
      <c r="AF50" s="120">
        <v>0</v>
      </c>
      <c r="AG50" s="62"/>
      <c r="AH50" s="62" t="s">
        <v>30</v>
      </c>
      <c r="AI50" s="56" t="s">
        <v>30</v>
      </c>
    </row>
    <row r="51" spans="2:35" ht="14.25" customHeight="1">
      <c r="B51" s="54"/>
      <c r="C51" s="64"/>
      <c r="D51" s="54"/>
      <c r="E51" s="54" t="s">
        <v>30</v>
      </c>
      <c r="F51" s="54"/>
      <c r="G51" s="54" t="s">
        <v>30</v>
      </c>
      <c r="H51" s="55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 t="s">
        <v>30</v>
      </c>
      <c r="W51" s="54"/>
      <c r="X51" s="54"/>
      <c r="Y51" s="54"/>
      <c r="Z51" s="54"/>
      <c r="AA51" s="54"/>
      <c r="AB51" s="60" t="s">
        <v>30</v>
      </c>
      <c r="AC51" s="62" t="s">
        <v>30</v>
      </c>
      <c r="AD51" s="62">
        <v>0</v>
      </c>
      <c r="AE51" s="120">
        <v>0</v>
      </c>
      <c r="AF51" s="120">
        <v>0</v>
      </c>
      <c r="AG51" s="62"/>
      <c r="AH51" s="62" t="s">
        <v>30</v>
      </c>
      <c r="AI51" s="56" t="s">
        <v>30</v>
      </c>
    </row>
    <row r="52" spans="2:35" ht="14.25" customHeight="1">
      <c r="B52" s="54"/>
      <c r="C52" s="64"/>
      <c r="D52" s="54"/>
      <c r="E52" s="54" t="s">
        <v>30</v>
      </c>
      <c r="F52" s="54"/>
      <c r="G52" s="54" t="s">
        <v>30</v>
      </c>
      <c r="H52" s="55" t="s">
        <v>30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 t="s">
        <v>30</v>
      </c>
      <c r="W52" s="54"/>
      <c r="X52" s="54"/>
      <c r="Y52" s="54"/>
      <c r="Z52" s="54"/>
      <c r="AA52" s="54"/>
      <c r="AB52" s="60" t="s">
        <v>30</v>
      </c>
      <c r="AC52" s="62" t="s">
        <v>30</v>
      </c>
      <c r="AD52" s="62">
        <v>0</v>
      </c>
      <c r="AE52" s="120">
        <v>0</v>
      </c>
      <c r="AF52" s="120">
        <v>0</v>
      </c>
      <c r="AG52" s="62"/>
      <c r="AH52" s="62" t="s">
        <v>30</v>
      </c>
      <c r="AI52" s="56" t="s">
        <v>30</v>
      </c>
    </row>
    <row r="53" spans="2:35" ht="14.25" customHeight="1">
      <c r="B53" s="54"/>
      <c r="C53" s="64"/>
      <c r="D53" s="54"/>
      <c r="E53" s="54" t="s">
        <v>30</v>
      </c>
      <c r="F53" s="54"/>
      <c r="G53" s="54" t="s">
        <v>30</v>
      </c>
      <c r="H53" s="55" t="s">
        <v>30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 t="s">
        <v>30</v>
      </c>
      <c r="W53" s="54"/>
      <c r="X53" s="54"/>
      <c r="Y53" s="54"/>
      <c r="Z53" s="54"/>
      <c r="AA53" s="54"/>
      <c r="AB53" s="60" t="s">
        <v>30</v>
      </c>
      <c r="AC53" s="62" t="s">
        <v>30</v>
      </c>
      <c r="AD53" s="62">
        <v>0</v>
      </c>
      <c r="AE53" s="120">
        <v>0</v>
      </c>
      <c r="AF53" s="120">
        <v>0</v>
      </c>
      <c r="AG53" s="62"/>
      <c r="AH53" s="62" t="s">
        <v>30</v>
      </c>
      <c r="AI53" s="56" t="s">
        <v>30</v>
      </c>
    </row>
    <row r="54" spans="2:35" ht="14.25" customHeight="1">
      <c r="B54" s="54"/>
      <c r="C54" s="64"/>
      <c r="D54" s="54"/>
      <c r="E54" s="54" t="s">
        <v>30</v>
      </c>
      <c r="F54" s="54"/>
      <c r="G54" s="54" t="s">
        <v>30</v>
      </c>
      <c r="H54" s="55" t="s">
        <v>30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 t="s">
        <v>30</v>
      </c>
      <c r="W54" s="54"/>
      <c r="X54" s="54"/>
      <c r="Y54" s="54"/>
      <c r="Z54" s="54"/>
      <c r="AA54" s="54"/>
      <c r="AB54" s="60" t="s">
        <v>30</v>
      </c>
      <c r="AC54" s="62" t="s">
        <v>30</v>
      </c>
      <c r="AD54" s="62">
        <v>0</v>
      </c>
      <c r="AE54" s="120">
        <v>0</v>
      </c>
      <c r="AF54" s="120">
        <v>0</v>
      </c>
      <c r="AG54" s="62"/>
      <c r="AH54" s="62" t="s">
        <v>30</v>
      </c>
      <c r="AI54" s="56" t="s">
        <v>30</v>
      </c>
    </row>
    <row r="55" spans="2:35" ht="14.25" customHeight="1">
      <c r="B55" s="54"/>
      <c r="C55" s="64"/>
      <c r="D55" s="54"/>
      <c r="E55" s="54"/>
      <c r="F55" s="54"/>
      <c r="G55" s="54"/>
      <c r="H55" s="5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60"/>
      <c r="AC55" s="62"/>
      <c r="AD55" s="62"/>
      <c r="AE55" s="120"/>
      <c r="AF55" s="120"/>
      <c r="AG55" s="62"/>
      <c r="AH55" s="62"/>
      <c r="AI55" s="56"/>
    </row>
    <row r="56" spans="2:35" ht="14.25" customHeight="1">
      <c r="B56" s="54"/>
      <c r="C56" s="64"/>
      <c r="D56" s="54"/>
      <c r="E56" s="54"/>
      <c r="F56" s="54"/>
      <c r="G56" s="54"/>
      <c r="H56" s="5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60"/>
      <c r="AC56" s="62"/>
      <c r="AD56" s="62"/>
      <c r="AE56" s="120"/>
      <c r="AF56" s="120"/>
      <c r="AG56" s="62"/>
      <c r="AH56" s="62"/>
      <c r="AI56" s="56"/>
    </row>
    <row r="57" spans="2:35" ht="14.25" customHeight="1">
      <c r="B57" s="54"/>
      <c r="C57" s="64"/>
      <c r="D57" s="54"/>
      <c r="E57" s="54"/>
      <c r="F57" s="54"/>
      <c r="G57" s="54"/>
      <c r="H57" s="5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60"/>
      <c r="AC57" s="62"/>
      <c r="AD57" s="62"/>
      <c r="AE57" s="120"/>
      <c r="AF57" s="120"/>
      <c r="AG57" s="62"/>
      <c r="AH57" s="62"/>
      <c r="AI57" s="56"/>
    </row>
    <row r="58" spans="2:35" ht="14.25" customHeight="1">
      <c r="B58" s="54"/>
      <c r="C58" s="64"/>
      <c r="D58" s="54"/>
      <c r="E58" s="54"/>
      <c r="F58" s="54"/>
      <c r="G58" s="54"/>
      <c r="H58" s="5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60"/>
      <c r="AC58" s="62"/>
      <c r="AD58" s="62"/>
      <c r="AE58" s="120"/>
      <c r="AF58" s="120"/>
      <c r="AG58" s="62"/>
      <c r="AH58" s="62"/>
      <c r="AI58" s="56"/>
    </row>
    <row r="59" spans="2:35" ht="14.25" customHeight="1">
      <c r="B59" s="54"/>
      <c r="C59" s="64"/>
      <c r="D59" s="54"/>
      <c r="E59" s="54"/>
      <c r="F59" s="54"/>
      <c r="G59" s="54"/>
      <c r="H59" s="5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60"/>
      <c r="AC59" s="62"/>
      <c r="AD59" s="62"/>
      <c r="AE59" s="120"/>
      <c r="AF59" s="120"/>
      <c r="AG59" s="62"/>
      <c r="AH59" s="62"/>
      <c r="AI59" s="56"/>
    </row>
    <row r="60" spans="2:35" ht="14.25" customHeight="1">
      <c r="B60" s="54"/>
      <c r="C60" s="64"/>
      <c r="D60" s="54"/>
      <c r="E60" s="54"/>
      <c r="F60" s="54"/>
      <c r="G60" s="54"/>
      <c r="H60" s="5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60"/>
      <c r="AC60" s="62"/>
      <c r="AD60" s="62"/>
      <c r="AE60" s="120"/>
      <c r="AF60" s="120"/>
      <c r="AG60" s="62"/>
      <c r="AH60" s="62"/>
      <c r="AI60" s="56"/>
    </row>
    <row r="61" spans="2:35" ht="14.25" customHeight="1">
      <c r="B61" s="54"/>
      <c r="C61" s="64"/>
      <c r="D61" s="54"/>
      <c r="E61" s="54"/>
      <c r="F61" s="54"/>
      <c r="G61" s="54"/>
      <c r="H61" s="5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60"/>
      <c r="AC61" s="62"/>
      <c r="AD61" s="62"/>
      <c r="AE61" s="120"/>
      <c r="AF61" s="120"/>
      <c r="AG61" s="62"/>
      <c r="AH61" s="62"/>
      <c r="AI61" s="56"/>
    </row>
    <row r="62" spans="2:35" ht="14.25" customHeight="1">
      <c r="B62" s="54"/>
      <c r="C62" s="64"/>
      <c r="D62" s="54"/>
      <c r="E62" s="54"/>
      <c r="F62" s="54"/>
      <c r="G62" s="54"/>
      <c r="H62" s="5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60"/>
      <c r="AC62" s="62"/>
      <c r="AD62" s="62"/>
      <c r="AE62" s="120"/>
      <c r="AF62" s="120"/>
      <c r="AG62" s="62"/>
      <c r="AH62" s="62"/>
      <c r="AI62" s="56"/>
    </row>
    <row r="63" spans="2:35" ht="14.25" customHeight="1">
      <c r="B63" s="54"/>
      <c r="C63" s="64"/>
      <c r="D63" s="54"/>
      <c r="E63" s="54"/>
      <c r="F63" s="54"/>
      <c r="G63" s="54"/>
      <c r="H63" s="5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60"/>
      <c r="AC63" s="62"/>
      <c r="AD63" s="62"/>
      <c r="AE63" s="120"/>
      <c r="AF63" s="120"/>
      <c r="AG63" s="62"/>
      <c r="AH63" s="62"/>
      <c r="AI63" s="56"/>
    </row>
    <row r="64" spans="2:35" ht="14.25" customHeight="1">
      <c r="B64" s="54"/>
      <c r="C64" s="64"/>
      <c r="D64" s="54"/>
      <c r="E64" s="54"/>
      <c r="F64" s="54"/>
      <c r="G64" s="54"/>
      <c r="H64" s="5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60"/>
      <c r="AC64" s="62"/>
      <c r="AD64" s="62"/>
      <c r="AE64" s="120"/>
      <c r="AF64" s="120"/>
      <c r="AG64" s="62"/>
      <c r="AH64" s="62"/>
      <c r="AI64" s="56"/>
    </row>
    <row r="65" spans="2:35" ht="14.25" customHeight="1">
      <c r="B65" s="54"/>
      <c r="C65" s="64"/>
      <c r="D65" s="54"/>
      <c r="E65" s="54"/>
      <c r="F65" s="54"/>
      <c r="G65" s="54"/>
      <c r="H65" s="5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60"/>
      <c r="AC65" s="62"/>
      <c r="AD65" s="62"/>
      <c r="AE65" s="120"/>
      <c r="AF65" s="120"/>
      <c r="AG65" s="62"/>
      <c r="AH65" s="62"/>
      <c r="AI65" s="56"/>
    </row>
    <row r="66" spans="2:35" ht="14.25" customHeight="1">
      <c r="B66" s="54"/>
      <c r="C66" s="64"/>
      <c r="D66" s="54"/>
      <c r="E66" s="54"/>
      <c r="F66" s="54"/>
      <c r="G66" s="54"/>
      <c r="H66" s="55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60"/>
      <c r="AC66" s="62"/>
      <c r="AD66" s="62"/>
      <c r="AE66" s="120"/>
      <c r="AF66" s="120"/>
      <c r="AG66" s="62"/>
      <c r="AH66" s="62"/>
      <c r="AI66" s="56"/>
    </row>
    <row r="67" spans="2:35" ht="14.25" customHeight="1">
      <c r="B67" s="54"/>
      <c r="C67" s="64"/>
      <c r="D67" s="54"/>
      <c r="E67" s="54"/>
      <c r="F67" s="54"/>
      <c r="G67" s="54"/>
      <c r="H67" s="55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60"/>
      <c r="AC67" s="62"/>
      <c r="AD67" s="62"/>
      <c r="AE67" s="120"/>
      <c r="AF67" s="120"/>
      <c r="AG67" s="62"/>
      <c r="AH67" s="62"/>
      <c r="AI67" s="56"/>
    </row>
    <row r="68" spans="2:35" ht="14.25" customHeight="1">
      <c r="B68" s="54"/>
      <c r="C68" s="64"/>
      <c r="D68" s="54"/>
      <c r="E68" s="54"/>
      <c r="F68" s="54"/>
      <c r="G68" s="54"/>
      <c r="H68" s="55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60"/>
      <c r="AC68" s="62"/>
      <c r="AD68" s="62"/>
      <c r="AE68" s="120"/>
      <c r="AF68" s="120"/>
      <c r="AG68" s="62"/>
      <c r="AH68" s="62"/>
      <c r="AI68" s="56"/>
    </row>
    <row r="69" spans="2:35" ht="14.25" customHeight="1">
      <c r="B69" s="54"/>
      <c r="C69" s="64"/>
      <c r="D69" s="54"/>
      <c r="E69" s="54"/>
      <c r="F69" s="54"/>
      <c r="G69" s="54"/>
      <c r="H69" s="5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60"/>
      <c r="AC69" s="62"/>
      <c r="AD69" s="62"/>
      <c r="AE69" s="120"/>
      <c r="AF69" s="120"/>
      <c r="AG69" s="62"/>
      <c r="AH69" s="62"/>
      <c r="AI69" s="56"/>
    </row>
    <row r="70" spans="2:35" ht="14.25" customHeight="1">
      <c r="B70" s="54"/>
      <c r="C70" s="64"/>
      <c r="D70" s="54"/>
      <c r="E70" s="54"/>
      <c r="F70" s="54"/>
      <c r="G70" s="54"/>
      <c r="H70" s="5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60"/>
      <c r="AC70" s="62"/>
      <c r="AD70" s="62"/>
      <c r="AE70" s="120"/>
      <c r="AF70" s="120"/>
      <c r="AG70" s="62"/>
      <c r="AH70" s="62"/>
      <c r="AI70" s="56"/>
    </row>
    <row r="71" spans="2:35" ht="14.25" customHeight="1">
      <c r="B71" s="54"/>
      <c r="C71" s="64"/>
      <c r="D71" s="54"/>
      <c r="E71" s="54"/>
      <c r="F71" s="54"/>
      <c r="G71" s="54"/>
      <c r="H71" s="5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60"/>
      <c r="AC71" s="62"/>
      <c r="AD71" s="62"/>
      <c r="AE71" s="120"/>
      <c r="AF71" s="120"/>
      <c r="AG71" s="62"/>
      <c r="AH71" s="62"/>
      <c r="AI71" s="56"/>
    </row>
    <row r="72" spans="2:35" ht="14.25" customHeight="1">
      <c r="B72" s="54"/>
      <c r="C72" s="64"/>
      <c r="D72" s="54"/>
      <c r="E72" s="54"/>
      <c r="F72" s="54"/>
      <c r="G72" s="54"/>
      <c r="H72" s="5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60"/>
      <c r="AC72" s="62"/>
      <c r="AD72" s="62"/>
      <c r="AE72" s="120"/>
      <c r="AF72" s="120"/>
      <c r="AG72" s="62"/>
      <c r="AH72" s="62"/>
      <c r="AI72" s="56"/>
    </row>
    <row r="73" spans="2:35" ht="14.25" customHeight="1">
      <c r="B73" s="54"/>
      <c r="C73" s="64"/>
      <c r="D73" s="54"/>
      <c r="E73" s="54"/>
      <c r="F73" s="54"/>
      <c r="G73" s="54"/>
      <c r="H73" s="5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60"/>
      <c r="AC73" s="62"/>
      <c r="AD73" s="62"/>
      <c r="AE73" s="120"/>
      <c r="AF73" s="120"/>
      <c r="AG73" s="62"/>
      <c r="AH73" s="62"/>
      <c r="AI73" s="56"/>
    </row>
    <row r="74" spans="2:35" ht="14.25" customHeight="1">
      <c r="B74" s="54"/>
      <c r="C74" s="64"/>
      <c r="D74" s="54"/>
      <c r="E74" s="54"/>
      <c r="F74" s="54"/>
      <c r="G74" s="54"/>
      <c r="H74" s="5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60"/>
      <c r="AC74" s="62"/>
      <c r="AD74" s="62"/>
      <c r="AE74" s="120"/>
      <c r="AF74" s="120"/>
      <c r="AG74" s="62"/>
      <c r="AH74" s="62"/>
      <c r="AI74" s="56"/>
    </row>
    <row r="75" spans="2:35" ht="14.25" customHeight="1">
      <c r="B75" s="54"/>
      <c r="C75" s="64"/>
      <c r="D75" s="54"/>
      <c r="E75" s="54"/>
      <c r="F75" s="54"/>
      <c r="G75" s="54"/>
      <c r="H75" s="5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60"/>
      <c r="AC75" s="62"/>
      <c r="AD75" s="62"/>
      <c r="AE75" s="120"/>
      <c r="AF75" s="120"/>
      <c r="AG75" s="62"/>
      <c r="AH75" s="62"/>
      <c r="AI75" s="56"/>
    </row>
    <row r="76" spans="2:35" ht="14.25" customHeight="1">
      <c r="B76" s="54"/>
      <c r="C76" s="64"/>
      <c r="D76" s="54"/>
      <c r="E76" s="54"/>
      <c r="F76" s="54"/>
      <c r="G76" s="54"/>
      <c r="H76" s="5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60"/>
      <c r="AC76" s="62"/>
      <c r="AD76" s="62"/>
      <c r="AE76" s="120"/>
      <c r="AF76" s="120"/>
      <c r="AG76" s="62"/>
      <c r="AH76" s="62"/>
      <c r="AI76" s="56"/>
    </row>
    <row r="77" spans="2:35" ht="14.25" customHeight="1">
      <c r="B77" s="54"/>
      <c r="C77" s="64"/>
      <c r="D77" s="54"/>
      <c r="E77" s="54"/>
      <c r="F77" s="54"/>
      <c r="G77" s="54"/>
      <c r="H77" s="5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60"/>
      <c r="AC77" s="62"/>
      <c r="AD77" s="62"/>
      <c r="AE77" s="120"/>
      <c r="AF77" s="120"/>
      <c r="AG77" s="62"/>
      <c r="AH77" s="62"/>
      <c r="AI77" s="56"/>
    </row>
    <row r="78" spans="2:35" ht="14.25" customHeight="1">
      <c r="B78" s="54"/>
      <c r="C78" s="64"/>
      <c r="D78" s="54"/>
      <c r="E78" s="54"/>
      <c r="F78" s="54"/>
      <c r="G78" s="54"/>
      <c r="H78" s="5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60"/>
      <c r="AC78" s="62"/>
      <c r="AD78" s="62"/>
      <c r="AE78" s="120"/>
      <c r="AF78" s="120"/>
      <c r="AG78" s="62"/>
      <c r="AH78" s="62"/>
      <c r="AI78" s="56"/>
    </row>
    <row r="79" spans="2:35" ht="14.25" customHeight="1">
      <c r="B79" s="54"/>
      <c r="C79" s="64"/>
      <c r="D79" s="54"/>
      <c r="E79" s="54"/>
      <c r="F79" s="54"/>
      <c r="G79" s="54"/>
      <c r="H79" s="5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60"/>
      <c r="AC79" s="62"/>
      <c r="AD79" s="62"/>
      <c r="AE79" s="120"/>
      <c r="AF79" s="120"/>
      <c r="AG79" s="62"/>
      <c r="AH79" s="62"/>
      <c r="AI79" s="56"/>
    </row>
    <row r="80" spans="2:35" ht="14.25" customHeight="1">
      <c r="B80" s="54"/>
      <c r="C80" s="64"/>
      <c r="D80" s="54"/>
      <c r="E80" s="54"/>
      <c r="F80" s="54"/>
      <c r="G80" s="54"/>
      <c r="H80" s="5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60"/>
      <c r="AC80" s="62"/>
      <c r="AD80" s="62"/>
      <c r="AE80" s="120"/>
      <c r="AF80" s="120"/>
      <c r="AG80" s="62"/>
      <c r="AH80" s="62"/>
      <c r="AI80" s="56"/>
    </row>
    <row r="81" spans="2:35" ht="14.25" customHeight="1">
      <c r="B81" s="54"/>
      <c r="C81" s="64"/>
      <c r="D81" s="54"/>
      <c r="E81" s="54"/>
      <c r="F81" s="54"/>
      <c r="G81" s="54"/>
      <c r="H81" s="55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60"/>
      <c r="AC81" s="62"/>
      <c r="AD81" s="62"/>
      <c r="AE81" s="120"/>
      <c r="AF81" s="120"/>
      <c r="AG81" s="62"/>
      <c r="AH81" s="62"/>
      <c r="AI81" s="56"/>
    </row>
    <row r="82" spans="2:35" ht="14.25" customHeight="1">
      <c r="B82" s="54"/>
      <c r="C82" s="64"/>
      <c r="D82" s="54"/>
      <c r="E82" s="54"/>
      <c r="F82" s="54"/>
      <c r="G82" s="54"/>
      <c r="H82" s="55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60"/>
      <c r="AC82" s="62"/>
      <c r="AD82" s="62"/>
      <c r="AE82" s="120"/>
      <c r="AF82" s="120"/>
      <c r="AG82" s="62"/>
      <c r="AH82" s="62"/>
      <c r="AI82" s="56"/>
    </row>
    <row r="83" spans="2:35" ht="14.25" customHeight="1">
      <c r="B83" s="54"/>
      <c r="C83" s="64"/>
      <c r="D83" s="54"/>
      <c r="E83" s="54"/>
      <c r="F83" s="54"/>
      <c r="G83" s="54"/>
      <c r="H83" s="55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60"/>
      <c r="AC83" s="62"/>
      <c r="AD83" s="62"/>
      <c r="AE83" s="120"/>
      <c r="AF83" s="120"/>
      <c r="AG83" s="62"/>
      <c r="AH83" s="62"/>
      <c r="AI83" s="56"/>
    </row>
    <row r="84" spans="2:35" ht="14.25" customHeight="1">
      <c r="B84" s="54"/>
      <c r="C84" s="64"/>
      <c r="D84" s="54"/>
      <c r="E84" s="54"/>
      <c r="F84" s="54"/>
      <c r="G84" s="54"/>
      <c r="H84" s="5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60"/>
      <c r="AC84" s="62"/>
      <c r="AD84" s="62"/>
      <c r="AE84" s="120"/>
      <c r="AF84" s="120"/>
      <c r="AG84" s="62"/>
      <c r="AH84" s="62"/>
      <c r="AI84" s="56"/>
    </row>
    <row r="85" spans="2:35" ht="14.25" customHeight="1">
      <c r="B85" s="54"/>
      <c r="C85" s="64"/>
      <c r="D85" s="54"/>
      <c r="E85" s="54"/>
      <c r="F85" s="54"/>
      <c r="G85" s="54"/>
      <c r="H85" s="5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60"/>
      <c r="AC85" s="62"/>
      <c r="AD85" s="62"/>
      <c r="AE85" s="120"/>
      <c r="AF85" s="120"/>
      <c r="AG85" s="62"/>
      <c r="AH85" s="62"/>
      <c r="AI85" s="56"/>
    </row>
    <row r="86" spans="2:35" ht="14.25" customHeight="1">
      <c r="B86" s="54"/>
      <c r="C86" s="64"/>
      <c r="D86" s="54"/>
      <c r="E86" s="54"/>
      <c r="F86" s="54"/>
      <c r="G86" s="54"/>
      <c r="H86" s="5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60"/>
      <c r="AC86" s="62"/>
      <c r="AD86" s="62"/>
      <c r="AE86" s="120"/>
      <c r="AF86" s="120"/>
      <c r="AG86" s="62"/>
      <c r="AH86" s="62"/>
      <c r="AI86" s="56"/>
    </row>
    <row r="87" spans="2:35" ht="14.25" customHeight="1">
      <c r="B87" s="54"/>
      <c r="C87" s="64"/>
      <c r="D87" s="54"/>
      <c r="E87" s="54"/>
      <c r="F87" s="54"/>
      <c r="G87" s="54"/>
      <c r="H87" s="55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60"/>
      <c r="AC87" s="62"/>
      <c r="AD87" s="62"/>
      <c r="AE87" s="120"/>
      <c r="AF87" s="120"/>
      <c r="AG87" s="62"/>
      <c r="AH87" s="62"/>
      <c r="AI87" s="56"/>
    </row>
    <row r="88" spans="2:35" ht="14.25" customHeight="1">
      <c r="B88" s="54"/>
      <c r="C88" s="64"/>
      <c r="D88" s="54"/>
      <c r="E88" s="54"/>
      <c r="F88" s="54"/>
      <c r="G88" s="54"/>
      <c r="H88" s="5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60"/>
      <c r="AC88" s="62"/>
      <c r="AD88" s="62"/>
      <c r="AE88" s="120"/>
      <c r="AF88" s="120"/>
      <c r="AG88" s="62"/>
      <c r="AH88" s="62"/>
      <c r="AI88" s="56"/>
    </row>
    <row r="89" spans="2:35" ht="14.25" customHeight="1">
      <c r="B89" s="54"/>
      <c r="C89" s="64"/>
      <c r="D89" s="54"/>
      <c r="E89" s="54"/>
      <c r="F89" s="54"/>
      <c r="G89" s="54"/>
      <c r="H89" s="5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60"/>
      <c r="AC89" s="62"/>
      <c r="AD89" s="62"/>
      <c r="AE89" s="120"/>
      <c r="AF89" s="120"/>
      <c r="AG89" s="62"/>
      <c r="AH89" s="62"/>
      <c r="AI89" s="56"/>
    </row>
    <row r="90" spans="2:35" ht="14.25" customHeight="1">
      <c r="B90" s="54"/>
      <c r="C90" s="64"/>
      <c r="D90" s="54"/>
      <c r="E90" s="54"/>
      <c r="F90" s="54"/>
      <c r="G90" s="54"/>
      <c r="H90" s="5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60"/>
      <c r="AC90" s="62"/>
      <c r="AD90" s="62"/>
      <c r="AE90" s="120"/>
      <c r="AF90" s="120"/>
      <c r="AG90" s="62"/>
      <c r="AH90" s="62"/>
      <c r="AI90" s="56"/>
    </row>
    <row r="91" spans="2:35" ht="14.25" customHeight="1">
      <c r="B91" s="54"/>
      <c r="C91" s="64"/>
      <c r="D91" s="54"/>
      <c r="E91" s="54"/>
      <c r="F91" s="54"/>
      <c r="G91" s="54"/>
      <c r="H91" s="5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60"/>
      <c r="AC91" s="62"/>
      <c r="AD91" s="62"/>
      <c r="AE91" s="120"/>
      <c r="AF91" s="120"/>
      <c r="AG91" s="62"/>
      <c r="AH91" s="62"/>
      <c r="AI91" s="56"/>
    </row>
    <row r="92" spans="2:35" ht="14.25" customHeight="1">
      <c r="B92" s="54"/>
      <c r="C92" s="64"/>
      <c r="D92" s="54"/>
      <c r="E92" s="54"/>
      <c r="F92" s="54"/>
      <c r="G92" s="54"/>
      <c r="H92" s="5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60"/>
      <c r="AC92" s="62"/>
      <c r="AD92" s="62"/>
      <c r="AE92" s="120"/>
      <c r="AF92" s="120"/>
      <c r="AG92" s="62"/>
      <c r="AH92" s="62"/>
      <c r="AI92" s="56"/>
    </row>
    <row r="93" spans="2:35" ht="14.25" customHeight="1">
      <c r="B93" s="54"/>
      <c r="C93" s="64"/>
      <c r="D93" s="54"/>
      <c r="E93" s="54"/>
      <c r="F93" s="54"/>
      <c r="G93" s="54"/>
      <c r="H93" s="55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60"/>
      <c r="AC93" s="62"/>
      <c r="AD93" s="62"/>
      <c r="AE93" s="120"/>
      <c r="AF93" s="120"/>
      <c r="AG93" s="62"/>
      <c r="AH93" s="62"/>
      <c r="AI93" s="56"/>
    </row>
    <row r="94" spans="2:35" ht="14.25" customHeight="1">
      <c r="B94" s="54"/>
      <c r="C94" s="64"/>
      <c r="D94" s="54"/>
      <c r="E94" s="54"/>
      <c r="F94" s="54"/>
      <c r="G94" s="54"/>
      <c r="H94" s="55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60"/>
      <c r="AC94" s="62"/>
      <c r="AD94" s="62"/>
      <c r="AE94" s="120"/>
      <c r="AF94" s="120"/>
      <c r="AG94" s="62"/>
      <c r="AH94" s="62"/>
      <c r="AI94" s="56"/>
    </row>
    <row r="95" spans="2:35" ht="14.25" customHeight="1">
      <c r="B95" s="54"/>
      <c r="C95" s="64"/>
      <c r="D95" s="54"/>
      <c r="E95" s="54"/>
      <c r="F95" s="54"/>
      <c r="G95" s="54"/>
      <c r="H95" s="5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60"/>
      <c r="AC95" s="62"/>
      <c r="AD95" s="62"/>
      <c r="AE95" s="120"/>
      <c r="AF95" s="120"/>
      <c r="AG95" s="62"/>
      <c r="AH95" s="62"/>
      <c r="AI95" s="56"/>
    </row>
    <row r="96" spans="2:35" ht="14.25" customHeight="1">
      <c r="B96" s="54"/>
      <c r="C96" s="64"/>
      <c r="D96" s="54"/>
      <c r="E96" s="54"/>
      <c r="F96" s="54"/>
      <c r="G96" s="54"/>
      <c r="H96" s="5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60"/>
      <c r="AC96" s="62"/>
      <c r="AD96" s="62"/>
      <c r="AE96" s="120"/>
      <c r="AF96" s="120"/>
      <c r="AG96" s="62"/>
      <c r="AH96" s="62"/>
      <c r="AI96" s="56"/>
    </row>
    <row r="97" spans="2:35" ht="14.25" customHeight="1">
      <c r="B97" s="54"/>
      <c r="C97" s="64"/>
      <c r="D97" s="54"/>
      <c r="E97" s="54"/>
      <c r="F97" s="54"/>
      <c r="G97" s="54"/>
      <c r="H97" s="5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60"/>
      <c r="AC97" s="62"/>
      <c r="AD97" s="62"/>
      <c r="AE97" s="120"/>
      <c r="AF97" s="120"/>
      <c r="AG97" s="62"/>
      <c r="AH97" s="62"/>
      <c r="AI97" s="56"/>
    </row>
    <row r="98" spans="2:35" ht="14.25" customHeight="1">
      <c r="B98" s="54"/>
      <c r="C98" s="64"/>
      <c r="D98" s="54"/>
      <c r="E98" s="54"/>
      <c r="F98" s="54"/>
      <c r="G98" s="54"/>
      <c r="H98" s="5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60"/>
      <c r="AC98" s="62"/>
      <c r="AD98" s="62"/>
      <c r="AE98" s="120"/>
      <c r="AF98" s="120"/>
      <c r="AG98" s="62"/>
      <c r="AH98" s="62"/>
      <c r="AI98" s="56"/>
    </row>
    <row r="99" spans="2:35" ht="14.25" customHeight="1">
      <c r="B99" s="54"/>
      <c r="C99" s="64"/>
      <c r="D99" s="54"/>
      <c r="E99" s="54"/>
      <c r="F99" s="54"/>
      <c r="G99" s="54"/>
      <c r="H99" s="5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60"/>
      <c r="AC99" s="62"/>
      <c r="AD99" s="62"/>
      <c r="AE99" s="120"/>
      <c r="AF99" s="120"/>
      <c r="AG99" s="62"/>
      <c r="AH99" s="62"/>
      <c r="AI99" s="56"/>
    </row>
    <row r="100" spans="2:35" ht="14.25" customHeight="1">
      <c r="B100" s="54"/>
      <c r="C100" s="64"/>
      <c r="D100" s="54"/>
      <c r="E100" s="54"/>
      <c r="F100" s="54"/>
      <c r="G100" s="54"/>
      <c r="H100" s="5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60"/>
      <c r="AC100" s="62"/>
      <c r="AD100" s="62"/>
      <c r="AE100" s="120"/>
      <c r="AF100" s="120"/>
      <c r="AG100" s="62"/>
      <c r="AH100" s="62"/>
      <c r="AI100" s="56"/>
    </row>
    <row r="101" spans="2:35" ht="14.25" customHeight="1">
      <c r="B101" s="54"/>
      <c r="C101" s="64"/>
      <c r="D101" s="54"/>
      <c r="E101" s="54"/>
      <c r="F101" s="54"/>
      <c r="G101" s="54"/>
      <c r="H101" s="5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60"/>
      <c r="AC101" s="62"/>
      <c r="AD101" s="62"/>
      <c r="AE101" s="120"/>
      <c r="AF101" s="120"/>
      <c r="AG101" s="62"/>
      <c r="AH101" s="62"/>
      <c r="AI101" s="56"/>
    </row>
    <row r="102" spans="2:35" ht="14.25" customHeight="1">
      <c r="B102" s="54"/>
      <c r="C102" s="64"/>
      <c r="D102" s="54"/>
      <c r="E102" s="54"/>
      <c r="F102" s="54"/>
      <c r="G102" s="54"/>
      <c r="H102" s="5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60"/>
      <c r="AC102" s="62"/>
      <c r="AD102" s="62"/>
      <c r="AE102" s="120"/>
      <c r="AF102" s="120"/>
      <c r="AG102" s="62"/>
      <c r="AH102" s="62"/>
      <c r="AI102" s="56"/>
    </row>
  </sheetData>
  <sheetProtection/>
  <mergeCells count="1">
    <mergeCell ref="D1:AI1"/>
  </mergeCells>
  <conditionalFormatting sqref="H2:J2 AC2:AH2">
    <cfRule type="cellIs" priority="1" dxfId="0" operator="equal" stopIfTrue="1">
      <formula>$B$4</formula>
    </cfRule>
  </conditionalFormatting>
  <conditionalFormatting sqref="K2:AB65536">
    <cfRule type="cellIs" priority="2" dxfId="148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1">
      <selection activeCell="F1" sqref="F1:F16384"/>
    </sheetView>
  </sheetViews>
  <sheetFormatPr defaultColWidth="9.140625" defaultRowHeight="12.75"/>
  <cols>
    <col min="1" max="1" width="9.140625" style="158" hidden="1" customWidth="1"/>
    <col min="2" max="2" width="17.7109375" style="159" hidden="1" customWidth="1"/>
    <col min="3" max="6" width="5.140625" style="158" hidden="1" customWidth="1"/>
    <col min="7" max="9" width="5.140625" style="158" customWidth="1"/>
    <col min="10" max="10" width="9.57421875" style="161" customWidth="1"/>
    <col min="11" max="11" width="33.8515625" style="160" customWidth="1"/>
    <col min="12" max="15" width="11.140625" style="160" customWidth="1"/>
    <col min="16" max="16" width="13.421875" style="160" customWidth="1"/>
    <col min="17" max="18" width="9.140625" style="160" customWidth="1"/>
    <col min="19" max="24" width="9.140625" style="161" customWidth="1"/>
    <col min="25" max="25" width="10.57421875" style="161" customWidth="1"/>
    <col min="26" max="26" width="15.7109375" style="161" customWidth="1"/>
    <col min="27" max="27" width="10.28125" style="161" customWidth="1"/>
    <col min="28" max="28" width="15.140625" style="161" customWidth="1"/>
    <col min="29" max="16384" width="9.140625" style="160" customWidth="1"/>
  </cols>
  <sheetData>
    <row r="1" ht="7.5" customHeight="1"/>
    <row r="2" spans="10:16" ht="45" customHeight="1">
      <c r="J2" s="364" t="str">
        <f>Setup!C2</f>
        <v>HOLIDAY FESTIVAL OF STRENGTH</v>
      </c>
      <c r="K2" s="364"/>
      <c r="L2" s="364"/>
      <c r="M2" s="364"/>
      <c r="N2" s="364"/>
      <c r="O2" s="364"/>
      <c r="P2" s="364"/>
    </row>
    <row r="3" spans="2:12" ht="110.25" customHeight="1">
      <c r="B3" s="162"/>
      <c r="L3" s="231" t="s">
        <v>174</v>
      </c>
    </row>
    <row r="5" spans="1:2" ht="12.75">
      <c r="A5" s="159" t="s">
        <v>132</v>
      </c>
      <c r="B5" s="159" t="s">
        <v>141</v>
      </c>
    </row>
    <row r="6" spans="1:30" s="165" customFormat="1" ht="36" customHeight="1">
      <c r="A6" s="163" t="str">
        <f ca="1">OFFSET(Setup!O6,MATCH(J6,INDIRECT(B6),0),0)</f>
        <v>FFO</v>
      </c>
      <c r="B6" s="163" t="str">
        <f>CONCATENATE("Setup!P7:P",COUNTA(Setup!O:O)+4)</f>
        <v>Setup!P7:P22</v>
      </c>
      <c r="C6" s="158"/>
      <c r="D6" s="158"/>
      <c r="E6" s="158"/>
      <c r="F6" s="158"/>
      <c r="G6" s="158"/>
      <c r="H6" s="158"/>
      <c r="I6" s="158"/>
      <c r="J6" s="363" t="s">
        <v>172</v>
      </c>
      <c r="K6" s="363"/>
      <c r="L6" s="363"/>
      <c r="M6" s="363"/>
      <c r="N6" s="363"/>
      <c r="O6" s="363"/>
      <c r="P6" s="164"/>
      <c r="R6" s="160"/>
      <c r="S6" s="161"/>
      <c r="T6" s="161"/>
      <c r="U6" s="161"/>
      <c r="V6" s="161"/>
      <c r="W6" s="161"/>
      <c r="X6" s="161"/>
      <c r="Y6" s="166"/>
      <c r="Z6" s="166"/>
      <c r="AA6" s="161"/>
      <c r="AB6" s="161"/>
      <c r="AC6" s="160"/>
      <c r="AD6" s="160"/>
    </row>
    <row r="7" spans="1:30" s="165" customFormat="1" ht="36" customHeight="1">
      <c r="A7" s="163" t="s">
        <v>142</v>
      </c>
      <c r="B7" s="163" t="str">
        <f>IF(LEFT(A6,1)="M","Setup!K9:K23","Setup!M9:M23")</f>
        <v>Setup!M9:M23</v>
      </c>
      <c r="C7" s="158"/>
      <c r="D7" s="158"/>
      <c r="E7" s="158"/>
      <c r="F7" s="158"/>
      <c r="G7" s="158"/>
      <c r="H7" s="158"/>
      <c r="I7" s="158"/>
      <c r="J7" s="209">
        <v>181</v>
      </c>
      <c r="K7" s="167" t="str">
        <f>IF(J7="SHW","Class",IF(Setup!K6="BWt (Kg)","Kilo Class","Pound Class"))</f>
        <v>Pound Class</v>
      </c>
      <c r="L7" s="362" t="s">
        <v>69</v>
      </c>
      <c r="M7" s="362"/>
      <c r="N7" s="362"/>
      <c r="O7" s="362"/>
      <c r="P7" s="164"/>
      <c r="R7" s="160"/>
      <c r="S7" s="161"/>
      <c r="T7" s="161"/>
      <c r="U7" s="161"/>
      <c r="V7" s="161"/>
      <c r="W7" s="161"/>
      <c r="X7" s="161"/>
      <c r="Y7" s="166"/>
      <c r="Z7" s="166"/>
      <c r="AA7" s="161"/>
      <c r="AB7" s="161"/>
      <c r="AC7" s="160"/>
      <c r="AD7" s="160"/>
    </row>
    <row r="8" spans="10:26" ht="5.25" customHeight="1">
      <c r="J8" s="168"/>
      <c r="K8" s="169"/>
      <c r="L8" s="169"/>
      <c r="M8" s="169"/>
      <c r="N8" s="169"/>
      <c r="O8" s="169"/>
      <c r="P8" s="169"/>
      <c r="Y8" s="166"/>
      <c r="Z8" s="166"/>
    </row>
    <row r="9" spans="1:34" s="165" customFormat="1" ht="36" customHeight="1">
      <c r="A9" s="170"/>
      <c r="B9" s="159">
        <f ca="1">OFFSET(Setup!Q6,MATCH(J6,INDIRECT(B6),0),0)</f>
        <v>2</v>
      </c>
      <c r="C9" s="158"/>
      <c r="D9" s="158"/>
      <c r="E9" s="158"/>
      <c r="F9" s="158"/>
      <c r="G9" s="158"/>
      <c r="H9" s="158"/>
      <c r="I9" s="158"/>
      <c r="J9" s="171" t="s">
        <v>79</v>
      </c>
      <c r="K9" s="172" t="s">
        <v>0</v>
      </c>
      <c r="L9" s="171" t="s">
        <v>11</v>
      </c>
      <c r="M9" s="171" t="s">
        <v>15</v>
      </c>
      <c r="N9" s="171" t="s">
        <v>21</v>
      </c>
      <c r="O9" s="171" t="s">
        <v>69</v>
      </c>
      <c r="P9" s="173" t="str">
        <f>IF(B9=1,"","Coeff-Score")</f>
        <v>Coeff-Score</v>
      </c>
      <c r="R9" s="160"/>
      <c r="S9" s="161"/>
      <c r="T9" s="161"/>
      <c r="U9" s="161"/>
      <c r="V9" s="161"/>
      <c r="W9" s="161"/>
      <c r="X9" s="161"/>
      <c r="Y9" s="166"/>
      <c r="Z9" s="166"/>
      <c r="AA9" s="161"/>
      <c r="AB9" s="161"/>
      <c r="AC9" s="160"/>
      <c r="AD9" s="160"/>
      <c r="AH9" s="174"/>
    </row>
    <row r="10" spans="1:34" s="165" customFormat="1" ht="36" customHeight="1">
      <c r="A10" s="170"/>
      <c r="B10" s="159" t="str">
        <f>CONCATENATE(J10,"-",$A$6,IF($B$9=1,CONCATENATE("-",IF($J$7="SHW",$J$7,ROUND($J$7,1))),""))</f>
        <v>1-FFO</v>
      </c>
      <c r="C10" s="158"/>
      <c r="D10" s="158"/>
      <c r="E10" s="158"/>
      <c r="F10" s="158"/>
      <c r="G10" s="158"/>
      <c r="H10" s="158"/>
      <c r="I10" s="158"/>
      <c r="J10" s="171">
        <v>1</v>
      </c>
      <c r="K10" s="172">
        <f ca="1">IF(ISERROR(INDIRECT(CONCATENATE("Lifting!C",MATCH(B10,Lifting!$AF:$AF,0)))),"",INDIRECT(CONCATENATE("Lifting!C",MATCH(B10,Lifting!$AF:$AF,0))))</f>
      </c>
      <c r="L10" s="171">
        <f ca="1">IF(OR($L$7="Best Bench",$L$7="Best Deadlift",$L$7="Push Pull Total"),"",IF(K10="","",INDIRECT(CONCATENATE("Lifting!O",MATCH(B10,Lifting!$AF:$AF,0)))))</f>
      </c>
      <c r="M10" s="171">
        <f ca="1">IF(OR($L$7="Best Squat",$L$7="Best Deadlift"),"",IF(K10="","",INDIRECT(CONCATENATE("Lifting!U",MATCH(B10,Lifting!$AF:$AF,0)))))</f>
      </c>
      <c r="N10" s="171">
        <f ca="1">IF(OR($L$7="Best Bench",$L$7="Best Squat"),"",IF(K10="","",INDIRECT(CONCATENATE("Lifting!AA",MATCH(B10,Lifting!$AF:$AF,0)))))</f>
      </c>
      <c r="O10" s="171">
        <f ca="1">IF(OR($L$7="Best Bench",$L$7="Best Deadlift",$L$7="Best Deadlift"),"",IF(K10="","",INDIRECT(CONCATENATE("Lifting!AB",MATCH(B10,Lifting!$AF:$AF,0)))))</f>
      </c>
      <c r="P10" s="164">
        <f ca="1">IF(OR($B$9=1,K10=""),"",INDIRECT(CONCATENATE(CONCATENATE("Lifting!",IF($B$9=2,"AC","AD"),MATCH(B10,Lifting!$AF:$AF,0)))))</f>
      </c>
      <c r="R10" s="160"/>
      <c r="S10" s="161"/>
      <c r="T10" s="161"/>
      <c r="U10" s="161"/>
      <c r="V10" s="161"/>
      <c r="W10" s="161"/>
      <c r="X10" s="161"/>
      <c r="Y10" s="166"/>
      <c r="Z10" s="166"/>
      <c r="AA10" s="161"/>
      <c r="AB10" s="161"/>
      <c r="AC10" s="160"/>
      <c r="AD10" s="160"/>
      <c r="AH10" s="174"/>
    </row>
    <row r="11" spans="1:34" s="165" customFormat="1" ht="36" customHeight="1">
      <c r="A11" s="170"/>
      <c r="B11" s="159" t="str">
        <f>CONCATENATE(J11,"-",$A$6,IF($B$9=1,CONCATENATE("-",IF($J$7="SHW",$J$7,ROUND($J$7,1))),""))</f>
        <v>2-FFO</v>
      </c>
      <c r="C11" s="158"/>
      <c r="D11" s="158"/>
      <c r="E11" s="158"/>
      <c r="F11" s="158"/>
      <c r="G11" s="158"/>
      <c r="H11" s="158"/>
      <c r="I11" s="158"/>
      <c r="J11" s="171">
        <v>2</v>
      </c>
      <c r="K11" s="172">
        <f ca="1">IF(ISERROR(INDIRECT(CONCATENATE("Lifting!C",MATCH(B11,Lifting!$AF:$AF,0)))),"",INDIRECT(CONCATENATE("Lifting!C",MATCH(B11,Lifting!$AF:$AF,0))))</f>
      </c>
      <c r="L11" s="171">
        <f ca="1">IF(OR($L$7="Best Bench",$L$7="Best Deadlift",$L$7="Push Pull Total"),"",IF(K11="","",INDIRECT(CONCATENATE("Lifting!O",MATCH(B11,Lifting!$AF:$AF,0)))))</f>
      </c>
      <c r="M11" s="171">
        <f ca="1">IF(OR($L$7="Best Squat",$L$7="Best Deadlift"),"",IF(K11="","",INDIRECT(CONCATENATE("Lifting!U",MATCH(B11,Lifting!$AF:$AF,0)))))</f>
      </c>
      <c r="N11" s="171">
        <f ca="1">IF(OR($L$7="Best Bench",$L$7="Best Squat"),"",IF(K11="","",INDIRECT(CONCATENATE("Lifting!AA",MATCH(B11,Lifting!$AF:$AF,0)))))</f>
      </c>
      <c r="O11" s="171">
        <f ca="1">IF(OR($L$7="Best Bench",$L$7="Best Deadlift",$L$7="Best Deadlift"),"",IF(K11="","",INDIRECT(CONCATENATE("Lifting!AB",MATCH(B11,Lifting!$AF:$AF,0)))))</f>
      </c>
      <c r="P11" s="164">
        <f ca="1">IF(OR($B$9=1,K11=""),"",INDIRECT(CONCATENATE(CONCATENATE("Lifting!",IF($B$9=2,"AC","AD"),MATCH(B11,Lifting!$AF:$AF,0)))))</f>
      </c>
      <c r="R11" s="160"/>
      <c r="S11" s="161"/>
      <c r="T11" s="161"/>
      <c r="U11" s="161"/>
      <c r="V11" s="161"/>
      <c r="W11" s="161"/>
      <c r="X11" s="161"/>
      <c r="Y11" s="166"/>
      <c r="Z11" s="166"/>
      <c r="AA11" s="161"/>
      <c r="AB11" s="161"/>
      <c r="AC11" s="160"/>
      <c r="AD11" s="160"/>
      <c r="AH11" s="174"/>
    </row>
    <row r="12" spans="1:34" s="165" customFormat="1" ht="36" customHeight="1">
      <c r="A12" s="170"/>
      <c r="B12" s="159" t="str">
        <f>CONCATENATE(J12,"-",$A$6,IF($B$9=1,CONCATENATE("-",IF($J$7="SHW",$J$7,ROUND($J$7,1))),""))</f>
        <v>3-FFO</v>
      </c>
      <c r="C12" s="158"/>
      <c r="D12" s="158"/>
      <c r="E12" s="158"/>
      <c r="F12" s="158"/>
      <c r="G12" s="158"/>
      <c r="H12" s="158"/>
      <c r="I12" s="158"/>
      <c r="J12" s="171">
        <v>3</v>
      </c>
      <c r="K12" s="172">
        <f ca="1">IF(ISERROR(INDIRECT(CONCATENATE("Lifting!C",MATCH(B12,Lifting!$AF:$AF,0)))),"",INDIRECT(CONCATENATE("Lifting!C",MATCH(B12,Lifting!$AF:$AF,0))))</f>
      </c>
      <c r="L12" s="171">
        <f ca="1">IF(OR($L$7="Best Bench",$L$7="Best Deadlift",$L$7="Push Pull Total"),"",IF(K12="","",INDIRECT(CONCATENATE("Lifting!O",MATCH(B12,Lifting!$AF:$AF,0)))))</f>
      </c>
      <c r="M12" s="171">
        <f ca="1">IF(OR($L$7="Best Squat",$L$7="Best Deadlift"),"",IF(K12="","",INDIRECT(CONCATENATE("Lifting!U",MATCH(B12,Lifting!$AF:$AF,0)))))</f>
      </c>
      <c r="N12" s="171">
        <f ca="1">IF(OR($L$7="Best Bench",$L$7="Best Squat"),"",IF(K12="","",INDIRECT(CONCATENATE("Lifting!AA",MATCH(B12,Lifting!$AF:$AF,0)))))</f>
      </c>
      <c r="O12" s="171">
        <f ca="1">IF(OR($L$7="Best Bench",$L$7="Best Deadlift",$L$7="Best Deadlift"),"",IF(K12="","",INDIRECT(CONCATENATE("Lifting!AB",MATCH(B12,Lifting!$AF:$AF,0)))))</f>
      </c>
      <c r="P12" s="164">
        <f ca="1">IF(OR($B$9=1,K12=""),"",INDIRECT(CONCATENATE(CONCATENATE("Lifting!",IF($B$9=2,"AC","AD"),MATCH(B12,Lifting!$AF:$AF,0)))))</f>
      </c>
      <c r="R12" s="160"/>
      <c r="S12" s="161"/>
      <c r="T12" s="161"/>
      <c r="U12" s="161"/>
      <c r="V12" s="161"/>
      <c r="W12" s="161"/>
      <c r="X12" s="161"/>
      <c r="Y12" s="166"/>
      <c r="Z12" s="166"/>
      <c r="AA12" s="161"/>
      <c r="AB12" s="161"/>
      <c r="AC12" s="160"/>
      <c r="AD12" s="160"/>
      <c r="AH12" s="174"/>
    </row>
    <row r="13" spans="1:34" s="165" customFormat="1" ht="36" customHeight="1">
      <c r="A13" s="170"/>
      <c r="B13" s="159" t="str">
        <f>CONCATENATE(J13,"-",$A$6,IF($B$9=1,CONCATENATE("-",IF($J$7="SHW",$J$7,ROUND($J$7,1))),""))</f>
        <v>4-FFO</v>
      </c>
      <c r="C13" s="158"/>
      <c r="D13" s="158"/>
      <c r="E13" s="158"/>
      <c r="F13" s="158"/>
      <c r="G13" s="158"/>
      <c r="H13" s="158"/>
      <c r="I13" s="158"/>
      <c r="J13" s="171">
        <v>4</v>
      </c>
      <c r="K13" s="172">
        <f ca="1">IF(ISERROR(INDIRECT(CONCATENATE("Lifting!C",MATCH(B13,Lifting!$AF:$AF,0)))),"",INDIRECT(CONCATENATE("Lifting!C",MATCH(B13,Lifting!$AF:$AF,0))))</f>
      </c>
      <c r="L13" s="171">
        <f ca="1">IF(OR($L$7="Best Bench",$L$7="Best Deadlift",$L$7="Push Pull Total"),"",IF(K13="","",INDIRECT(CONCATENATE("Lifting!O",MATCH(B13,Lifting!$AF:$AF,0)))))</f>
      </c>
      <c r="M13" s="171">
        <f ca="1">IF(OR($L$7="Best Squat",$L$7="Best Deadlift"),"",IF(K13="","",INDIRECT(CONCATENATE("Lifting!U",MATCH(B13,Lifting!$AF:$AF,0)))))</f>
      </c>
      <c r="N13" s="171">
        <f ca="1">IF(OR($L$7="Best Bench",$L$7="Best Squat"),"",IF(K13="","",INDIRECT(CONCATENATE("Lifting!AA",MATCH(B13,Lifting!$AF:$AF,0)))))</f>
      </c>
      <c r="O13" s="171">
        <f ca="1">IF(OR($L$7="Best Bench",$L$7="Best Deadlift",$L$7="Best Deadlift"),"",IF(K13="","",INDIRECT(CONCATENATE("Lifting!AB",MATCH(B13,Lifting!$AF:$AF,0)))))</f>
      </c>
      <c r="P13" s="164">
        <f ca="1">IF(OR($B$9=1,K13=""),"",INDIRECT(CONCATENATE(CONCATENATE("Lifting!",IF($B$9=2,"AC","AD"),MATCH(B13,Lifting!$AF:$AF,0)))))</f>
      </c>
      <c r="R13" s="160"/>
      <c r="S13" s="161"/>
      <c r="T13" s="161"/>
      <c r="U13" s="161"/>
      <c r="V13" s="161"/>
      <c r="W13" s="161"/>
      <c r="X13" s="161"/>
      <c r="Y13" s="166"/>
      <c r="Z13" s="166"/>
      <c r="AA13" s="161"/>
      <c r="AB13" s="161"/>
      <c r="AC13" s="160"/>
      <c r="AD13" s="160"/>
      <c r="AH13" s="174"/>
    </row>
    <row r="14" spans="1:34" s="165" customFormat="1" ht="36" customHeight="1">
      <c r="A14" s="170"/>
      <c r="B14" s="159" t="str">
        <f>CONCATENATE(J14,"-",$A$6,IF($B$9=1,CONCATENATE("-",IF($J$7="SHW",$J$7,ROUND($J$7,1))),""))</f>
        <v>5-FFO</v>
      </c>
      <c r="C14" s="158"/>
      <c r="D14" s="158"/>
      <c r="E14" s="158"/>
      <c r="F14" s="158"/>
      <c r="G14" s="158"/>
      <c r="H14" s="158"/>
      <c r="I14" s="158"/>
      <c r="J14" s="171">
        <v>5</v>
      </c>
      <c r="K14" s="172">
        <f ca="1">IF(ISERROR(INDIRECT(CONCATENATE("Lifting!C",MATCH(B14,Lifting!$AF:$AF,0)))),"",INDIRECT(CONCATENATE("Lifting!C",MATCH(B14,Lifting!$AF:$AF,0))))</f>
      </c>
      <c r="L14" s="171">
        <f ca="1">IF(OR($L$7="Best Bench",$L$7="Best Deadlift",$L$7="Push Pull Total"),"",IF(K14="","",INDIRECT(CONCATENATE("Lifting!O",MATCH(B14,Lifting!$AF:$AF,0)))))</f>
      </c>
      <c r="M14" s="171">
        <f ca="1">IF(OR($L$7="Best Squat",$L$7="Best Deadlift"),"",IF(K14="","",INDIRECT(CONCATENATE("Lifting!U",MATCH(B14,Lifting!$AF:$AF,0)))))</f>
      </c>
      <c r="N14" s="171">
        <f ca="1">IF(OR($L$7="Best Bench",$L$7="Best Squat"),"",IF(K14="","",INDIRECT(CONCATENATE("Lifting!AA",MATCH(B14,Lifting!$AF:$AF,0)))))</f>
      </c>
      <c r="O14" s="171">
        <f ca="1">IF(OR($L$7="Best Bench",$L$7="Best Deadlift",$L$7="Best Deadlift"),"",IF(K14="","",INDIRECT(CONCATENATE("Lifting!AB",MATCH(B14,Lifting!$AF:$AF,0)))))</f>
      </c>
      <c r="P14" s="164">
        <f ca="1">IF(OR($B$9=1,K14=""),"",INDIRECT(CONCATENATE(CONCATENATE("Lifting!",IF($B$9=2,"AC","AD"),MATCH(B14,Lifting!$AF:$AF,0)))))</f>
      </c>
      <c r="R14" s="160"/>
      <c r="S14" s="161"/>
      <c r="T14" s="161"/>
      <c r="U14" s="161"/>
      <c r="V14" s="161"/>
      <c r="W14" s="161"/>
      <c r="X14" s="161"/>
      <c r="Y14" s="166"/>
      <c r="Z14" s="166"/>
      <c r="AA14" s="161"/>
      <c r="AB14" s="161"/>
      <c r="AC14" s="160"/>
      <c r="AD14" s="160"/>
      <c r="AH14" s="174"/>
    </row>
    <row r="15" spans="1:34" s="165" customFormat="1" ht="36" customHeight="1">
      <c r="A15" s="170"/>
      <c r="B15" s="159"/>
      <c r="C15" s="158"/>
      <c r="D15" s="158"/>
      <c r="E15" s="158"/>
      <c r="F15" s="158"/>
      <c r="G15" s="158"/>
      <c r="H15" s="158"/>
      <c r="I15" s="158"/>
      <c r="J15" s="175"/>
      <c r="K15" s="176"/>
      <c r="L15" s="175"/>
      <c r="M15" s="175"/>
      <c r="N15" s="175"/>
      <c r="O15" s="175"/>
      <c r="P15" s="177"/>
      <c r="R15" s="160"/>
      <c r="S15" s="161"/>
      <c r="T15" s="161"/>
      <c r="U15" s="161"/>
      <c r="V15" s="161"/>
      <c r="W15" s="161"/>
      <c r="X15" s="161"/>
      <c r="Y15" s="166"/>
      <c r="Z15" s="166"/>
      <c r="AA15" s="161"/>
      <c r="AB15" s="161"/>
      <c r="AC15" s="160"/>
      <c r="AD15" s="160"/>
      <c r="AH15" s="174"/>
    </row>
    <row r="16" spans="1:30" s="165" customFormat="1" ht="36" customHeight="1">
      <c r="A16" s="170"/>
      <c r="B16" s="159"/>
      <c r="C16" s="158"/>
      <c r="D16" s="158"/>
      <c r="E16" s="158"/>
      <c r="F16" s="158"/>
      <c r="G16" s="158"/>
      <c r="H16" s="158"/>
      <c r="I16" s="158"/>
      <c r="J16" s="175"/>
      <c r="K16" s="176"/>
      <c r="L16" s="175"/>
      <c r="M16" s="175"/>
      <c r="N16" s="175"/>
      <c r="O16" s="175"/>
      <c r="P16" s="177"/>
      <c r="R16" s="160"/>
      <c r="S16" s="161"/>
      <c r="T16" s="161"/>
      <c r="U16" s="161"/>
      <c r="V16" s="161"/>
      <c r="W16" s="161"/>
      <c r="X16" s="161"/>
      <c r="Y16" s="166"/>
      <c r="Z16" s="166"/>
      <c r="AA16" s="161"/>
      <c r="AB16" s="161"/>
      <c r="AC16" s="160"/>
      <c r="AD16" s="160"/>
    </row>
    <row r="17" spans="1:30" s="165" customFormat="1" ht="36" customHeight="1">
      <c r="A17" s="170"/>
      <c r="B17" s="159"/>
      <c r="C17" s="158"/>
      <c r="D17" s="158"/>
      <c r="E17" s="158"/>
      <c r="F17" s="158"/>
      <c r="G17" s="158"/>
      <c r="H17" s="158"/>
      <c r="I17" s="158"/>
      <c r="J17" s="175"/>
      <c r="K17" s="176"/>
      <c r="L17" s="175"/>
      <c r="M17" s="175"/>
      <c r="N17" s="175"/>
      <c r="O17" s="175"/>
      <c r="P17" s="177"/>
      <c r="R17" s="160"/>
      <c r="S17" s="161"/>
      <c r="T17" s="161"/>
      <c r="U17" s="161"/>
      <c r="V17" s="161"/>
      <c r="W17" s="161"/>
      <c r="X17" s="161"/>
      <c r="Y17" s="166"/>
      <c r="Z17" s="166"/>
      <c r="AA17" s="161"/>
      <c r="AB17" s="161"/>
      <c r="AC17" s="160"/>
      <c r="AD17" s="160"/>
    </row>
    <row r="18" spans="1:30" s="165" customFormat="1" ht="36" customHeight="1">
      <c r="A18" s="170"/>
      <c r="B18" s="159"/>
      <c r="C18" s="158"/>
      <c r="D18" s="158"/>
      <c r="E18" s="158"/>
      <c r="F18" s="158"/>
      <c r="G18" s="158"/>
      <c r="H18" s="158"/>
      <c r="I18" s="158"/>
      <c r="J18" s="175"/>
      <c r="K18" s="176"/>
      <c r="L18" s="175"/>
      <c r="M18" s="175"/>
      <c r="N18" s="175"/>
      <c r="O18" s="175"/>
      <c r="P18" s="177"/>
      <c r="R18" s="160"/>
      <c r="S18" s="161"/>
      <c r="T18" s="161"/>
      <c r="U18" s="161"/>
      <c r="V18" s="161"/>
      <c r="W18" s="161"/>
      <c r="X18" s="161"/>
      <c r="Y18" s="166"/>
      <c r="Z18" s="166"/>
      <c r="AA18" s="161"/>
      <c r="AB18" s="161"/>
      <c r="AC18" s="160"/>
      <c r="AD18" s="160"/>
    </row>
    <row r="19" spans="1:30" s="165" customFormat="1" ht="36" customHeight="1">
      <c r="A19" s="170"/>
      <c r="B19" s="159"/>
      <c r="C19" s="158"/>
      <c r="D19" s="158"/>
      <c r="E19" s="158"/>
      <c r="F19" s="158"/>
      <c r="G19" s="158"/>
      <c r="H19" s="158"/>
      <c r="I19" s="158"/>
      <c r="J19" s="175"/>
      <c r="K19" s="176"/>
      <c r="L19" s="175"/>
      <c r="M19" s="175"/>
      <c r="N19" s="175"/>
      <c r="O19" s="175"/>
      <c r="P19" s="177"/>
      <c r="R19" s="160"/>
      <c r="S19" s="161"/>
      <c r="T19" s="161"/>
      <c r="U19" s="161"/>
      <c r="V19" s="161"/>
      <c r="W19" s="161"/>
      <c r="X19" s="161"/>
      <c r="Y19" s="166"/>
      <c r="Z19" s="166"/>
      <c r="AA19" s="161"/>
      <c r="AB19" s="161"/>
      <c r="AC19" s="160"/>
      <c r="AD19" s="160"/>
    </row>
    <row r="20" spans="1:30" s="165" customFormat="1" ht="36" customHeight="1">
      <c r="A20" s="170"/>
      <c r="B20" s="159"/>
      <c r="C20" s="158"/>
      <c r="D20" s="158"/>
      <c r="E20" s="158"/>
      <c r="F20" s="158"/>
      <c r="G20" s="158"/>
      <c r="H20" s="158"/>
      <c r="I20" s="158"/>
      <c r="J20" s="175"/>
      <c r="K20" s="176"/>
      <c r="L20" s="175"/>
      <c r="M20" s="175"/>
      <c r="N20" s="175"/>
      <c r="O20" s="175"/>
      <c r="P20" s="177"/>
      <c r="R20" s="160"/>
      <c r="S20" s="161"/>
      <c r="T20" s="161"/>
      <c r="U20" s="161"/>
      <c r="V20" s="161"/>
      <c r="W20" s="161"/>
      <c r="X20" s="161"/>
      <c r="Y20" s="166"/>
      <c r="Z20" s="166"/>
      <c r="AA20" s="161"/>
      <c r="AB20" s="161"/>
      <c r="AC20" s="160"/>
      <c r="AD20" s="160"/>
    </row>
    <row r="21" spans="1:30" s="165" customFormat="1" ht="36" customHeight="1">
      <c r="A21" s="170"/>
      <c r="B21" s="159"/>
      <c r="C21" s="158"/>
      <c r="D21" s="158"/>
      <c r="E21" s="158"/>
      <c r="F21" s="158"/>
      <c r="G21" s="158"/>
      <c r="H21" s="158"/>
      <c r="I21" s="158"/>
      <c r="J21" s="175"/>
      <c r="K21" s="176"/>
      <c r="L21" s="175"/>
      <c r="M21" s="175"/>
      <c r="N21" s="175"/>
      <c r="O21" s="175"/>
      <c r="P21" s="177"/>
      <c r="R21" s="160"/>
      <c r="S21" s="161"/>
      <c r="T21" s="161"/>
      <c r="U21" s="161"/>
      <c r="V21" s="161"/>
      <c r="W21" s="161"/>
      <c r="X21" s="161"/>
      <c r="Y21" s="166"/>
      <c r="Z21" s="166"/>
      <c r="AA21" s="161"/>
      <c r="AB21" s="161"/>
      <c r="AC21" s="160"/>
      <c r="AD21" s="160"/>
    </row>
    <row r="22" spans="1:30" s="165" customFormat="1" ht="36" customHeight="1">
      <c r="A22" s="170"/>
      <c r="B22" s="159"/>
      <c r="C22" s="178"/>
      <c r="D22" s="178"/>
      <c r="E22" s="178"/>
      <c r="F22" s="178"/>
      <c r="G22" s="178"/>
      <c r="H22" s="178"/>
      <c r="I22" s="178"/>
      <c r="J22" s="175"/>
      <c r="K22" s="176"/>
      <c r="L22" s="175"/>
      <c r="M22" s="175"/>
      <c r="N22" s="175"/>
      <c r="O22" s="175"/>
      <c r="P22" s="177"/>
      <c r="R22" s="160"/>
      <c r="S22" s="161"/>
      <c r="T22" s="161"/>
      <c r="U22" s="161"/>
      <c r="V22" s="161"/>
      <c r="W22" s="161"/>
      <c r="X22" s="161"/>
      <c r="Y22" s="166"/>
      <c r="Z22" s="166"/>
      <c r="AA22" s="161"/>
      <c r="AB22" s="161"/>
      <c r="AC22" s="160"/>
      <c r="AD22" s="160"/>
    </row>
    <row r="23" spans="1:30" s="165" customFormat="1" ht="36" customHeight="1">
      <c r="A23" s="170"/>
      <c r="B23" s="159"/>
      <c r="C23" s="178"/>
      <c r="D23" s="178"/>
      <c r="E23" s="178"/>
      <c r="F23" s="178"/>
      <c r="G23" s="178"/>
      <c r="H23" s="178"/>
      <c r="I23" s="178"/>
      <c r="J23" s="175"/>
      <c r="K23" s="176"/>
      <c r="L23" s="175"/>
      <c r="M23" s="175"/>
      <c r="N23" s="175"/>
      <c r="O23" s="175"/>
      <c r="P23" s="177"/>
      <c r="R23" s="160"/>
      <c r="S23" s="161"/>
      <c r="T23" s="161"/>
      <c r="U23" s="161"/>
      <c r="V23" s="161"/>
      <c r="W23" s="161"/>
      <c r="X23" s="161"/>
      <c r="Y23" s="166"/>
      <c r="Z23" s="166"/>
      <c r="AA23" s="161"/>
      <c r="AB23" s="161"/>
      <c r="AC23" s="160"/>
      <c r="AD23" s="160"/>
    </row>
    <row r="24" spans="1:30" s="165" customFormat="1" ht="36" customHeight="1">
      <c r="A24" s="170"/>
      <c r="B24" s="159"/>
      <c r="C24" s="178"/>
      <c r="D24" s="178"/>
      <c r="E24" s="178"/>
      <c r="F24" s="178"/>
      <c r="G24" s="178"/>
      <c r="H24" s="178"/>
      <c r="I24" s="178"/>
      <c r="J24" s="175"/>
      <c r="K24" s="176"/>
      <c r="L24" s="175"/>
      <c r="M24" s="175"/>
      <c r="N24" s="175"/>
      <c r="O24" s="175"/>
      <c r="P24" s="177"/>
      <c r="R24" s="160"/>
      <c r="S24" s="161"/>
      <c r="T24" s="161"/>
      <c r="U24" s="161"/>
      <c r="V24" s="161"/>
      <c r="W24" s="161"/>
      <c r="X24" s="161"/>
      <c r="Y24" s="166"/>
      <c r="Z24" s="166"/>
      <c r="AA24" s="161"/>
      <c r="AB24" s="161"/>
      <c r="AC24" s="160"/>
      <c r="AD24" s="160"/>
    </row>
    <row r="25" spans="1:30" s="165" customFormat="1" ht="36" customHeight="1">
      <c r="A25" s="170"/>
      <c r="B25" s="159"/>
      <c r="C25" s="178"/>
      <c r="D25" s="178"/>
      <c r="E25" s="178"/>
      <c r="F25" s="178"/>
      <c r="G25" s="178"/>
      <c r="H25" s="178"/>
      <c r="I25" s="178"/>
      <c r="J25" s="175"/>
      <c r="K25" s="176"/>
      <c r="L25" s="175"/>
      <c r="M25" s="175"/>
      <c r="N25" s="175"/>
      <c r="O25" s="175"/>
      <c r="P25" s="177"/>
      <c r="R25" s="160"/>
      <c r="S25" s="161"/>
      <c r="T25" s="161"/>
      <c r="U25" s="161"/>
      <c r="V25" s="161"/>
      <c r="W25" s="161"/>
      <c r="X25" s="161"/>
      <c r="Y25" s="166"/>
      <c r="Z25" s="166"/>
      <c r="AA25" s="161"/>
      <c r="AB25" s="161"/>
      <c r="AC25" s="160"/>
      <c r="AD25" s="160"/>
    </row>
    <row r="26" spans="1:30" s="165" customFormat="1" ht="36" customHeight="1">
      <c r="A26" s="170"/>
      <c r="B26" s="159"/>
      <c r="C26" s="178"/>
      <c r="D26" s="178"/>
      <c r="E26" s="178"/>
      <c r="F26" s="178"/>
      <c r="G26" s="178"/>
      <c r="H26" s="178"/>
      <c r="I26" s="178"/>
      <c r="J26" s="175"/>
      <c r="K26" s="176"/>
      <c r="L26" s="175"/>
      <c r="M26" s="175"/>
      <c r="N26" s="175"/>
      <c r="O26" s="175"/>
      <c r="P26" s="177"/>
      <c r="R26" s="160"/>
      <c r="S26" s="161"/>
      <c r="T26" s="161"/>
      <c r="U26" s="161"/>
      <c r="V26" s="161"/>
      <c r="W26" s="161"/>
      <c r="X26" s="161"/>
      <c r="Y26" s="166"/>
      <c r="Z26" s="166"/>
      <c r="AA26" s="161"/>
      <c r="AB26" s="161"/>
      <c r="AC26" s="160"/>
      <c r="AD26" s="160"/>
    </row>
    <row r="27" spans="1:30" s="165" customFormat="1" ht="36" customHeight="1">
      <c r="A27" s="170"/>
      <c r="B27" s="159"/>
      <c r="C27" s="178"/>
      <c r="D27" s="178"/>
      <c r="E27" s="178"/>
      <c r="F27" s="178"/>
      <c r="G27" s="178"/>
      <c r="H27" s="178"/>
      <c r="I27" s="178"/>
      <c r="J27" s="175"/>
      <c r="K27" s="176"/>
      <c r="L27" s="175"/>
      <c r="M27" s="175"/>
      <c r="N27" s="175"/>
      <c r="O27" s="175"/>
      <c r="P27" s="177"/>
      <c r="R27" s="160"/>
      <c r="S27" s="161"/>
      <c r="T27" s="161"/>
      <c r="U27" s="161"/>
      <c r="V27" s="161"/>
      <c r="W27" s="161"/>
      <c r="X27" s="161"/>
      <c r="Y27" s="166"/>
      <c r="Z27" s="166"/>
      <c r="AA27" s="161"/>
      <c r="AB27" s="161"/>
      <c r="AC27" s="160"/>
      <c r="AD27" s="160"/>
    </row>
    <row r="28" spans="1:30" s="165" customFormat="1" ht="36" customHeight="1">
      <c r="A28" s="170"/>
      <c r="B28" s="159"/>
      <c r="C28" s="178"/>
      <c r="D28" s="178"/>
      <c r="E28" s="178"/>
      <c r="F28" s="178"/>
      <c r="G28" s="178"/>
      <c r="H28" s="178"/>
      <c r="I28" s="178"/>
      <c r="J28" s="175"/>
      <c r="K28" s="176"/>
      <c r="L28" s="175"/>
      <c r="M28" s="175"/>
      <c r="N28" s="175"/>
      <c r="O28" s="175"/>
      <c r="P28" s="177"/>
      <c r="R28" s="160"/>
      <c r="S28" s="161"/>
      <c r="T28" s="161"/>
      <c r="U28" s="161"/>
      <c r="V28" s="161"/>
      <c r="W28" s="161"/>
      <c r="X28" s="161"/>
      <c r="Y28" s="166"/>
      <c r="Z28" s="166"/>
      <c r="AA28" s="161"/>
      <c r="AB28" s="161"/>
      <c r="AC28" s="160"/>
      <c r="AD28" s="160"/>
    </row>
    <row r="29" spans="1:30" s="165" customFormat="1" ht="36" customHeight="1">
      <c r="A29" s="170"/>
      <c r="B29" s="159"/>
      <c r="C29" s="178"/>
      <c r="D29" s="178"/>
      <c r="E29" s="178"/>
      <c r="F29" s="178"/>
      <c r="G29" s="178"/>
      <c r="H29" s="178"/>
      <c r="I29" s="178"/>
      <c r="J29" s="175"/>
      <c r="K29" s="176"/>
      <c r="L29" s="175"/>
      <c r="M29" s="175"/>
      <c r="N29" s="175"/>
      <c r="O29" s="175"/>
      <c r="P29" s="177"/>
      <c r="R29" s="160"/>
      <c r="S29" s="161"/>
      <c r="T29" s="161"/>
      <c r="U29" s="161"/>
      <c r="V29" s="161"/>
      <c r="W29" s="161"/>
      <c r="X29" s="161"/>
      <c r="Y29" s="166"/>
      <c r="Z29" s="166"/>
      <c r="AA29" s="161"/>
      <c r="AB29" s="161"/>
      <c r="AC29" s="160"/>
      <c r="AD29" s="160"/>
    </row>
    <row r="30" spans="25:26" ht="12.75">
      <c r="Y30" s="166"/>
      <c r="Z30" s="166"/>
    </row>
    <row r="31" spans="25:26" ht="12.75">
      <c r="Y31" s="166"/>
      <c r="Z31" s="166"/>
    </row>
    <row r="32" spans="25:26" ht="12.75">
      <c r="Y32" s="166"/>
      <c r="Z32" s="166"/>
    </row>
    <row r="33" spans="25:26" ht="12.75">
      <c r="Y33" s="166"/>
      <c r="Z33" s="166"/>
    </row>
    <row r="34" spans="25:26" ht="12.75">
      <c r="Y34" s="166"/>
      <c r="Z34" s="166"/>
    </row>
    <row r="35" spans="25:26" ht="12.75">
      <c r="Y35" s="166"/>
      <c r="Z35" s="166"/>
    </row>
    <row r="36" spans="25:26" ht="12.75">
      <c r="Y36" s="166"/>
      <c r="Z36" s="166"/>
    </row>
    <row r="37" spans="25:26" ht="12.75">
      <c r="Y37" s="166"/>
      <c r="Z37" s="166"/>
    </row>
    <row r="38" spans="25:26" ht="12.75">
      <c r="Y38" s="166"/>
      <c r="Z38" s="166"/>
    </row>
    <row r="39" spans="25:26" ht="12.75">
      <c r="Y39" s="166"/>
      <c r="Z39" s="166"/>
    </row>
    <row r="40" spans="25:26" ht="12.75">
      <c r="Y40" s="166"/>
      <c r="Z40" s="166"/>
    </row>
    <row r="41" spans="25:26" ht="12.75">
      <c r="Y41" s="166"/>
      <c r="Z41" s="166"/>
    </row>
    <row r="42" spans="25:26" ht="12.75">
      <c r="Y42" s="166"/>
      <c r="Z42" s="166"/>
    </row>
    <row r="43" spans="25:26" ht="12.75">
      <c r="Y43" s="166"/>
      <c r="Z43" s="166"/>
    </row>
    <row r="44" spans="25:26" ht="12.75">
      <c r="Y44" s="166"/>
      <c r="Z44" s="166"/>
    </row>
    <row r="45" spans="25:26" ht="12.75">
      <c r="Y45" s="166"/>
      <c r="Z45" s="166"/>
    </row>
    <row r="46" spans="25:26" ht="12.75">
      <c r="Y46" s="166"/>
      <c r="Z46" s="166"/>
    </row>
    <row r="47" spans="25:26" ht="12.75">
      <c r="Y47" s="166"/>
      <c r="Z47" s="166"/>
    </row>
    <row r="48" spans="25:26" ht="12.75">
      <c r="Y48" s="166"/>
      <c r="Z48" s="166"/>
    </row>
    <row r="49" spans="25:26" ht="12.75">
      <c r="Y49" s="166"/>
      <c r="Z49" s="166"/>
    </row>
    <row r="50" spans="25:26" ht="12.75">
      <c r="Y50" s="166"/>
      <c r="Z50" s="166"/>
    </row>
    <row r="51" spans="25:26" ht="12.75">
      <c r="Y51" s="166"/>
      <c r="Z51" s="166"/>
    </row>
    <row r="52" spans="25:26" ht="12.75">
      <c r="Y52" s="166"/>
      <c r="Z52" s="166"/>
    </row>
    <row r="53" spans="25:26" ht="12.75">
      <c r="Y53" s="166"/>
      <c r="Z53" s="166"/>
    </row>
    <row r="54" spans="25:26" ht="12.75">
      <c r="Y54" s="166"/>
      <c r="Z54" s="166"/>
    </row>
    <row r="55" spans="25:26" ht="12.75">
      <c r="Y55" s="166"/>
      <c r="Z55" s="166"/>
    </row>
    <row r="56" spans="25:26" ht="12.75">
      <c r="Y56" s="166"/>
      <c r="Z56" s="166"/>
    </row>
    <row r="57" spans="25:26" ht="12.75">
      <c r="Y57" s="166"/>
      <c r="Z57" s="166"/>
    </row>
    <row r="58" spans="25:26" ht="12.75">
      <c r="Y58" s="166"/>
      <c r="Z58" s="166"/>
    </row>
    <row r="59" spans="25:26" ht="12.75">
      <c r="Y59" s="166"/>
      <c r="Z59" s="166"/>
    </row>
    <row r="60" spans="25:26" ht="12.75">
      <c r="Y60" s="166"/>
      <c r="Z60" s="166"/>
    </row>
    <row r="61" spans="25:26" ht="12.75">
      <c r="Y61" s="166"/>
      <c r="Z61" s="166"/>
    </row>
    <row r="62" spans="25:26" ht="12.75">
      <c r="Y62" s="166"/>
      <c r="Z62" s="166"/>
    </row>
    <row r="63" spans="25:26" ht="12.75">
      <c r="Y63" s="166"/>
      <c r="Z63" s="166"/>
    </row>
    <row r="64" spans="25:26" ht="12.75">
      <c r="Y64" s="166"/>
      <c r="Z64" s="166"/>
    </row>
    <row r="65" spans="25:26" ht="12.75">
      <c r="Y65" s="166"/>
      <c r="Z65" s="166"/>
    </row>
    <row r="66" spans="25:26" ht="12.75">
      <c r="Y66" s="166"/>
      <c r="Z66" s="166"/>
    </row>
    <row r="67" spans="25:26" ht="12.75">
      <c r="Y67" s="166"/>
      <c r="Z67" s="166"/>
    </row>
    <row r="68" spans="25:26" ht="12.75">
      <c r="Y68" s="166"/>
      <c r="Z68" s="166"/>
    </row>
    <row r="69" spans="25:26" ht="12.75">
      <c r="Y69" s="166"/>
      <c r="Z69" s="166"/>
    </row>
    <row r="70" spans="25:26" ht="12.75">
      <c r="Y70" s="166"/>
      <c r="Z70" s="166"/>
    </row>
    <row r="71" spans="25:26" ht="12.75">
      <c r="Y71" s="166"/>
      <c r="Z71" s="166"/>
    </row>
    <row r="72" spans="25:26" ht="12.75">
      <c r="Y72" s="166"/>
      <c r="Z72" s="166"/>
    </row>
    <row r="73" spans="25:26" ht="12.75">
      <c r="Y73" s="166"/>
      <c r="Z73" s="166"/>
    </row>
    <row r="74" spans="25:26" ht="12.75">
      <c r="Y74" s="166"/>
      <c r="Z74" s="166"/>
    </row>
    <row r="75" spans="25:26" ht="12.75">
      <c r="Y75" s="166"/>
      <c r="Z75" s="166"/>
    </row>
    <row r="76" spans="25:26" ht="12.75">
      <c r="Y76" s="166"/>
      <c r="Z76" s="166"/>
    </row>
    <row r="77" spans="25:26" ht="12.75">
      <c r="Y77" s="166"/>
      <c r="Z77" s="166"/>
    </row>
    <row r="78" spans="25:26" ht="12.75">
      <c r="Y78" s="166"/>
      <c r="Z78" s="166"/>
    </row>
    <row r="79" spans="25:26" ht="12.75">
      <c r="Y79" s="166"/>
      <c r="Z79" s="166"/>
    </row>
    <row r="80" spans="25:26" ht="12.75">
      <c r="Y80" s="166"/>
      <c r="Z80" s="166"/>
    </row>
    <row r="81" spans="25:26" ht="12.75">
      <c r="Y81" s="166"/>
      <c r="Z81" s="166"/>
    </row>
    <row r="82" spans="25:26" ht="12.75">
      <c r="Y82" s="166"/>
      <c r="Z82" s="166"/>
    </row>
    <row r="83" spans="25:26" ht="12.75">
      <c r="Y83" s="166"/>
      <c r="Z83" s="166"/>
    </row>
    <row r="84" spans="25:26" ht="12.75">
      <c r="Y84" s="166"/>
      <c r="Z84" s="166"/>
    </row>
    <row r="85" spans="25:26" ht="12.75">
      <c r="Y85" s="166"/>
      <c r="Z85" s="166"/>
    </row>
    <row r="86" spans="25:26" ht="12.75">
      <c r="Y86" s="166"/>
      <c r="Z86" s="166"/>
    </row>
    <row r="87" spans="25:26" ht="12.75">
      <c r="Y87" s="166"/>
      <c r="Z87" s="166"/>
    </row>
    <row r="88" spans="25:26" ht="12.75">
      <c r="Y88" s="166"/>
      <c r="Z88" s="166"/>
    </row>
    <row r="89" spans="25:26" ht="12.75">
      <c r="Y89" s="166"/>
      <c r="Z89" s="166"/>
    </row>
    <row r="90" spans="25:26" ht="12.75">
      <c r="Y90" s="166"/>
      <c r="Z90" s="166"/>
    </row>
    <row r="91" spans="25:26" ht="12.75">
      <c r="Y91" s="166"/>
      <c r="Z91" s="166"/>
    </row>
    <row r="92" spans="25:26" ht="12.75">
      <c r="Y92" s="166"/>
      <c r="Z92" s="166"/>
    </row>
    <row r="93" spans="25:26" ht="12.75">
      <c r="Y93" s="166"/>
      <c r="Z93" s="166"/>
    </row>
    <row r="94" spans="25:26" ht="12.75">
      <c r="Y94" s="166"/>
      <c r="Z94" s="166"/>
    </row>
    <row r="95" spans="25:26" ht="12.75">
      <c r="Y95" s="166"/>
      <c r="Z95" s="166"/>
    </row>
    <row r="96" spans="25:26" ht="12.75">
      <c r="Y96" s="166"/>
      <c r="Z96" s="166"/>
    </row>
    <row r="97" spans="25:26" ht="12.75">
      <c r="Y97" s="166"/>
      <c r="Z97" s="166"/>
    </row>
    <row r="98" spans="25:26" ht="12.75">
      <c r="Y98" s="166"/>
      <c r="Z98" s="166"/>
    </row>
    <row r="99" spans="25:26" ht="12.75">
      <c r="Y99" s="166"/>
      <c r="Z99" s="166"/>
    </row>
    <row r="100" spans="25:26" ht="12.75">
      <c r="Y100" s="166"/>
      <c r="Z100" s="166"/>
    </row>
    <row r="101" spans="25:26" ht="12.75">
      <c r="Y101" s="166"/>
      <c r="Z101" s="166"/>
    </row>
    <row r="102" spans="25:26" ht="12.75">
      <c r="Y102" s="166"/>
      <c r="Z102" s="166"/>
    </row>
    <row r="103" spans="25:26" ht="12.75">
      <c r="Y103" s="166"/>
      <c r="Z103" s="166"/>
    </row>
    <row r="104" spans="25:26" ht="12.75">
      <c r="Y104" s="166"/>
      <c r="Z104" s="166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5" t="s">
        <v>175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2:14" ht="12.75">
      <c r="B3" s="365" t="s">
        <v>176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2:14" ht="12.75">
      <c r="B4" s="365" t="s">
        <v>46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2:14" ht="12.75"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2:14" ht="12.75">
      <c r="B6" s="365" t="s">
        <v>178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</row>
    <row r="7" spans="2:14" ht="12.75">
      <c r="B7" s="365" t="s">
        <v>177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</row>
    <row r="8" spans="2:14" ht="12.75"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</row>
    <row r="9" spans="2:14" ht="12.75">
      <c r="B9" s="365" t="s">
        <v>47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2:14" ht="12.75">
      <c r="B10" s="365" t="s">
        <v>180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spans="2:14" ht="12.75">
      <c r="B11" s="365" t="s">
        <v>48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</row>
    <row r="12" spans="2:14" ht="12.75">
      <c r="B12" s="365" t="s">
        <v>179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2:14" ht="12.75">
      <c r="B13" s="365" t="s">
        <v>49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</row>
    <row r="14" ht="12.75">
      <c r="B14" s="15"/>
    </row>
    <row r="15" ht="12.75">
      <c r="B15" s="15" t="s">
        <v>50</v>
      </c>
    </row>
    <row r="16" ht="12.75">
      <c r="B16" s="15"/>
    </row>
    <row r="17" ht="12.75">
      <c r="B17" s="15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6" t="s">
        <v>55</v>
      </c>
    </row>
    <row r="22" spans="2:3" ht="12.75">
      <c r="B22" t="s">
        <v>56</v>
      </c>
      <c r="C22" s="16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76</v>
      </c>
    </row>
    <row r="28" ht="12.75">
      <c r="G28" s="15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9.140625" defaultRowHeight="12.75" customHeight="1"/>
  <cols>
    <col min="1" max="1" width="9.7109375" style="222" customWidth="1"/>
    <col min="2" max="2" width="4.7109375" style="225" customWidth="1"/>
    <col min="3" max="3" width="4.7109375" style="226" customWidth="1"/>
    <col min="4" max="4" width="4.7109375" style="225" customWidth="1"/>
    <col min="5" max="5" width="4.7109375" style="226" customWidth="1"/>
    <col min="6" max="6" width="4.7109375" style="225" customWidth="1"/>
    <col min="7" max="7" width="4.7109375" style="226" customWidth="1"/>
    <col min="8" max="8" width="4.7109375" style="225" customWidth="1"/>
    <col min="9" max="9" width="4.7109375" style="226" customWidth="1"/>
    <col min="10" max="10" width="4.7109375" style="225" customWidth="1"/>
    <col min="11" max="11" width="7.28125" style="226" customWidth="1"/>
    <col min="12" max="13" width="9.140625" style="222" hidden="1" customWidth="1"/>
    <col min="14" max="14" width="0" style="222" hidden="1" customWidth="1"/>
    <col min="15" max="17" width="9.140625" style="222" hidden="1" customWidth="1"/>
    <col min="18" max="18" width="0" style="222" hidden="1" customWidth="1"/>
    <col min="19" max="16384" width="9.140625" style="222" customWidth="1"/>
  </cols>
  <sheetData>
    <row r="1" spans="1:13" s="216" customFormat="1" ht="25.5" customHeight="1">
      <c r="A1" s="212" t="s">
        <v>188</v>
      </c>
      <c r="B1" s="213">
        <v>4</v>
      </c>
      <c r="C1" s="214">
        <v>0</v>
      </c>
      <c r="D1" s="213">
        <v>0</v>
      </c>
      <c r="E1" s="214">
        <v>16</v>
      </c>
      <c r="F1" s="213">
        <v>2</v>
      </c>
      <c r="G1" s="214">
        <v>2</v>
      </c>
      <c r="H1" s="213">
        <v>4</v>
      </c>
      <c r="I1" s="214">
        <v>2</v>
      </c>
      <c r="J1" s="213">
        <v>2</v>
      </c>
      <c r="K1" s="214" t="s">
        <v>189</v>
      </c>
      <c r="L1" s="215">
        <f>K2+B2*B1+C2*C1+D2*D1+E2*E1+F2*F1+G2*G1+H2*H1+I2*I1+J2*J1</f>
        <v>630</v>
      </c>
      <c r="M1" s="215"/>
    </row>
    <row r="2" spans="1:17" ht="12.75" customHeight="1">
      <c r="A2" s="217" t="s">
        <v>77</v>
      </c>
      <c r="B2" s="218">
        <f>IF($A$2="Kilos",50,110)</f>
        <v>50</v>
      </c>
      <c r="C2" s="219">
        <f>IF($A$2="Kilos",45,100)</f>
        <v>45</v>
      </c>
      <c r="D2" s="218">
        <f>IF($A$2="Kilos",25,55)</f>
        <v>25</v>
      </c>
      <c r="E2" s="219">
        <f>IF($A$2="Kilos",20,45)</f>
        <v>20</v>
      </c>
      <c r="F2" s="218">
        <f>IF($A$2="Kilos",15,35)</f>
        <v>15</v>
      </c>
      <c r="G2" s="219">
        <f>IF($A$2="Kilos",10,25)</f>
        <v>10</v>
      </c>
      <c r="H2" s="218">
        <f>IF($A$2="Kilos",5,10)</f>
        <v>5</v>
      </c>
      <c r="I2" s="219">
        <f>IF($A$2="Kilos",2.5,5)</f>
        <v>2.5</v>
      </c>
      <c r="J2" s="218">
        <f>IF($A$2="Kilos",1.25,2.5)</f>
        <v>1.25</v>
      </c>
      <c r="K2" s="220">
        <v>32.5</v>
      </c>
      <c r="L2" s="221" t="s">
        <v>190</v>
      </c>
      <c r="M2" s="221"/>
      <c r="O2" s="222">
        <f>IF($A$2="Pounds",P2,Q2)</f>
        <v>20</v>
      </c>
      <c r="P2" s="222">
        <v>45</v>
      </c>
      <c r="Q2" s="222">
        <v>20</v>
      </c>
    </row>
    <row r="3" spans="1:17" ht="12.75" customHeight="1">
      <c r="A3" s="223" t="s">
        <v>191</v>
      </c>
      <c r="B3" s="218"/>
      <c r="C3" s="219"/>
      <c r="D3" s="218"/>
      <c r="E3" s="219"/>
      <c r="F3" s="218"/>
      <c r="G3" s="219"/>
      <c r="H3" s="218"/>
      <c r="I3" s="219"/>
      <c r="J3" s="218"/>
      <c r="K3" s="219"/>
      <c r="L3" s="221"/>
      <c r="M3" s="221" t="s">
        <v>192</v>
      </c>
      <c r="O3" s="222">
        <f>IF($A$2="Pounds",P3,Q3)</f>
        <v>22.5</v>
      </c>
      <c r="P3" s="222">
        <v>50</v>
      </c>
      <c r="Q3" s="222">
        <v>22.5</v>
      </c>
    </row>
    <row r="4" spans="1:17" ht="12.75" customHeight="1">
      <c r="A4" s="223">
        <f>IF(M4+$K$2&gt;$L$1,0,M4+$K$2)</f>
        <v>32.5</v>
      </c>
      <c r="B4" s="218">
        <f>IF(A4=0,0,MIN($B$1/2,INT(M4/(2*$B$2))))</f>
        <v>0</v>
      </c>
      <c r="C4" s="219">
        <f>IF(A4=0,0,MIN($C$1/2,INT(($M4-2*$B4*$B$2)/(2*$C$2))))</f>
        <v>0</v>
      </c>
      <c r="D4" s="218">
        <f>IF(A4=0,0,MIN($D$1/2,INT(($M4-2*$B4*$B$2-2*$C4*$C$2)/(2*$D$2))))</f>
        <v>0</v>
      </c>
      <c r="E4" s="219">
        <f>IF(A4=0,0,MIN($E$1/2,INT(($M4-2*$B4*$B$2-2*$C4*$C$2-2*$D4*$D$2)/(2*$E$2))))</f>
        <v>0</v>
      </c>
      <c r="F4" s="218">
        <f>IF(A4=0,0,MIN($F$1/2,INT(($M4-2*$B4*$B$2-2*$C4*$C$2-2*$D4*$D$2-2*$E4*$E$2)/(2*$F$2))))</f>
        <v>0</v>
      </c>
      <c r="G4" s="219">
        <f>IF(A4=0,0,MIN($G$1/2,INT(($M4-2*$B4*$B$2-2*$C4*$C$2-2*$D4*$D$2-2*$E4*$E$2-2*$F4*$F$2)/(2*$G$2))))</f>
        <v>0</v>
      </c>
      <c r="H4" s="218">
        <f>IF(A4=0,0,MIN($H$1/2,INT(($M4-2*$B4*$B$2-2*$C4*$C$2-2*$D4*$D$2-2*$E4*$E$2-2*$F4*$F$2-2*$G4*$G$2)/(2*$H$2))))</f>
        <v>0</v>
      </c>
      <c r="I4" s="219">
        <f>IF(A4=0,0,MIN($I$1/2,INT(($M4-2*$B4*$B$2-2*$C4*$C$2-2*$D4*$D$2-2*$E4*$E$2-2*$F4*$F$2-2*$G4*$G$2-2*$H4*$H$2)/(2*$I$2))))</f>
        <v>0</v>
      </c>
      <c r="J4" s="218">
        <f>IF(A4=0,0,MIN($J$1/2,INT(($M4-2*$B4*$B$2-2*$C4*$C$2-2*$D4*$D$2-2*$E4*$E$2-2*$F4*$F$2-2*$G4*$G$2-2*$H4*$H$2-2*$I4*$I$2)/(2*$J$2))))</f>
        <v>0</v>
      </c>
      <c r="K4" s="219"/>
      <c r="L4" s="221">
        <v>0</v>
      </c>
      <c r="M4" s="224">
        <v>0</v>
      </c>
      <c r="N4" s="222">
        <f>IF($K$2+2*(B4*$B$2+C4*$C$2+D4*$D$2+E4*$E$2+F4*$F$2+G4*$G$2+H4*$H$2+I4*$I$2+J4*$J$2)=A4,"","Not enough weight for this load")</f>
      </c>
      <c r="O4" s="222">
        <f>IF($A$2="Pounds",P4,Q4)</f>
        <v>25</v>
      </c>
      <c r="P4" s="222">
        <v>55</v>
      </c>
      <c r="Q4" s="222">
        <v>25</v>
      </c>
    </row>
    <row r="5" spans="1:17" ht="12.75" customHeight="1">
      <c r="A5" s="223">
        <f aca="true" t="shared" si="0" ref="A5:A68">IF(M5+$K$2&gt;$L$1,0,M5+$K$2)</f>
        <v>35</v>
      </c>
      <c r="B5" s="218">
        <f aca="true" t="shared" si="1" ref="B5:B68">IF(A5=0,0,MIN($B$1/2,INT(M5/(2*$B$2))))</f>
        <v>0</v>
      </c>
      <c r="C5" s="219">
        <f aca="true" t="shared" si="2" ref="C5:C68">IF(A5=0,0,MIN($C$1/2,INT(($M5-2*$B5*$B$2)/(2*$C$2))))</f>
        <v>0</v>
      </c>
      <c r="D5" s="218">
        <f aca="true" t="shared" si="3" ref="D5:D68">IF(A5=0,0,MIN($D$1/2,INT(($M5-2*$B5*$B$2-2*$C5*$C$2)/(2*$D$2))))</f>
        <v>0</v>
      </c>
      <c r="E5" s="219">
        <f aca="true" t="shared" si="4" ref="E5:E68">IF(A5=0,0,MIN($E$1/2,INT(($M5-2*$B5*$B$2-2*$C5*$C$2-2*$D5*$D$2)/(2*$E$2))))</f>
        <v>0</v>
      </c>
      <c r="F5" s="218">
        <f aca="true" t="shared" si="5" ref="F5:F68">IF(A5=0,0,MIN($F$1/2,INT(($M5-2*$B5*$B$2-2*$C5*$C$2-2*$D5*$D$2-2*$E5*$E$2)/(2*$F$2))))</f>
        <v>0</v>
      </c>
      <c r="G5" s="219">
        <f aca="true" t="shared" si="6" ref="G5:G68">IF(A5=0,0,MIN($G$1/2,INT(($M5-2*$B5*$B$2-2*$C5*$C$2-2*$D5*$D$2-2*$E5*$E$2-2*$F5*$F$2)/(2*$G$2))))</f>
        <v>0</v>
      </c>
      <c r="H5" s="218">
        <f aca="true" t="shared" si="7" ref="H5:H68">IF(A5=0,0,MIN($H$1/2,INT(($M5-2*$B5*$B$2-2*$C5*$C$2-2*$D5*$D$2-2*$E5*$E$2-2*$F5*$F$2-2*$G5*$G$2)/(2*$H$2))))</f>
        <v>0</v>
      </c>
      <c r="I5" s="219">
        <f aca="true" t="shared" si="8" ref="I5:I68">IF(A5=0,0,MIN($I$1/2,INT(($M5-2*$B5*$B$2-2*$C5*$C$2-2*$D5*$D$2-2*$E5*$E$2-2*$F5*$F$2-2*$G5*$G$2-2*$H5*$H$2)/(2*$I$2))))</f>
        <v>0</v>
      </c>
      <c r="J5" s="218">
        <f aca="true" t="shared" si="9" ref="J5:J68">IF(A5=0,0,MIN($J$1/2,INT(($M5-2*$B5*$B$2-2*$C5*$C$2-2*$D5*$D$2-2*$E5*$E$2-2*$F5*$F$2-2*$G5*$G$2-2*$H5*$H$2-2*$I5*$I$2)/(2*$J$2))))</f>
        <v>1</v>
      </c>
      <c r="K5" s="219"/>
      <c r="L5" s="221">
        <v>1</v>
      </c>
      <c r="M5" s="221">
        <f aca="true" t="shared" si="10" ref="M5:M68">IF($A$2="Pounds",5*L5,2.5*L5)</f>
        <v>2.5</v>
      </c>
      <c r="O5" s="222">
        <f>IF($A$2="Pounds",P5,Q5)</f>
        <v>30</v>
      </c>
      <c r="P5" s="222">
        <v>65</v>
      </c>
      <c r="Q5" s="222">
        <v>30</v>
      </c>
    </row>
    <row r="6" spans="1:17" ht="12.75" customHeight="1">
      <c r="A6" s="223">
        <f t="shared" si="0"/>
        <v>37.5</v>
      </c>
      <c r="B6" s="218">
        <f t="shared" si="1"/>
        <v>0</v>
      </c>
      <c r="C6" s="219">
        <f t="shared" si="2"/>
        <v>0</v>
      </c>
      <c r="D6" s="218">
        <f t="shared" si="3"/>
        <v>0</v>
      </c>
      <c r="E6" s="219">
        <f t="shared" si="4"/>
        <v>0</v>
      </c>
      <c r="F6" s="218">
        <f t="shared" si="5"/>
        <v>0</v>
      </c>
      <c r="G6" s="219">
        <f t="shared" si="6"/>
        <v>0</v>
      </c>
      <c r="H6" s="218">
        <f t="shared" si="7"/>
        <v>0</v>
      </c>
      <c r="I6" s="219">
        <f t="shared" si="8"/>
        <v>1</v>
      </c>
      <c r="J6" s="218">
        <f t="shared" si="9"/>
        <v>0</v>
      </c>
      <c r="K6" s="219"/>
      <c r="L6" s="221">
        <v>2</v>
      </c>
      <c r="M6" s="221">
        <f t="shared" si="10"/>
        <v>5</v>
      </c>
      <c r="O6" s="222">
        <f>IF($A$2="Pounds",P6,Q6)</f>
        <v>32.5</v>
      </c>
      <c r="P6" s="222">
        <v>70</v>
      </c>
      <c r="Q6" s="222">
        <v>32.5</v>
      </c>
    </row>
    <row r="7" spans="1:13" ht="12.75" customHeight="1">
      <c r="A7" s="223">
        <f t="shared" si="0"/>
        <v>40</v>
      </c>
      <c r="B7" s="218">
        <f t="shared" si="1"/>
        <v>0</v>
      </c>
      <c r="C7" s="219">
        <f t="shared" si="2"/>
        <v>0</v>
      </c>
      <c r="D7" s="218">
        <f t="shared" si="3"/>
        <v>0</v>
      </c>
      <c r="E7" s="219">
        <f t="shared" si="4"/>
        <v>0</v>
      </c>
      <c r="F7" s="218">
        <f t="shared" si="5"/>
        <v>0</v>
      </c>
      <c r="G7" s="219">
        <f t="shared" si="6"/>
        <v>0</v>
      </c>
      <c r="H7" s="218">
        <f t="shared" si="7"/>
        <v>0</v>
      </c>
      <c r="I7" s="219">
        <f t="shared" si="8"/>
        <v>1</v>
      </c>
      <c r="J7" s="218">
        <f t="shared" si="9"/>
        <v>1</v>
      </c>
      <c r="K7" s="219"/>
      <c r="L7" s="221">
        <v>3</v>
      </c>
      <c r="M7" s="221">
        <f t="shared" si="10"/>
        <v>7.5</v>
      </c>
    </row>
    <row r="8" spans="1:13" ht="12.75" customHeight="1">
      <c r="A8" s="223">
        <f t="shared" si="0"/>
        <v>42.5</v>
      </c>
      <c r="B8" s="218">
        <f t="shared" si="1"/>
        <v>0</v>
      </c>
      <c r="C8" s="219">
        <f t="shared" si="2"/>
        <v>0</v>
      </c>
      <c r="D8" s="218">
        <f t="shared" si="3"/>
        <v>0</v>
      </c>
      <c r="E8" s="219">
        <f t="shared" si="4"/>
        <v>0</v>
      </c>
      <c r="F8" s="218">
        <f t="shared" si="5"/>
        <v>0</v>
      </c>
      <c r="G8" s="219">
        <f t="shared" si="6"/>
        <v>0</v>
      </c>
      <c r="H8" s="218">
        <f t="shared" si="7"/>
        <v>1</v>
      </c>
      <c r="I8" s="219">
        <f t="shared" si="8"/>
        <v>0</v>
      </c>
      <c r="J8" s="218">
        <f t="shared" si="9"/>
        <v>0</v>
      </c>
      <c r="K8" s="219"/>
      <c r="L8" s="221">
        <v>4</v>
      </c>
      <c r="M8" s="221">
        <f t="shared" si="10"/>
        <v>10</v>
      </c>
    </row>
    <row r="9" spans="1:13" ht="12.75" customHeight="1">
      <c r="A9" s="223">
        <f t="shared" si="0"/>
        <v>45</v>
      </c>
      <c r="B9" s="218">
        <f t="shared" si="1"/>
        <v>0</v>
      </c>
      <c r="C9" s="219">
        <f t="shared" si="2"/>
        <v>0</v>
      </c>
      <c r="D9" s="218">
        <f t="shared" si="3"/>
        <v>0</v>
      </c>
      <c r="E9" s="219">
        <f t="shared" si="4"/>
        <v>0</v>
      </c>
      <c r="F9" s="218">
        <f t="shared" si="5"/>
        <v>0</v>
      </c>
      <c r="G9" s="219">
        <f t="shared" si="6"/>
        <v>0</v>
      </c>
      <c r="H9" s="218">
        <f t="shared" si="7"/>
        <v>1</v>
      </c>
      <c r="I9" s="219">
        <f t="shared" si="8"/>
        <v>0</v>
      </c>
      <c r="J9" s="218">
        <f t="shared" si="9"/>
        <v>1</v>
      </c>
      <c r="K9" s="219"/>
      <c r="L9" s="221">
        <v>5</v>
      </c>
      <c r="M9" s="221">
        <f t="shared" si="10"/>
        <v>12.5</v>
      </c>
    </row>
    <row r="10" spans="1:13" ht="12.75" customHeight="1">
      <c r="A10" s="223">
        <f t="shared" si="0"/>
        <v>47.5</v>
      </c>
      <c r="B10" s="218">
        <f t="shared" si="1"/>
        <v>0</v>
      </c>
      <c r="C10" s="219">
        <f t="shared" si="2"/>
        <v>0</v>
      </c>
      <c r="D10" s="218">
        <f t="shared" si="3"/>
        <v>0</v>
      </c>
      <c r="E10" s="219">
        <f t="shared" si="4"/>
        <v>0</v>
      </c>
      <c r="F10" s="218">
        <f t="shared" si="5"/>
        <v>0</v>
      </c>
      <c r="G10" s="219">
        <f t="shared" si="6"/>
        <v>0</v>
      </c>
      <c r="H10" s="218">
        <f t="shared" si="7"/>
        <v>1</v>
      </c>
      <c r="I10" s="219">
        <f t="shared" si="8"/>
        <v>1</v>
      </c>
      <c r="J10" s="218">
        <f t="shared" si="9"/>
        <v>0</v>
      </c>
      <c r="K10" s="219"/>
      <c r="L10" s="221">
        <v>6</v>
      </c>
      <c r="M10" s="221">
        <f t="shared" si="10"/>
        <v>15</v>
      </c>
    </row>
    <row r="11" spans="1:13" ht="12.75" customHeight="1">
      <c r="A11" s="223">
        <f t="shared" si="0"/>
        <v>50</v>
      </c>
      <c r="B11" s="218">
        <f t="shared" si="1"/>
        <v>0</v>
      </c>
      <c r="C11" s="219">
        <f t="shared" si="2"/>
        <v>0</v>
      </c>
      <c r="D11" s="218">
        <f t="shared" si="3"/>
        <v>0</v>
      </c>
      <c r="E11" s="219">
        <f t="shared" si="4"/>
        <v>0</v>
      </c>
      <c r="F11" s="218">
        <f t="shared" si="5"/>
        <v>0</v>
      </c>
      <c r="G11" s="219">
        <f t="shared" si="6"/>
        <v>0</v>
      </c>
      <c r="H11" s="218">
        <f t="shared" si="7"/>
        <v>1</v>
      </c>
      <c r="I11" s="219">
        <f t="shared" si="8"/>
        <v>1</v>
      </c>
      <c r="J11" s="218">
        <f t="shared" si="9"/>
        <v>1</v>
      </c>
      <c r="K11" s="219"/>
      <c r="L11" s="221">
        <v>7</v>
      </c>
      <c r="M11" s="221">
        <f t="shared" si="10"/>
        <v>17.5</v>
      </c>
    </row>
    <row r="12" spans="1:13" ht="12.75" customHeight="1">
      <c r="A12" s="223">
        <f t="shared" si="0"/>
        <v>52.5</v>
      </c>
      <c r="B12" s="218">
        <f t="shared" si="1"/>
        <v>0</v>
      </c>
      <c r="C12" s="219">
        <f t="shared" si="2"/>
        <v>0</v>
      </c>
      <c r="D12" s="218">
        <f t="shared" si="3"/>
        <v>0</v>
      </c>
      <c r="E12" s="219">
        <f t="shared" si="4"/>
        <v>0</v>
      </c>
      <c r="F12" s="218">
        <f t="shared" si="5"/>
        <v>0</v>
      </c>
      <c r="G12" s="219">
        <f t="shared" si="6"/>
        <v>1</v>
      </c>
      <c r="H12" s="218">
        <f t="shared" si="7"/>
        <v>0</v>
      </c>
      <c r="I12" s="219">
        <f t="shared" si="8"/>
        <v>0</v>
      </c>
      <c r="J12" s="218">
        <f t="shared" si="9"/>
        <v>0</v>
      </c>
      <c r="K12" s="219"/>
      <c r="L12" s="221">
        <v>8</v>
      </c>
      <c r="M12" s="221">
        <f t="shared" si="10"/>
        <v>20</v>
      </c>
    </row>
    <row r="13" spans="1:13" ht="12.75" customHeight="1">
      <c r="A13" s="223">
        <f t="shared" si="0"/>
        <v>55</v>
      </c>
      <c r="B13" s="218">
        <f t="shared" si="1"/>
        <v>0</v>
      </c>
      <c r="C13" s="219">
        <f t="shared" si="2"/>
        <v>0</v>
      </c>
      <c r="D13" s="218">
        <f t="shared" si="3"/>
        <v>0</v>
      </c>
      <c r="E13" s="219">
        <f t="shared" si="4"/>
        <v>0</v>
      </c>
      <c r="F13" s="218">
        <f t="shared" si="5"/>
        <v>0</v>
      </c>
      <c r="G13" s="219">
        <f t="shared" si="6"/>
        <v>1</v>
      </c>
      <c r="H13" s="218">
        <f t="shared" si="7"/>
        <v>0</v>
      </c>
      <c r="I13" s="219">
        <f t="shared" si="8"/>
        <v>0</v>
      </c>
      <c r="J13" s="218">
        <f t="shared" si="9"/>
        <v>1</v>
      </c>
      <c r="K13" s="219"/>
      <c r="L13" s="221">
        <f aca="true" t="shared" si="11" ref="L13:L76">L12+1</f>
        <v>9</v>
      </c>
      <c r="M13" s="221">
        <f t="shared" si="10"/>
        <v>22.5</v>
      </c>
    </row>
    <row r="14" spans="1:13" ht="12.75" customHeight="1">
      <c r="A14" s="223">
        <f t="shared" si="0"/>
        <v>57.5</v>
      </c>
      <c r="B14" s="218">
        <f t="shared" si="1"/>
        <v>0</v>
      </c>
      <c r="C14" s="219">
        <f t="shared" si="2"/>
        <v>0</v>
      </c>
      <c r="D14" s="218">
        <f t="shared" si="3"/>
        <v>0</v>
      </c>
      <c r="E14" s="219">
        <f t="shared" si="4"/>
        <v>0</v>
      </c>
      <c r="F14" s="218">
        <f t="shared" si="5"/>
        <v>0</v>
      </c>
      <c r="G14" s="219">
        <f t="shared" si="6"/>
        <v>1</v>
      </c>
      <c r="H14" s="218">
        <f t="shared" si="7"/>
        <v>0</v>
      </c>
      <c r="I14" s="219">
        <f t="shared" si="8"/>
        <v>1</v>
      </c>
      <c r="J14" s="218">
        <f t="shared" si="9"/>
        <v>0</v>
      </c>
      <c r="K14" s="219"/>
      <c r="L14" s="221">
        <f t="shared" si="11"/>
        <v>10</v>
      </c>
      <c r="M14" s="221">
        <f t="shared" si="10"/>
        <v>25</v>
      </c>
    </row>
    <row r="15" spans="1:13" ht="12.75" customHeight="1">
      <c r="A15" s="223">
        <f t="shared" si="0"/>
        <v>60</v>
      </c>
      <c r="B15" s="218">
        <f t="shared" si="1"/>
        <v>0</v>
      </c>
      <c r="C15" s="219">
        <f t="shared" si="2"/>
        <v>0</v>
      </c>
      <c r="D15" s="218">
        <f t="shared" si="3"/>
        <v>0</v>
      </c>
      <c r="E15" s="219">
        <f t="shared" si="4"/>
        <v>0</v>
      </c>
      <c r="F15" s="218">
        <f t="shared" si="5"/>
        <v>0</v>
      </c>
      <c r="G15" s="219">
        <f t="shared" si="6"/>
        <v>1</v>
      </c>
      <c r="H15" s="218">
        <f t="shared" si="7"/>
        <v>0</v>
      </c>
      <c r="I15" s="219">
        <f t="shared" si="8"/>
        <v>1</v>
      </c>
      <c r="J15" s="218">
        <f t="shared" si="9"/>
        <v>1</v>
      </c>
      <c r="K15" s="219"/>
      <c r="L15" s="221">
        <f t="shared" si="11"/>
        <v>11</v>
      </c>
      <c r="M15" s="221">
        <f t="shared" si="10"/>
        <v>27.5</v>
      </c>
    </row>
    <row r="16" spans="1:13" ht="12.75" customHeight="1">
      <c r="A16" s="223">
        <f t="shared" si="0"/>
        <v>62.5</v>
      </c>
      <c r="B16" s="218">
        <f t="shared" si="1"/>
        <v>0</v>
      </c>
      <c r="C16" s="219">
        <f t="shared" si="2"/>
        <v>0</v>
      </c>
      <c r="D16" s="218">
        <f t="shared" si="3"/>
        <v>0</v>
      </c>
      <c r="E16" s="219">
        <f t="shared" si="4"/>
        <v>0</v>
      </c>
      <c r="F16" s="218">
        <f t="shared" si="5"/>
        <v>1</v>
      </c>
      <c r="G16" s="219">
        <f t="shared" si="6"/>
        <v>0</v>
      </c>
      <c r="H16" s="218">
        <f t="shared" si="7"/>
        <v>0</v>
      </c>
      <c r="I16" s="219">
        <f t="shared" si="8"/>
        <v>0</v>
      </c>
      <c r="J16" s="218">
        <f t="shared" si="9"/>
        <v>0</v>
      </c>
      <c r="K16" s="219"/>
      <c r="L16" s="221">
        <f t="shared" si="11"/>
        <v>12</v>
      </c>
      <c r="M16" s="221">
        <f t="shared" si="10"/>
        <v>30</v>
      </c>
    </row>
    <row r="17" spans="1:13" ht="12.75" customHeight="1">
      <c r="A17" s="223">
        <f t="shared" si="0"/>
        <v>65</v>
      </c>
      <c r="B17" s="218">
        <f t="shared" si="1"/>
        <v>0</v>
      </c>
      <c r="C17" s="219">
        <f t="shared" si="2"/>
        <v>0</v>
      </c>
      <c r="D17" s="218">
        <f t="shared" si="3"/>
        <v>0</v>
      </c>
      <c r="E17" s="219">
        <f t="shared" si="4"/>
        <v>0</v>
      </c>
      <c r="F17" s="218">
        <f t="shared" si="5"/>
        <v>1</v>
      </c>
      <c r="G17" s="219">
        <f t="shared" si="6"/>
        <v>0</v>
      </c>
      <c r="H17" s="218">
        <f t="shared" si="7"/>
        <v>0</v>
      </c>
      <c r="I17" s="219">
        <f t="shared" si="8"/>
        <v>0</v>
      </c>
      <c r="J17" s="218">
        <f t="shared" si="9"/>
        <v>1</v>
      </c>
      <c r="K17" s="219"/>
      <c r="L17" s="221">
        <f t="shared" si="11"/>
        <v>13</v>
      </c>
      <c r="M17" s="221">
        <f t="shared" si="10"/>
        <v>32.5</v>
      </c>
    </row>
    <row r="18" spans="1:13" ht="12.75" customHeight="1">
      <c r="A18" s="223">
        <f t="shared" si="0"/>
        <v>67.5</v>
      </c>
      <c r="B18" s="218">
        <f t="shared" si="1"/>
        <v>0</v>
      </c>
      <c r="C18" s="219">
        <f t="shared" si="2"/>
        <v>0</v>
      </c>
      <c r="D18" s="218">
        <f t="shared" si="3"/>
        <v>0</v>
      </c>
      <c r="E18" s="219">
        <f t="shared" si="4"/>
        <v>0</v>
      </c>
      <c r="F18" s="218">
        <f t="shared" si="5"/>
        <v>1</v>
      </c>
      <c r="G18" s="219">
        <f t="shared" si="6"/>
        <v>0</v>
      </c>
      <c r="H18" s="218">
        <f t="shared" si="7"/>
        <v>0</v>
      </c>
      <c r="I18" s="219">
        <f t="shared" si="8"/>
        <v>1</v>
      </c>
      <c r="J18" s="218">
        <f t="shared" si="9"/>
        <v>0</v>
      </c>
      <c r="K18" s="219"/>
      <c r="L18" s="221">
        <f t="shared" si="11"/>
        <v>14</v>
      </c>
      <c r="M18" s="221">
        <f t="shared" si="10"/>
        <v>35</v>
      </c>
    </row>
    <row r="19" spans="1:13" ht="12.75" customHeight="1">
      <c r="A19" s="223">
        <f t="shared" si="0"/>
        <v>70</v>
      </c>
      <c r="B19" s="218">
        <f t="shared" si="1"/>
        <v>0</v>
      </c>
      <c r="C19" s="219">
        <f t="shared" si="2"/>
        <v>0</v>
      </c>
      <c r="D19" s="218">
        <f t="shared" si="3"/>
        <v>0</v>
      </c>
      <c r="E19" s="219">
        <f t="shared" si="4"/>
        <v>0</v>
      </c>
      <c r="F19" s="218">
        <f t="shared" si="5"/>
        <v>1</v>
      </c>
      <c r="G19" s="219">
        <f t="shared" si="6"/>
        <v>0</v>
      </c>
      <c r="H19" s="218">
        <f t="shared" si="7"/>
        <v>0</v>
      </c>
      <c r="I19" s="219">
        <f t="shared" si="8"/>
        <v>1</v>
      </c>
      <c r="J19" s="218">
        <f t="shared" si="9"/>
        <v>1</v>
      </c>
      <c r="K19" s="219"/>
      <c r="L19" s="221">
        <f t="shared" si="11"/>
        <v>15</v>
      </c>
      <c r="M19" s="221">
        <f t="shared" si="10"/>
        <v>37.5</v>
      </c>
    </row>
    <row r="20" spans="1:13" ht="12.75" customHeight="1">
      <c r="A20" s="223">
        <f t="shared" si="0"/>
        <v>72.5</v>
      </c>
      <c r="B20" s="218">
        <f t="shared" si="1"/>
        <v>0</v>
      </c>
      <c r="C20" s="219">
        <f t="shared" si="2"/>
        <v>0</v>
      </c>
      <c r="D20" s="218">
        <f t="shared" si="3"/>
        <v>0</v>
      </c>
      <c r="E20" s="219">
        <f t="shared" si="4"/>
        <v>1</v>
      </c>
      <c r="F20" s="218">
        <f t="shared" si="5"/>
        <v>0</v>
      </c>
      <c r="G20" s="219">
        <f t="shared" si="6"/>
        <v>0</v>
      </c>
      <c r="H20" s="218">
        <f t="shared" si="7"/>
        <v>0</v>
      </c>
      <c r="I20" s="219">
        <f t="shared" si="8"/>
        <v>0</v>
      </c>
      <c r="J20" s="218">
        <f t="shared" si="9"/>
        <v>0</v>
      </c>
      <c r="K20" s="219"/>
      <c r="L20" s="221">
        <f t="shared" si="11"/>
        <v>16</v>
      </c>
      <c r="M20" s="221">
        <f t="shared" si="10"/>
        <v>40</v>
      </c>
    </row>
    <row r="21" spans="1:13" ht="12.75" customHeight="1">
      <c r="A21" s="223">
        <f t="shared" si="0"/>
        <v>75</v>
      </c>
      <c r="B21" s="218">
        <f t="shared" si="1"/>
        <v>0</v>
      </c>
      <c r="C21" s="219">
        <f t="shared" si="2"/>
        <v>0</v>
      </c>
      <c r="D21" s="218">
        <f t="shared" si="3"/>
        <v>0</v>
      </c>
      <c r="E21" s="219">
        <f t="shared" si="4"/>
        <v>1</v>
      </c>
      <c r="F21" s="218">
        <f t="shared" si="5"/>
        <v>0</v>
      </c>
      <c r="G21" s="219">
        <f t="shared" si="6"/>
        <v>0</v>
      </c>
      <c r="H21" s="218">
        <f t="shared" si="7"/>
        <v>0</v>
      </c>
      <c r="I21" s="219">
        <f t="shared" si="8"/>
        <v>0</v>
      </c>
      <c r="J21" s="218">
        <f t="shared" si="9"/>
        <v>1</v>
      </c>
      <c r="K21" s="219"/>
      <c r="L21" s="221">
        <f t="shared" si="11"/>
        <v>17</v>
      </c>
      <c r="M21" s="221">
        <f t="shared" si="10"/>
        <v>42.5</v>
      </c>
    </row>
    <row r="22" spans="1:13" ht="12.75" customHeight="1">
      <c r="A22" s="223">
        <f t="shared" si="0"/>
        <v>77.5</v>
      </c>
      <c r="B22" s="218">
        <f t="shared" si="1"/>
        <v>0</v>
      </c>
      <c r="C22" s="219">
        <f t="shared" si="2"/>
        <v>0</v>
      </c>
      <c r="D22" s="218">
        <f t="shared" si="3"/>
        <v>0</v>
      </c>
      <c r="E22" s="219">
        <f t="shared" si="4"/>
        <v>1</v>
      </c>
      <c r="F22" s="218">
        <f t="shared" si="5"/>
        <v>0</v>
      </c>
      <c r="G22" s="219">
        <f t="shared" si="6"/>
        <v>0</v>
      </c>
      <c r="H22" s="218">
        <f t="shared" si="7"/>
        <v>0</v>
      </c>
      <c r="I22" s="219">
        <f t="shared" si="8"/>
        <v>1</v>
      </c>
      <c r="J22" s="218">
        <f t="shared" si="9"/>
        <v>0</v>
      </c>
      <c r="K22" s="219"/>
      <c r="L22" s="221">
        <f t="shared" si="11"/>
        <v>18</v>
      </c>
      <c r="M22" s="221">
        <f t="shared" si="10"/>
        <v>45</v>
      </c>
    </row>
    <row r="23" spans="1:13" ht="12.75" customHeight="1">
      <c r="A23" s="223">
        <f t="shared" si="0"/>
        <v>80</v>
      </c>
      <c r="B23" s="218">
        <f t="shared" si="1"/>
        <v>0</v>
      </c>
      <c r="C23" s="219">
        <f t="shared" si="2"/>
        <v>0</v>
      </c>
      <c r="D23" s="218">
        <f t="shared" si="3"/>
        <v>0</v>
      </c>
      <c r="E23" s="219">
        <f t="shared" si="4"/>
        <v>1</v>
      </c>
      <c r="F23" s="218">
        <f t="shared" si="5"/>
        <v>0</v>
      </c>
      <c r="G23" s="219">
        <f t="shared" si="6"/>
        <v>0</v>
      </c>
      <c r="H23" s="218">
        <f t="shared" si="7"/>
        <v>0</v>
      </c>
      <c r="I23" s="219">
        <f t="shared" si="8"/>
        <v>1</v>
      </c>
      <c r="J23" s="218">
        <f t="shared" si="9"/>
        <v>1</v>
      </c>
      <c r="K23" s="219"/>
      <c r="L23" s="221">
        <f t="shared" si="11"/>
        <v>19</v>
      </c>
      <c r="M23" s="221">
        <f t="shared" si="10"/>
        <v>47.5</v>
      </c>
    </row>
    <row r="24" spans="1:13" ht="12.75" customHeight="1">
      <c r="A24" s="223">
        <f t="shared" si="0"/>
        <v>82.5</v>
      </c>
      <c r="B24" s="218">
        <f t="shared" si="1"/>
        <v>0</v>
      </c>
      <c r="C24" s="219">
        <f t="shared" si="2"/>
        <v>0</v>
      </c>
      <c r="D24" s="218">
        <f t="shared" si="3"/>
        <v>0</v>
      </c>
      <c r="E24" s="219">
        <f t="shared" si="4"/>
        <v>1</v>
      </c>
      <c r="F24" s="218">
        <f t="shared" si="5"/>
        <v>0</v>
      </c>
      <c r="G24" s="219">
        <f t="shared" si="6"/>
        <v>0</v>
      </c>
      <c r="H24" s="218">
        <f t="shared" si="7"/>
        <v>1</v>
      </c>
      <c r="I24" s="219">
        <f t="shared" si="8"/>
        <v>0</v>
      </c>
      <c r="J24" s="218">
        <f t="shared" si="9"/>
        <v>0</v>
      </c>
      <c r="K24" s="219"/>
      <c r="L24" s="221">
        <f t="shared" si="11"/>
        <v>20</v>
      </c>
      <c r="M24" s="221">
        <f t="shared" si="10"/>
        <v>50</v>
      </c>
    </row>
    <row r="25" spans="1:13" ht="12.75" customHeight="1">
      <c r="A25" s="223">
        <f t="shared" si="0"/>
        <v>85</v>
      </c>
      <c r="B25" s="218">
        <f t="shared" si="1"/>
        <v>0</v>
      </c>
      <c r="C25" s="219">
        <f t="shared" si="2"/>
        <v>0</v>
      </c>
      <c r="D25" s="218">
        <f t="shared" si="3"/>
        <v>0</v>
      </c>
      <c r="E25" s="219">
        <f t="shared" si="4"/>
        <v>1</v>
      </c>
      <c r="F25" s="218">
        <f t="shared" si="5"/>
        <v>0</v>
      </c>
      <c r="G25" s="219">
        <f t="shared" si="6"/>
        <v>0</v>
      </c>
      <c r="H25" s="218">
        <f t="shared" si="7"/>
        <v>1</v>
      </c>
      <c r="I25" s="219">
        <f t="shared" si="8"/>
        <v>0</v>
      </c>
      <c r="J25" s="218">
        <f t="shared" si="9"/>
        <v>1</v>
      </c>
      <c r="K25" s="219"/>
      <c r="L25" s="221">
        <f t="shared" si="11"/>
        <v>21</v>
      </c>
      <c r="M25" s="221">
        <f t="shared" si="10"/>
        <v>52.5</v>
      </c>
    </row>
    <row r="26" spans="1:13" ht="12.75" customHeight="1">
      <c r="A26" s="223">
        <f t="shared" si="0"/>
        <v>87.5</v>
      </c>
      <c r="B26" s="218">
        <f t="shared" si="1"/>
        <v>0</v>
      </c>
      <c r="C26" s="219">
        <f t="shared" si="2"/>
        <v>0</v>
      </c>
      <c r="D26" s="218">
        <f t="shared" si="3"/>
        <v>0</v>
      </c>
      <c r="E26" s="219">
        <f t="shared" si="4"/>
        <v>1</v>
      </c>
      <c r="F26" s="218">
        <f t="shared" si="5"/>
        <v>0</v>
      </c>
      <c r="G26" s="219">
        <f t="shared" si="6"/>
        <v>0</v>
      </c>
      <c r="H26" s="218">
        <f t="shared" si="7"/>
        <v>1</v>
      </c>
      <c r="I26" s="219">
        <f t="shared" si="8"/>
        <v>1</v>
      </c>
      <c r="J26" s="218">
        <f t="shared" si="9"/>
        <v>0</v>
      </c>
      <c r="K26" s="219"/>
      <c r="L26" s="221">
        <f t="shared" si="11"/>
        <v>22</v>
      </c>
      <c r="M26" s="221">
        <f t="shared" si="10"/>
        <v>55</v>
      </c>
    </row>
    <row r="27" spans="1:13" ht="12.75" customHeight="1">
      <c r="A27" s="223">
        <f t="shared" si="0"/>
        <v>90</v>
      </c>
      <c r="B27" s="218">
        <f t="shared" si="1"/>
        <v>0</v>
      </c>
      <c r="C27" s="219">
        <f t="shared" si="2"/>
        <v>0</v>
      </c>
      <c r="D27" s="218">
        <f t="shared" si="3"/>
        <v>0</v>
      </c>
      <c r="E27" s="219">
        <f t="shared" si="4"/>
        <v>1</v>
      </c>
      <c r="F27" s="218">
        <f t="shared" si="5"/>
        <v>0</v>
      </c>
      <c r="G27" s="219">
        <f t="shared" si="6"/>
        <v>0</v>
      </c>
      <c r="H27" s="218">
        <f t="shared" si="7"/>
        <v>1</v>
      </c>
      <c r="I27" s="219">
        <f t="shared" si="8"/>
        <v>1</v>
      </c>
      <c r="J27" s="218">
        <f t="shared" si="9"/>
        <v>1</v>
      </c>
      <c r="K27" s="219"/>
      <c r="L27" s="221">
        <f t="shared" si="11"/>
        <v>23</v>
      </c>
      <c r="M27" s="221">
        <f t="shared" si="10"/>
        <v>57.5</v>
      </c>
    </row>
    <row r="28" spans="1:13" ht="12.75" customHeight="1">
      <c r="A28" s="223">
        <f t="shared" si="0"/>
        <v>92.5</v>
      </c>
      <c r="B28" s="218">
        <f t="shared" si="1"/>
        <v>0</v>
      </c>
      <c r="C28" s="219">
        <f t="shared" si="2"/>
        <v>0</v>
      </c>
      <c r="D28" s="218">
        <f t="shared" si="3"/>
        <v>0</v>
      </c>
      <c r="E28" s="219">
        <f t="shared" si="4"/>
        <v>1</v>
      </c>
      <c r="F28" s="218">
        <f t="shared" si="5"/>
        <v>0</v>
      </c>
      <c r="G28" s="219">
        <f t="shared" si="6"/>
        <v>1</v>
      </c>
      <c r="H28" s="218">
        <f t="shared" si="7"/>
        <v>0</v>
      </c>
      <c r="I28" s="219">
        <f t="shared" si="8"/>
        <v>0</v>
      </c>
      <c r="J28" s="218">
        <f t="shared" si="9"/>
        <v>0</v>
      </c>
      <c r="K28" s="219"/>
      <c r="L28" s="221">
        <f t="shared" si="11"/>
        <v>24</v>
      </c>
      <c r="M28" s="221">
        <f t="shared" si="10"/>
        <v>60</v>
      </c>
    </row>
    <row r="29" spans="1:13" ht="12.75" customHeight="1">
      <c r="A29" s="223">
        <f t="shared" si="0"/>
        <v>95</v>
      </c>
      <c r="B29" s="218">
        <f t="shared" si="1"/>
        <v>0</v>
      </c>
      <c r="C29" s="219">
        <f t="shared" si="2"/>
        <v>0</v>
      </c>
      <c r="D29" s="218">
        <f t="shared" si="3"/>
        <v>0</v>
      </c>
      <c r="E29" s="219">
        <f t="shared" si="4"/>
        <v>1</v>
      </c>
      <c r="F29" s="218">
        <f t="shared" si="5"/>
        <v>0</v>
      </c>
      <c r="G29" s="219">
        <f t="shared" si="6"/>
        <v>1</v>
      </c>
      <c r="H29" s="218">
        <f t="shared" si="7"/>
        <v>0</v>
      </c>
      <c r="I29" s="219">
        <f t="shared" si="8"/>
        <v>0</v>
      </c>
      <c r="J29" s="218">
        <f t="shared" si="9"/>
        <v>1</v>
      </c>
      <c r="K29" s="219"/>
      <c r="L29" s="221">
        <f t="shared" si="11"/>
        <v>25</v>
      </c>
      <c r="M29" s="221">
        <f t="shared" si="10"/>
        <v>62.5</v>
      </c>
    </row>
    <row r="30" spans="1:13" ht="12.75" customHeight="1">
      <c r="A30" s="223">
        <f t="shared" si="0"/>
        <v>97.5</v>
      </c>
      <c r="B30" s="218">
        <f t="shared" si="1"/>
        <v>0</v>
      </c>
      <c r="C30" s="219">
        <f t="shared" si="2"/>
        <v>0</v>
      </c>
      <c r="D30" s="218">
        <f t="shared" si="3"/>
        <v>0</v>
      </c>
      <c r="E30" s="219">
        <f t="shared" si="4"/>
        <v>1</v>
      </c>
      <c r="F30" s="218">
        <f t="shared" si="5"/>
        <v>0</v>
      </c>
      <c r="G30" s="219">
        <f t="shared" si="6"/>
        <v>1</v>
      </c>
      <c r="H30" s="218">
        <f t="shared" si="7"/>
        <v>0</v>
      </c>
      <c r="I30" s="219">
        <f t="shared" si="8"/>
        <v>1</v>
      </c>
      <c r="J30" s="218">
        <f t="shared" si="9"/>
        <v>0</v>
      </c>
      <c r="K30" s="219"/>
      <c r="L30" s="221">
        <f t="shared" si="11"/>
        <v>26</v>
      </c>
      <c r="M30" s="221">
        <f t="shared" si="10"/>
        <v>65</v>
      </c>
    </row>
    <row r="31" spans="1:13" ht="12.75" customHeight="1">
      <c r="A31" s="223">
        <f t="shared" si="0"/>
        <v>100</v>
      </c>
      <c r="B31" s="218">
        <f t="shared" si="1"/>
        <v>0</v>
      </c>
      <c r="C31" s="219">
        <f t="shared" si="2"/>
        <v>0</v>
      </c>
      <c r="D31" s="218">
        <f t="shared" si="3"/>
        <v>0</v>
      </c>
      <c r="E31" s="219">
        <f t="shared" si="4"/>
        <v>1</v>
      </c>
      <c r="F31" s="218">
        <f t="shared" si="5"/>
        <v>0</v>
      </c>
      <c r="G31" s="219">
        <f t="shared" si="6"/>
        <v>1</v>
      </c>
      <c r="H31" s="218">
        <f t="shared" si="7"/>
        <v>0</v>
      </c>
      <c r="I31" s="219">
        <f t="shared" si="8"/>
        <v>1</v>
      </c>
      <c r="J31" s="218">
        <f t="shared" si="9"/>
        <v>1</v>
      </c>
      <c r="K31" s="219"/>
      <c r="L31" s="221">
        <f t="shared" si="11"/>
        <v>27</v>
      </c>
      <c r="M31" s="221">
        <f t="shared" si="10"/>
        <v>67.5</v>
      </c>
    </row>
    <row r="32" spans="1:13" ht="12.75" customHeight="1">
      <c r="A32" s="223">
        <f t="shared" si="0"/>
        <v>102.5</v>
      </c>
      <c r="B32" s="218">
        <f t="shared" si="1"/>
        <v>0</v>
      </c>
      <c r="C32" s="219">
        <f t="shared" si="2"/>
        <v>0</v>
      </c>
      <c r="D32" s="218">
        <f t="shared" si="3"/>
        <v>0</v>
      </c>
      <c r="E32" s="219">
        <f t="shared" si="4"/>
        <v>1</v>
      </c>
      <c r="F32" s="218">
        <f t="shared" si="5"/>
        <v>1</v>
      </c>
      <c r="G32" s="219">
        <f t="shared" si="6"/>
        <v>0</v>
      </c>
      <c r="H32" s="218">
        <f t="shared" si="7"/>
        <v>0</v>
      </c>
      <c r="I32" s="219">
        <f t="shared" si="8"/>
        <v>0</v>
      </c>
      <c r="J32" s="218">
        <f t="shared" si="9"/>
        <v>0</v>
      </c>
      <c r="K32" s="219"/>
      <c r="L32" s="221">
        <f t="shared" si="11"/>
        <v>28</v>
      </c>
      <c r="M32" s="221">
        <f t="shared" si="10"/>
        <v>70</v>
      </c>
    </row>
    <row r="33" spans="1:13" ht="12.75" customHeight="1">
      <c r="A33" s="223">
        <f t="shared" si="0"/>
        <v>105</v>
      </c>
      <c r="B33" s="218">
        <f t="shared" si="1"/>
        <v>0</v>
      </c>
      <c r="C33" s="219">
        <f t="shared" si="2"/>
        <v>0</v>
      </c>
      <c r="D33" s="218">
        <f t="shared" si="3"/>
        <v>0</v>
      </c>
      <c r="E33" s="219">
        <f t="shared" si="4"/>
        <v>1</v>
      </c>
      <c r="F33" s="218">
        <f t="shared" si="5"/>
        <v>1</v>
      </c>
      <c r="G33" s="219">
        <f t="shared" si="6"/>
        <v>0</v>
      </c>
      <c r="H33" s="218">
        <f t="shared" si="7"/>
        <v>0</v>
      </c>
      <c r="I33" s="219">
        <f t="shared" si="8"/>
        <v>0</v>
      </c>
      <c r="J33" s="218">
        <f t="shared" si="9"/>
        <v>1</v>
      </c>
      <c r="K33" s="219"/>
      <c r="L33" s="221">
        <f t="shared" si="11"/>
        <v>29</v>
      </c>
      <c r="M33" s="221">
        <f t="shared" si="10"/>
        <v>72.5</v>
      </c>
    </row>
    <row r="34" spans="1:13" ht="12.75" customHeight="1">
      <c r="A34" s="223">
        <f t="shared" si="0"/>
        <v>107.5</v>
      </c>
      <c r="B34" s="218">
        <f t="shared" si="1"/>
        <v>0</v>
      </c>
      <c r="C34" s="219">
        <f t="shared" si="2"/>
        <v>0</v>
      </c>
      <c r="D34" s="218">
        <f t="shared" si="3"/>
        <v>0</v>
      </c>
      <c r="E34" s="219">
        <f t="shared" si="4"/>
        <v>1</v>
      </c>
      <c r="F34" s="218">
        <f t="shared" si="5"/>
        <v>1</v>
      </c>
      <c r="G34" s="219">
        <f t="shared" si="6"/>
        <v>0</v>
      </c>
      <c r="H34" s="218">
        <f t="shared" si="7"/>
        <v>0</v>
      </c>
      <c r="I34" s="219">
        <f t="shared" si="8"/>
        <v>1</v>
      </c>
      <c r="J34" s="218">
        <f t="shared" si="9"/>
        <v>0</v>
      </c>
      <c r="K34" s="219"/>
      <c r="L34" s="221">
        <f t="shared" si="11"/>
        <v>30</v>
      </c>
      <c r="M34" s="221">
        <f t="shared" si="10"/>
        <v>75</v>
      </c>
    </row>
    <row r="35" spans="1:13" ht="12.75" customHeight="1">
      <c r="A35" s="223">
        <f t="shared" si="0"/>
        <v>110</v>
      </c>
      <c r="B35" s="218">
        <f t="shared" si="1"/>
        <v>0</v>
      </c>
      <c r="C35" s="219">
        <f t="shared" si="2"/>
        <v>0</v>
      </c>
      <c r="D35" s="218">
        <f t="shared" si="3"/>
        <v>0</v>
      </c>
      <c r="E35" s="219">
        <f t="shared" si="4"/>
        <v>1</v>
      </c>
      <c r="F35" s="218">
        <f t="shared" si="5"/>
        <v>1</v>
      </c>
      <c r="G35" s="219">
        <f t="shared" si="6"/>
        <v>0</v>
      </c>
      <c r="H35" s="218">
        <f t="shared" si="7"/>
        <v>0</v>
      </c>
      <c r="I35" s="219">
        <f t="shared" si="8"/>
        <v>1</v>
      </c>
      <c r="J35" s="218">
        <f t="shared" si="9"/>
        <v>1</v>
      </c>
      <c r="K35" s="219"/>
      <c r="L35" s="221">
        <f t="shared" si="11"/>
        <v>31</v>
      </c>
      <c r="M35" s="221">
        <f t="shared" si="10"/>
        <v>77.5</v>
      </c>
    </row>
    <row r="36" spans="1:13" ht="12.75" customHeight="1">
      <c r="A36" s="223">
        <f t="shared" si="0"/>
        <v>112.5</v>
      </c>
      <c r="B36" s="218">
        <f t="shared" si="1"/>
        <v>0</v>
      </c>
      <c r="C36" s="219">
        <f t="shared" si="2"/>
        <v>0</v>
      </c>
      <c r="D36" s="218">
        <f t="shared" si="3"/>
        <v>0</v>
      </c>
      <c r="E36" s="219">
        <f t="shared" si="4"/>
        <v>2</v>
      </c>
      <c r="F36" s="218">
        <f t="shared" si="5"/>
        <v>0</v>
      </c>
      <c r="G36" s="219">
        <f t="shared" si="6"/>
        <v>0</v>
      </c>
      <c r="H36" s="218">
        <f t="shared" si="7"/>
        <v>0</v>
      </c>
      <c r="I36" s="219">
        <f t="shared" si="8"/>
        <v>0</v>
      </c>
      <c r="J36" s="218">
        <f t="shared" si="9"/>
        <v>0</v>
      </c>
      <c r="K36" s="219"/>
      <c r="L36" s="221">
        <f t="shared" si="11"/>
        <v>32</v>
      </c>
      <c r="M36" s="221">
        <f t="shared" si="10"/>
        <v>80</v>
      </c>
    </row>
    <row r="37" spans="1:13" ht="12.75" customHeight="1">
      <c r="A37" s="223">
        <f t="shared" si="0"/>
        <v>115</v>
      </c>
      <c r="B37" s="218">
        <f t="shared" si="1"/>
        <v>0</v>
      </c>
      <c r="C37" s="219">
        <f t="shared" si="2"/>
        <v>0</v>
      </c>
      <c r="D37" s="218">
        <f t="shared" si="3"/>
        <v>0</v>
      </c>
      <c r="E37" s="219">
        <f t="shared" si="4"/>
        <v>2</v>
      </c>
      <c r="F37" s="218">
        <f t="shared" si="5"/>
        <v>0</v>
      </c>
      <c r="G37" s="219">
        <f t="shared" si="6"/>
        <v>0</v>
      </c>
      <c r="H37" s="218">
        <f t="shared" si="7"/>
        <v>0</v>
      </c>
      <c r="I37" s="219">
        <f t="shared" si="8"/>
        <v>0</v>
      </c>
      <c r="J37" s="218">
        <f t="shared" si="9"/>
        <v>1</v>
      </c>
      <c r="K37" s="219"/>
      <c r="L37" s="221">
        <f t="shared" si="11"/>
        <v>33</v>
      </c>
      <c r="M37" s="221">
        <f t="shared" si="10"/>
        <v>82.5</v>
      </c>
    </row>
    <row r="38" spans="1:13" ht="12.75" customHeight="1">
      <c r="A38" s="223">
        <f t="shared" si="0"/>
        <v>117.5</v>
      </c>
      <c r="B38" s="218">
        <f t="shared" si="1"/>
        <v>0</v>
      </c>
      <c r="C38" s="219">
        <f t="shared" si="2"/>
        <v>0</v>
      </c>
      <c r="D38" s="218">
        <f t="shared" si="3"/>
        <v>0</v>
      </c>
      <c r="E38" s="219">
        <f t="shared" si="4"/>
        <v>2</v>
      </c>
      <c r="F38" s="218">
        <f t="shared" si="5"/>
        <v>0</v>
      </c>
      <c r="G38" s="219">
        <f t="shared" si="6"/>
        <v>0</v>
      </c>
      <c r="H38" s="218">
        <f t="shared" si="7"/>
        <v>0</v>
      </c>
      <c r="I38" s="219">
        <f t="shared" si="8"/>
        <v>1</v>
      </c>
      <c r="J38" s="218">
        <f t="shared" si="9"/>
        <v>0</v>
      </c>
      <c r="K38" s="219"/>
      <c r="L38" s="221">
        <f t="shared" si="11"/>
        <v>34</v>
      </c>
      <c r="M38" s="221">
        <f t="shared" si="10"/>
        <v>85</v>
      </c>
    </row>
    <row r="39" spans="1:13" ht="12.75" customHeight="1">
      <c r="A39" s="223">
        <f t="shared" si="0"/>
        <v>120</v>
      </c>
      <c r="B39" s="218">
        <f t="shared" si="1"/>
        <v>0</v>
      </c>
      <c r="C39" s="219">
        <f t="shared" si="2"/>
        <v>0</v>
      </c>
      <c r="D39" s="218">
        <f t="shared" si="3"/>
        <v>0</v>
      </c>
      <c r="E39" s="219">
        <f t="shared" si="4"/>
        <v>2</v>
      </c>
      <c r="F39" s="218">
        <f t="shared" si="5"/>
        <v>0</v>
      </c>
      <c r="G39" s="219">
        <f t="shared" si="6"/>
        <v>0</v>
      </c>
      <c r="H39" s="218">
        <f t="shared" si="7"/>
        <v>0</v>
      </c>
      <c r="I39" s="219">
        <f t="shared" si="8"/>
        <v>1</v>
      </c>
      <c r="J39" s="218">
        <f t="shared" si="9"/>
        <v>1</v>
      </c>
      <c r="K39" s="219"/>
      <c r="L39" s="221">
        <f t="shared" si="11"/>
        <v>35</v>
      </c>
      <c r="M39" s="221">
        <f t="shared" si="10"/>
        <v>87.5</v>
      </c>
    </row>
    <row r="40" spans="1:13" ht="12.75" customHeight="1">
      <c r="A40" s="223">
        <f t="shared" si="0"/>
        <v>122.5</v>
      </c>
      <c r="B40" s="218">
        <f t="shared" si="1"/>
        <v>0</v>
      </c>
      <c r="C40" s="219">
        <f t="shared" si="2"/>
        <v>0</v>
      </c>
      <c r="D40" s="218">
        <f t="shared" si="3"/>
        <v>0</v>
      </c>
      <c r="E40" s="219">
        <f t="shared" si="4"/>
        <v>2</v>
      </c>
      <c r="F40" s="218">
        <f t="shared" si="5"/>
        <v>0</v>
      </c>
      <c r="G40" s="219">
        <f t="shared" si="6"/>
        <v>0</v>
      </c>
      <c r="H40" s="218">
        <f t="shared" si="7"/>
        <v>1</v>
      </c>
      <c r="I40" s="219">
        <f t="shared" si="8"/>
        <v>0</v>
      </c>
      <c r="J40" s="218">
        <f t="shared" si="9"/>
        <v>0</v>
      </c>
      <c r="K40" s="219"/>
      <c r="L40" s="221">
        <f t="shared" si="11"/>
        <v>36</v>
      </c>
      <c r="M40" s="221">
        <f t="shared" si="10"/>
        <v>90</v>
      </c>
    </row>
    <row r="41" spans="1:13" ht="12.75" customHeight="1">
      <c r="A41" s="223">
        <f t="shared" si="0"/>
        <v>125</v>
      </c>
      <c r="B41" s="218">
        <f t="shared" si="1"/>
        <v>0</v>
      </c>
      <c r="C41" s="219">
        <f t="shared" si="2"/>
        <v>0</v>
      </c>
      <c r="D41" s="218">
        <f t="shared" si="3"/>
        <v>0</v>
      </c>
      <c r="E41" s="219">
        <f t="shared" si="4"/>
        <v>2</v>
      </c>
      <c r="F41" s="218">
        <f t="shared" si="5"/>
        <v>0</v>
      </c>
      <c r="G41" s="219">
        <f t="shared" si="6"/>
        <v>0</v>
      </c>
      <c r="H41" s="218">
        <f t="shared" si="7"/>
        <v>1</v>
      </c>
      <c r="I41" s="219">
        <f t="shared" si="8"/>
        <v>0</v>
      </c>
      <c r="J41" s="218">
        <f t="shared" si="9"/>
        <v>1</v>
      </c>
      <c r="K41" s="219"/>
      <c r="L41" s="221">
        <f t="shared" si="11"/>
        <v>37</v>
      </c>
      <c r="M41" s="221">
        <f t="shared" si="10"/>
        <v>92.5</v>
      </c>
    </row>
    <row r="42" spans="1:13" ht="12.75" customHeight="1">
      <c r="A42" s="223">
        <f t="shared" si="0"/>
        <v>127.5</v>
      </c>
      <c r="B42" s="218">
        <f t="shared" si="1"/>
        <v>0</v>
      </c>
      <c r="C42" s="219">
        <f t="shared" si="2"/>
        <v>0</v>
      </c>
      <c r="D42" s="218">
        <f t="shared" si="3"/>
        <v>0</v>
      </c>
      <c r="E42" s="219">
        <f t="shared" si="4"/>
        <v>2</v>
      </c>
      <c r="F42" s="218">
        <f t="shared" si="5"/>
        <v>0</v>
      </c>
      <c r="G42" s="219">
        <f t="shared" si="6"/>
        <v>0</v>
      </c>
      <c r="H42" s="218">
        <f t="shared" si="7"/>
        <v>1</v>
      </c>
      <c r="I42" s="219">
        <f t="shared" si="8"/>
        <v>1</v>
      </c>
      <c r="J42" s="218">
        <f t="shared" si="9"/>
        <v>0</v>
      </c>
      <c r="K42" s="219"/>
      <c r="L42" s="221">
        <f t="shared" si="11"/>
        <v>38</v>
      </c>
      <c r="M42" s="221">
        <f t="shared" si="10"/>
        <v>95</v>
      </c>
    </row>
    <row r="43" spans="1:13" ht="12.75" customHeight="1">
      <c r="A43" s="223">
        <f t="shared" si="0"/>
        <v>130</v>
      </c>
      <c r="B43" s="218">
        <f t="shared" si="1"/>
        <v>0</v>
      </c>
      <c r="C43" s="219">
        <f t="shared" si="2"/>
        <v>0</v>
      </c>
      <c r="D43" s="218">
        <f t="shared" si="3"/>
        <v>0</v>
      </c>
      <c r="E43" s="219">
        <f t="shared" si="4"/>
        <v>2</v>
      </c>
      <c r="F43" s="218">
        <f t="shared" si="5"/>
        <v>0</v>
      </c>
      <c r="G43" s="219">
        <f t="shared" si="6"/>
        <v>0</v>
      </c>
      <c r="H43" s="218">
        <f t="shared" si="7"/>
        <v>1</v>
      </c>
      <c r="I43" s="219">
        <f t="shared" si="8"/>
        <v>1</v>
      </c>
      <c r="J43" s="218">
        <f t="shared" si="9"/>
        <v>1</v>
      </c>
      <c r="K43" s="219"/>
      <c r="L43" s="221">
        <f t="shared" si="11"/>
        <v>39</v>
      </c>
      <c r="M43" s="221">
        <f t="shared" si="10"/>
        <v>97.5</v>
      </c>
    </row>
    <row r="44" spans="1:13" ht="12.75" customHeight="1">
      <c r="A44" s="223">
        <f t="shared" si="0"/>
        <v>132.5</v>
      </c>
      <c r="B44" s="218">
        <f t="shared" si="1"/>
        <v>1</v>
      </c>
      <c r="C44" s="219">
        <f t="shared" si="2"/>
        <v>0</v>
      </c>
      <c r="D44" s="218">
        <f t="shared" si="3"/>
        <v>0</v>
      </c>
      <c r="E44" s="219">
        <f t="shared" si="4"/>
        <v>0</v>
      </c>
      <c r="F44" s="218">
        <f t="shared" si="5"/>
        <v>0</v>
      </c>
      <c r="G44" s="219">
        <f t="shared" si="6"/>
        <v>0</v>
      </c>
      <c r="H44" s="218">
        <f t="shared" si="7"/>
        <v>0</v>
      </c>
      <c r="I44" s="219">
        <f t="shared" si="8"/>
        <v>0</v>
      </c>
      <c r="J44" s="218">
        <f t="shared" si="9"/>
        <v>0</v>
      </c>
      <c r="K44" s="219"/>
      <c r="L44" s="221">
        <f t="shared" si="11"/>
        <v>40</v>
      </c>
      <c r="M44" s="221">
        <f t="shared" si="10"/>
        <v>100</v>
      </c>
    </row>
    <row r="45" spans="1:13" ht="12.75" customHeight="1">
      <c r="A45" s="223">
        <f t="shared" si="0"/>
        <v>135</v>
      </c>
      <c r="B45" s="218">
        <f t="shared" si="1"/>
        <v>1</v>
      </c>
      <c r="C45" s="219">
        <f t="shared" si="2"/>
        <v>0</v>
      </c>
      <c r="D45" s="218">
        <f t="shared" si="3"/>
        <v>0</v>
      </c>
      <c r="E45" s="219">
        <f t="shared" si="4"/>
        <v>0</v>
      </c>
      <c r="F45" s="218">
        <f t="shared" si="5"/>
        <v>0</v>
      </c>
      <c r="G45" s="219">
        <f t="shared" si="6"/>
        <v>0</v>
      </c>
      <c r="H45" s="218">
        <f t="shared" si="7"/>
        <v>0</v>
      </c>
      <c r="I45" s="219">
        <f t="shared" si="8"/>
        <v>0</v>
      </c>
      <c r="J45" s="218">
        <f t="shared" si="9"/>
        <v>1</v>
      </c>
      <c r="K45" s="219"/>
      <c r="L45" s="221">
        <f t="shared" si="11"/>
        <v>41</v>
      </c>
      <c r="M45" s="221">
        <f t="shared" si="10"/>
        <v>102.5</v>
      </c>
    </row>
    <row r="46" spans="1:13" ht="12.75" customHeight="1">
      <c r="A46" s="223">
        <f t="shared" si="0"/>
        <v>137.5</v>
      </c>
      <c r="B46" s="218">
        <f t="shared" si="1"/>
        <v>1</v>
      </c>
      <c r="C46" s="219">
        <f t="shared" si="2"/>
        <v>0</v>
      </c>
      <c r="D46" s="218">
        <f t="shared" si="3"/>
        <v>0</v>
      </c>
      <c r="E46" s="219">
        <f t="shared" si="4"/>
        <v>0</v>
      </c>
      <c r="F46" s="218">
        <f t="shared" si="5"/>
        <v>0</v>
      </c>
      <c r="G46" s="219">
        <f t="shared" si="6"/>
        <v>0</v>
      </c>
      <c r="H46" s="218">
        <f t="shared" si="7"/>
        <v>0</v>
      </c>
      <c r="I46" s="219">
        <f t="shared" si="8"/>
        <v>1</v>
      </c>
      <c r="J46" s="218">
        <f t="shared" si="9"/>
        <v>0</v>
      </c>
      <c r="K46" s="219"/>
      <c r="L46" s="221">
        <f t="shared" si="11"/>
        <v>42</v>
      </c>
      <c r="M46" s="221">
        <f t="shared" si="10"/>
        <v>105</v>
      </c>
    </row>
    <row r="47" spans="1:13" ht="12.75" customHeight="1">
      <c r="A47" s="223">
        <f t="shared" si="0"/>
        <v>140</v>
      </c>
      <c r="B47" s="218">
        <f t="shared" si="1"/>
        <v>1</v>
      </c>
      <c r="C47" s="219">
        <f t="shared" si="2"/>
        <v>0</v>
      </c>
      <c r="D47" s="218">
        <f t="shared" si="3"/>
        <v>0</v>
      </c>
      <c r="E47" s="219">
        <f t="shared" si="4"/>
        <v>0</v>
      </c>
      <c r="F47" s="218">
        <f t="shared" si="5"/>
        <v>0</v>
      </c>
      <c r="G47" s="219">
        <f t="shared" si="6"/>
        <v>0</v>
      </c>
      <c r="H47" s="218">
        <f t="shared" si="7"/>
        <v>0</v>
      </c>
      <c r="I47" s="219">
        <f t="shared" si="8"/>
        <v>1</v>
      </c>
      <c r="J47" s="218">
        <f t="shared" si="9"/>
        <v>1</v>
      </c>
      <c r="K47" s="219"/>
      <c r="L47" s="221">
        <f t="shared" si="11"/>
        <v>43</v>
      </c>
      <c r="M47" s="221">
        <f t="shared" si="10"/>
        <v>107.5</v>
      </c>
    </row>
    <row r="48" spans="1:13" ht="12.75" customHeight="1">
      <c r="A48" s="223">
        <f t="shared" si="0"/>
        <v>142.5</v>
      </c>
      <c r="B48" s="218">
        <f t="shared" si="1"/>
        <v>1</v>
      </c>
      <c r="C48" s="219">
        <f t="shared" si="2"/>
        <v>0</v>
      </c>
      <c r="D48" s="218">
        <f t="shared" si="3"/>
        <v>0</v>
      </c>
      <c r="E48" s="219">
        <f t="shared" si="4"/>
        <v>0</v>
      </c>
      <c r="F48" s="218">
        <f t="shared" si="5"/>
        <v>0</v>
      </c>
      <c r="G48" s="219">
        <f t="shared" si="6"/>
        <v>0</v>
      </c>
      <c r="H48" s="218">
        <f t="shared" si="7"/>
        <v>1</v>
      </c>
      <c r="I48" s="219">
        <f t="shared" si="8"/>
        <v>0</v>
      </c>
      <c r="J48" s="218">
        <f t="shared" si="9"/>
        <v>0</v>
      </c>
      <c r="K48" s="219"/>
      <c r="L48" s="221">
        <f t="shared" si="11"/>
        <v>44</v>
      </c>
      <c r="M48" s="221">
        <f t="shared" si="10"/>
        <v>110</v>
      </c>
    </row>
    <row r="49" spans="1:13" ht="12.75" customHeight="1">
      <c r="A49" s="223">
        <f t="shared" si="0"/>
        <v>145</v>
      </c>
      <c r="B49" s="218">
        <f t="shared" si="1"/>
        <v>1</v>
      </c>
      <c r="C49" s="219">
        <f t="shared" si="2"/>
        <v>0</v>
      </c>
      <c r="D49" s="218">
        <f t="shared" si="3"/>
        <v>0</v>
      </c>
      <c r="E49" s="219">
        <f t="shared" si="4"/>
        <v>0</v>
      </c>
      <c r="F49" s="218">
        <f t="shared" si="5"/>
        <v>0</v>
      </c>
      <c r="G49" s="219">
        <f t="shared" si="6"/>
        <v>0</v>
      </c>
      <c r="H49" s="218">
        <f t="shared" si="7"/>
        <v>1</v>
      </c>
      <c r="I49" s="219">
        <f t="shared" si="8"/>
        <v>0</v>
      </c>
      <c r="J49" s="218">
        <f t="shared" si="9"/>
        <v>1</v>
      </c>
      <c r="K49" s="219"/>
      <c r="L49" s="221">
        <f t="shared" si="11"/>
        <v>45</v>
      </c>
      <c r="M49" s="221">
        <f t="shared" si="10"/>
        <v>112.5</v>
      </c>
    </row>
    <row r="50" spans="1:13" ht="12.75" customHeight="1">
      <c r="A50" s="223">
        <f t="shared" si="0"/>
        <v>147.5</v>
      </c>
      <c r="B50" s="218">
        <f t="shared" si="1"/>
        <v>1</v>
      </c>
      <c r="C50" s="219">
        <f t="shared" si="2"/>
        <v>0</v>
      </c>
      <c r="D50" s="218">
        <f t="shared" si="3"/>
        <v>0</v>
      </c>
      <c r="E50" s="219">
        <f t="shared" si="4"/>
        <v>0</v>
      </c>
      <c r="F50" s="218">
        <f t="shared" si="5"/>
        <v>0</v>
      </c>
      <c r="G50" s="219">
        <f t="shared" si="6"/>
        <v>0</v>
      </c>
      <c r="H50" s="218">
        <f t="shared" si="7"/>
        <v>1</v>
      </c>
      <c r="I50" s="219">
        <f t="shared" si="8"/>
        <v>1</v>
      </c>
      <c r="J50" s="218">
        <f t="shared" si="9"/>
        <v>0</v>
      </c>
      <c r="K50" s="219"/>
      <c r="L50" s="221">
        <f t="shared" si="11"/>
        <v>46</v>
      </c>
      <c r="M50" s="221">
        <f t="shared" si="10"/>
        <v>115</v>
      </c>
    </row>
    <row r="51" spans="1:13" ht="12.75" customHeight="1">
      <c r="A51" s="223">
        <f t="shared" si="0"/>
        <v>150</v>
      </c>
      <c r="B51" s="218">
        <f t="shared" si="1"/>
        <v>1</v>
      </c>
      <c r="C51" s="219">
        <f t="shared" si="2"/>
        <v>0</v>
      </c>
      <c r="D51" s="218">
        <f t="shared" si="3"/>
        <v>0</v>
      </c>
      <c r="E51" s="219">
        <f t="shared" si="4"/>
        <v>0</v>
      </c>
      <c r="F51" s="218">
        <f t="shared" si="5"/>
        <v>0</v>
      </c>
      <c r="G51" s="219">
        <f t="shared" si="6"/>
        <v>0</v>
      </c>
      <c r="H51" s="218">
        <f t="shared" si="7"/>
        <v>1</v>
      </c>
      <c r="I51" s="219">
        <f t="shared" si="8"/>
        <v>1</v>
      </c>
      <c r="J51" s="218">
        <f t="shared" si="9"/>
        <v>1</v>
      </c>
      <c r="K51" s="219"/>
      <c r="L51" s="221">
        <f t="shared" si="11"/>
        <v>47</v>
      </c>
      <c r="M51" s="221">
        <f t="shared" si="10"/>
        <v>117.5</v>
      </c>
    </row>
    <row r="52" spans="1:13" ht="12.75" customHeight="1">
      <c r="A52" s="223">
        <f t="shared" si="0"/>
        <v>152.5</v>
      </c>
      <c r="B52" s="218">
        <f t="shared" si="1"/>
        <v>1</v>
      </c>
      <c r="C52" s="219">
        <f t="shared" si="2"/>
        <v>0</v>
      </c>
      <c r="D52" s="218">
        <f t="shared" si="3"/>
        <v>0</v>
      </c>
      <c r="E52" s="219">
        <f t="shared" si="4"/>
        <v>0</v>
      </c>
      <c r="F52" s="218">
        <f t="shared" si="5"/>
        <v>0</v>
      </c>
      <c r="G52" s="219">
        <f t="shared" si="6"/>
        <v>1</v>
      </c>
      <c r="H52" s="218">
        <f t="shared" si="7"/>
        <v>0</v>
      </c>
      <c r="I52" s="219">
        <f t="shared" si="8"/>
        <v>0</v>
      </c>
      <c r="J52" s="218">
        <f t="shared" si="9"/>
        <v>0</v>
      </c>
      <c r="K52" s="219"/>
      <c r="L52" s="221">
        <f t="shared" si="11"/>
        <v>48</v>
      </c>
      <c r="M52" s="221">
        <f t="shared" si="10"/>
        <v>120</v>
      </c>
    </row>
    <row r="53" spans="1:13" ht="12.75" customHeight="1">
      <c r="A53" s="223">
        <f t="shared" si="0"/>
        <v>155</v>
      </c>
      <c r="B53" s="218">
        <f t="shared" si="1"/>
        <v>1</v>
      </c>
      <c r="C53" s="219">
        <f t="shared" si="2"/>
        <v>0</v>
      </c>
      <c r="D53" s="218">
        <f t="shared" si="3"/>
        <v>0</v>
      </c>
      <c r="E53" s="219">
        <f t="shared" si="4"/>
        <v>0</v>
      </c>
      <c r="F53" s="218">
        <f t="shared" si="5"/>
        <v>0</v>
      </c>
      <c r="G53" s="219">
        <f t="shared" si="6"/>
        <v>1</v>
      </c>
      <c r="H53" s="218">
        <f t="shared" si="7"/>
        <v>0</v>
      </c>
      <c r="I53" s="219">
        <f t="shared" si="8"/>
        <v>0</v>
      </c>
      <c r="J53" s="218">
        <f t="shared" si="9"/>
        <v>1</v>
      </c>
      <c r="K53" s="219"/>
      <c r="L53" s="221">
        <f t="shared" si="11"/>
        <v>49</v>
      </c>
      <c r="M53" s="221">
        <f t="shared" si="10"/>
        <v>122.5</v>
      </c>
    </row>
    <row r="54" spans="1:13" ht="12.75" customHeight="1">
      <c r="A54" s="223">
        <f t="shared" si="0"/>
        <v>157.5</v>
      </c>
      <c r="B54" s="218">
        <f t="shared" si="1"/>
        <v>1</v>
      </c>
      <c r="C54" s="219">
        <f t="shared" si="2"/>
        <v>0</v>
      </c>
      <c r="D54" s="218">
        <f t="shared" si="3"/>
        <v>0</v>
      </c>
      <c r="E54" s="219">
        <f t="shared" si="4"/>
        <v>0</v>
      </c>
      <c r="F54" s="218">
        <f t="shared" si="5"/>
        <v>0</v>
      </c>
      <c r="G54" s="219">
        <f t="shared" si="6"/>
        <v>1</v>
      </c>
      <c r="H54" s="218">
        <f t="shared" si="7"/>
        <v>0</v>
      </c>
      <c r="I54" s="219">
        <f t="shared" si="8"/>
        <v>1</v>
      </c>
      <c r="J54" s="218">
        <f t="shared" si="9"/>
        <v>0</v>
      </c>
      <c r="K54" s="219"/>
      <c r="L54" s="221">
        <f t="shared" si="11"/>
        <v>50</v>
      </c>
      <c r="M54" s="221">
        <f t="shared" si="10"/>
        <v>125</v>
      </c>
    </row>
    <row r="55" spans="1:13" ht="12.75" customHeight="1">
      <c r="A55" s="223">
        <f t="shared" si="0"/>
        <v>160</v>
      </c>
      <c r="B55" s="218">
        <f t="shared" si="1"/>
        <v>1</v>
      </c>
      <c r="C55" s="219">
        <f t="shared" si="2"/>
        <v>0</v>
      </c>
      <c r="D55" s="218">
        <f t="shared" si="3"/>
        <v>0</v>
      </c>
      <c r="E55" s="219">
        <f t="shared" si="4"/>
        <v>0</v>
      </c>
      <c r="F55" s="218">
        <f t="shared" si="5"/>
        <v>0</v>
      </c>
      <c r="G55" s="219">
        <f t="shared" si="6"/>
        <v>1</v>
      </c>
      <c r="H55" s="218">
        <f t="shared" si="7"/>
        <v>0</v>
      </c>
      <c r="I55" s="219">
        <f t="shared" si="8"/>
        <v>1</v>
      </c>
      <c r="J55" s="218">
        <f t="shared" si="9"/>
        <v>1</v>
      </c>
      <c r="K55" s="219"/>
      <c r="L55" s="221">
        <f t="shared" si="11"/>
        <v>51</v>
      </c>
      <c r="M55" s="221">
        <f t="shared" si="10"/>
        <v>127.5</v>
      </c>
    </row>
    <row r="56" spans="1:13" ht="12.75" customHeight="1">
      <c r="A56" s="223">
        <f t="shared" si="0"/>
        <v>162.5</v>
      </c>
      <c r="B56" s="218">
        <f t="shared" si="1"/>
        <v>1</v>
      </c>
      <c r="C56" s="219">
        <f t="shared" si="2"/>
        <v>0</v>
      </c>
      <c r="D56" s="218">
        <f t="shared" si="3"/>
        <v>0</v>
      </c>
      <c r="E56" s="219">
        <f t="shared" si="4"/>
        <v>0</v>
      </c>
      <c r="F56" s="218">
        <f t="shared" si="5"/>
        <v>1</v>
      </c>
      <c r="G56" s="219">
        <f t="shared" si="6"/>
        <v>0</v>
      </c>
      <c r="H56" s="218">
        <f t="shared" si="7"/>
        <v>0</v>
      </c>
      <c r="I56" s="219">
        <f t="shared" si="8"/>
        <v>0</v>
      </c>
      <c r="J56" s="218">
        <f t="shared" si="9"/>
        <v>0</v>
      </c>
      <c r="K56" s="219"/>
      <c r="L56" s="221">
        <f t="shared" si="11"/>
        <v>52</v>
      </c>
      <c r="M56" s="221">
        <f t="shared" si="10"/>
        <v>130</v>
      </c>
    </row>
    <row r="57" spans="1:13" ht="12.75" customHeight="1">
      <c r="A57" s="223">
        <f t="shared" si="0"/>
        <v>165</v>
      </c>
      <c r="B57" s="218">
        <f t="shared" si="1"/>
        <v>1</v>
      </c>
      <c r="C57" s="219">
        <f t="shared" si="2"/>
        <v>0</v>
      </c>
      <c r="D57" s="218">
        <f t="shared" si="3"/>
        <v>0</v>
      </c>
      <c r="E57" s="219">
        <f t="shared" si="4"/>
        <v>0</v>
      </c>
      <c r="F57" s="218">
        <f t="shared" si="5"/>
        <v>1</v>
      </c>
      <c r="G57" s="219">
        <f t="shared" si="6"/>
        <v>0</v>
      </c>
      <c r="H57" s="218">
        <f t="shared" si="7"/>
        <v>0</v>
      </c>
      <c r="I57" s="219">
        <f t="shared" si="8"/>
        <v>0</v>
      </c>
      <c r="J57" s="218">
        <f t="shared" si="9"/>
        <v>1</v>
      </c>
      <c r="K57" s="219"/>
      <c r="L57" s="221">
        <f t="shared" si="11"/>
        <v>53</v>
      </c>
      <c r="M57" s="221">
        <f t="shared" si="10"/>
        <v>132.5</v>
      </c>
    </row>
    <row r="58" spans="1:13" ht="12.75" customHeight="1">
      <c r="A58" s="223">
        <f t="shared" si="0"/>
        <v>167.5</v>
      </c>
      <c r="B58" s="218">
        <f t="shared" si="1"/>
        <v>1</v>
      </c>
      <c r="C58" s="219">
        <f t="shared" si="2"/>
        <v>0</v>
      </c>
      <c r="D58" s="218">
        <f t="shared" si="3"/>
        <v>0</v>
      </c>
      <c r="E58" s="219">
        <f t="shared" si="4"/>
        <v>0</v>
      </c>
      <c r="F58" s="218">
        <f t="shared" si="5"/>
        <v>1</v>
      </c>
      <c r="G58" s="219">
        <f t="shared" si="6"/>
        <v>0</v>
      </c>
      <c r="H58" s="218">
        <f t="shared" si="7"/>
        <v>0</v>
      </c>
      <c r="I58" s="219">
        <f t="shared" si="8"/>
        <v>1</v>
      </c>
      <c r="J58" s="218">
        <f t="shared" si="9"/>
        <v>0</v>
      </c>
      <c r="K58" s="219"/>
      <c r="L58" s="221">
        <f t="shared" si="11"/>
        <v>54</v>
      </c>
      <c r="M58" s="221">
        <f t="shared" si="10"/>
        <v>135</v>
      </c>
    </row>
    <row r="59" spans="1:13" ht="12.75" customHeight="1">
      <c r="A59" s="223">
        <f t="shared" si="0"/>
        <v>170</v>
      </c>
      <c r="B59" s="218">
        <f t="shared" si="1"/>
        <v>1</v>
      </c>
      <c r="C59" s="219">
        <f t="shared" si="2"/>
        <v>0</v>
      </c>
      <c r="D59" s="218">
        <f t="shared" si="3"/>
        <v>0</v>
      </c>
      <c r="E59" s="219">
        <f t="shared" si="4"/>
        <v>0</v>
      </c>
      <c r="F59" s="218">
        <f t="shared" si="5"/>
        <v>1</v>
      </c>
      <c r="G59" s="219">
        <f t="shared" si="6"/>
        <v>0</v>
      </c>
      <c r="H59" s="218">
        <f t="shared" si="7"/>
        <v>0</v>
      </c>
      <c r="I59" s="219">
        <f t="shared" si="8"/>
        <v>1</v>
      </c>
      <c r="J59" s="218">
        <f t="shared" si="9"/>
        <v>1</v>
      </c>
      <c r="K59" s="219"/>
      <c r="L59" s="221">
        <f t="shared" si="11"/>
        <v>55</v>
      </c>
      <c r="M59" s="221">
        <f t="shared" si="10"/>
        <v>137.5</v>
      </c>
    </row>
    <row r="60" spans="1:13" ht="12.75" customHeight="1">
      <c r="A60" s="223">
        <f t="shared" si="0"/>
        <v>172.5</v>
      </c>
      <c r="B60" s="218">
        <f t="shared" si="1"/>
        <v>1</v>
      </c>
      <c r="C60" s="219">
        <f t="shared" si="2"/>
        <v>0</v>
      </c>
      <c r="D60" s="218">
        <f t="shared" si="3"/>
        <v>0</v>
      </c>
      <c r="E60" s="219">
        <f t="shared" si="4"/>
        <v>1</v>
      </c>
      <c r="F60" s="218">
        <f t="shared" si="5"/>
        <v>0</v>
      </c>
      <c r="G60" s="219">
        <f t="shared" si="6"/>
        <v>0</v>
      </c>
      <c r="H60" s="218">
        <f t="shared" si="7"/>
        <v>0</v>
      </c>
      <c r="I60" s="219">
        <f t="shared" si="8"/>
        <v>0</v>
      </c>
      <c r="J60" s="218">
        <f t="shared" si="9"/>
        <v>0</v>
      </c>
      <c r="K60" s="219"/>
      <c r="L60" s="221">
        <f t="shared" si="11"/>
        <v>56</v>
      </c>
      <c r="M60" s="221">
        <f t="shared" si="10"/>
        <v>140</v>
      </c>
    </row>
    <row r="61" spans="1:13" ht="12.75" customHeight="1">
      <c r="A61" s="223">
        <f t="shared" si="0"/>
        <v>175</v>
      </c>
      <c r="B61" s="218">
        <f t="shared" si="1"/>
        <v>1</v>
      </c>
      <c r="C61" s="219">
        <f t="shared" si="2"/>
        <v>0</v>
      </c>
      <c r="D61" s="218">
        <f t="shared" si="3"/>
        <v>0</v>
      </c>
      <c r="E61" s="219">
        <f t="shared" si="4"/>
        <v>1</v>
      </c>
      <c r="F61" s="218">
        <f t="shared" si="5"/>
        <v>0</v>
      </c>
      <c r="G61" s="219">
        <f t="shared" si="6"/>
        <v>0</v>
      </c>
      <c r="H61" s="218">
        <f t="shared" si="7"/>
        <v>0</v>
      </c>
      <c r="I61" s="219">
        <f t="shared" si="8"/>
        <v>0</v>
      </c>
      <c r="J61" s="218">
        <f t="shared" si="9"/>
        <v>1</v>
      </c>
      <c r="K61" s="219"/>
      <c r="L61" s="221">
        <f t="shared" si="11"/>
        <v>57</v>
      </c>
      <c r="M61" s="221">
        <f t="shared" si="10"/>
        <v>142.5</v>
      </c>
    </row>
    <row r="62" spans="1:13" ht="12.75" customHeight="1">
      <c r="A62" s="223">
        <f t="shared" si="0"/>
        <v>177.5</v>
      </c>
      <c r="B62" s="218">
        <f t="shared" si="1"/>
        <v>1</v>
      </c>
      <c r="C62" s="219">
        <f t="shared" si="2"/>
        <v>0</v>
      </c>
      <c r="D62" s="218">
        <f t="shared" si="3"/>
        <v>0</v>
      </c>
      <c r="E62" s="219">
        <f t="shared" si="4"/>
        <v>1</v>
      </c>
      <c r="F62" s="218">
        <f t="shared" si="5"/>
        <v>0</v>
      </c>
      <c r="G62" s="219">
        <f t="shared" si="6"/>
        <v>0</v>
      </c>
      <c r="H62" s="218">
        <f t="shared" si="7"/>
        <v>0</v>
      </c>
      <c r="I62" s="219">
        <f t="shared" si="8"/>
        <v>1</v>
      </c>
      <c r="J62" s="218">
        <f t="shared" si="9"/>
        <v>0</v>
      </c>
      <c r="K62" s="219"/>
      <c r="L62" s="221">
        <f t="shared" si="11"/>
        <v>58</v>
      </c>
      <c r="M62" s="221">
        <f t="shared" si="10"/>
        <v>145</v>
      </c>
    </row>
    <row r="63" spans="1:13" ht="12.75" customHeight="1">
      <c r="A63" s="223">
        <f t="shared" si="0"/>
        <v>180</v>
      </c>
      <c r="B63" s="218">
        <f t="shared" si="1"/>
        <v>1</v>
      </c>
      <c r="C63" s="219">
        <f t="shared" si="2"/>
        <v>0</v>
      </c>
      <c r="D63" s="218">
        <f t="shared" si="3"/>
        <v>0</v>
      </c>
      <c r="E63" s="219">
        <f t="shared" si="4"/>
        <v>1</v>
      </c>
      <c r="F63" s="218">
        <f t="shared" si="5"/>
        <v>0</v>
      </c>
      <c r="G63" s="219">
        <f t="shared" si="6"/>
        <v>0</v>
      </c>
      <c r="H63" s="218">
        <f t="shared" si="7"/>
        <v>0</v>
      </c>
      <c r="I63" s="219">
        <f t="shared" si="8"/>
        <v>1</v>
      </c>
      <c r="J63" s="218">
        <f t="shared" si="9"/>
        <v>1</v>
      </c>
      <c r="K63" s="219"/>
      <c r="L63" s="221">
        <f t="shared" si="11"/>
        <v>59</v>
      </c>
      <c r="M63" s="221">
        <f t="shared" si="10"/>
        <v>147.5</v>
      </c>
    </row>
    <row r="64" spans="1:13" ht="12.75" customHeight="1">
      <c r="A64" s="223">
        <f t="shared" si="0"/>
        <v>182.5</v>
      </c>
      <c r="B64" s="218">
        <f t="shared" si="1"/>
        <v>1</v>
      </c>
      <c r="C64" s="219">
        <f t="shared" si="2"/>
        <v>0</v>
      </c>
      <c r="D64" s="218">
        <f t="shared" si="3"/>
        <v>0</v>
      </c>
      <c r="E64" s="219">
        <f t="shared" si="4"/>
        <v>1</v>
      </c>
      <c r="F64" s="218">
        <f t="shared" si="5"/>
        <v>0</v>
      </c>
      <c r="G64" s="219">
        <f t="shared" si="6"/>
        <v>0</v>
      </c>
      <c r="H64" s="218">
        <f t="shared" si="7"/>
        <v>1</v>
      </c>
      <c r="I64" s="219">
        <f t="shared" si="8"/>
        <v>0</v>
      </c>
      <c r="J64" s="218">
        <f t="shared" si="9"/>
        <v>0</v>
      </c>
      <c r="K64" s="219"/>
      <c r="L64" s="221">
        <f t="shared" si="11"/>
        <v>60</v>
      </c>
      <c r="M64" s="221">
        <f t="shared" si="10"/>
        <v>150</v>
      </c>
    </row>
    <row r="65" spans="1:13" ht="12.75" customHeight="1">
      <c r="A65" s="223">
        <f t="shared" si="0"/>
        <v>185</v>
      </c>
      <c r="B65" s="218">
        <f t="shared" si="1"/>
        <v>1</v>
      </c>
      <c r="C65" s="219">
        <f t="shared" si="2"/>
        <v>0</v>
      </c>
      <c r="D65" s="218">
        <f t="shared" si="3"/>
        <v>0</v>
      </c>
      <c r="E65" s="219">
        <f t="shared" si="4"/>
        <v>1</v>
      </c>
      <c r="F65" s="218">
        <f t="shared" si="5"/>
        <v>0</v>
      </c>
      <c r="G65" s="219">
        <f t="shared" si="6"/>
        <v>0</v>
      </c>
      <c r="H65" s="218">
        <f t="shared" si="7"/>
        <v>1</v>
      </c>
      <c r="I65" s="219">
        <f t="shared" si="8"/>
        <v>0</v>
      </c>
      <c r="J65" s="218">
        <f t="shared" si="9"/>
        <v>1</v>
      </c>
      <c r="K65" s="219"/>
      <c r="L65" s="221">
        <f t="shared" si="11"/>
        <v>61</v>
      </c>
      <c r="M65" s="221">
        <f t="shared" si="10"/>
        <v>152.5</v>
      </c>
    </row>
    <row r="66" spans="1:13" ht="12.75" customHeight="1">
      <c r="A66" s="223">
        <f t="shared" si="0"/>
        <v>187.5</v>
      </c>
      <c r="B66" s="218">
        <f t="shared" si="1"/>
        <v>1</v>
      </c>
      <c r="C66" s="219">
        <f t="shared" si="2"/>
        <v>0</v>
      </c>
      <c r="D66" s="218">
        <f t="shared" si="3"/>
        <v>0</v>
      </c>
      <c r="E66" s="219">
        <f t="shared" si="4"/>
        <v>1</v>
      </c>
      <c r="F66" s="218">
        <f t="shared" si="5"/>
        <v>0</v>
      </c>
      <c r="G66" s="219">
        <f t="shared" si="6"/>
        <v>0</v>
      </c>
      <c r="H66" s="218">
        <f t="shared" si="7"/>
        <v>1</v>
      </c>
      <c r="I66" s="219">
        <f t="shared" si="8"/>
        <v>1</v>
      </c>
      <c r="J66" s="218">
        <f t="shared" si="9"/>
        <v>0</v>
      </c>
      <c r="K66" s="219"/>
      <c r="L66" s="221">
        <f t="shared" si="11"/>
        <v>62</v>
      </c>
      <c r="M66" s="221">
        <f t="shared" si="10"/>
        <v>155</v>
      </c>
    </row>
    <row r="67" spans="1:13" ht="12.75" customHeight="1">
      <c r="A67" s="223">
        <f t="shared" si="0"/>
        <v>190</v>
      </c>
      <c r="B67" s="218">
        <f t="shared" si="1"/>
        <v>1</v>
      </c>
      <c r="C67" s="219">
        <f t="shared" si="2"/>
        <v>0</v>
      </c>
      <c r="D67" s="218">
        <f t="shared" si="3"/>
        <v>0</v>
      </c>
      <c r="E67" s="219">
        <f t="shared" si="4"/>
        <v>1</v>
      </c>
      <c r="F67" s="218">
        <f t="shared" si="5"/>
        <v>0</v>
      </c>
      <c r="G67" s="219">
        <f t="shared" si="6"/>
        <v>0</v>
      </c>
      <c r="H67" s="218">
        <f t="shared" si="7"/>
        <v>1</v>
      </c>
      <c r="I67" s="219">
        <f t="shared" si="8"/>
        <v>1</v>
      </c>
      <c r="J67" s="218">
        <f t="shared" si="9"/>
        <v>1</v>
      </c>
      <c r="K67" s="219"/>
      <c r="L67" s="221">
        <f t="shared" si="11"/>
        <v>63</v>
      </c>
      <c r="M67" s="221">
        <f t="shared" si="10"/>
        <v>157.5</v>
      </c>
    </row>
    <row r="68" spans="1:13" ht="12.75" customHeight="1">
      <c r="A68" s="223">
        <f t="shared" si="0"/>
        <v>192.5</v>
      </c>
      <c r="B68" s="218">
        <f t="shared" si="1"/>
        <v>1</v>
      </c>
      <c r="C68" s="219">
        <f t="shared" si="2"/>
        <v>0</v>
      </c>
      <c r="D68" s="218">
        <f t="shared" si="3"/>
        <v>0</v>
      </c>
      <c r="E68" s="219">
        <f t="shared" si="4"/>
        <v>1</v>
      </c>
      <c r="F68" s="218">
        <f t="shared" si="5"/>
        <v>0</v>
      </c>
      <c r="G68" s="219">
        <f t="shared" si="6"/>
        <v>1</v>
      </c>
      <c r="H68" s="218">
        <f t="shared" si="7"/>
        <v>0</v>
      </c>
      <c r="I68" s="219">
        <f t="shared" si="8"/>
        <v>0</v>
      </c>
      <c r="J68" s="218">
        <f t="shared" si="9"/>
        <v>0</v>
      </c>
      <c r="K68" s="219"/>
      <c r="L68" s="221">
        <f t="shared" si="11"/>
        <v>64</v>
      </c>
      <c r="M68" s="221">
        <f t="shared" si="10"/>
        <v>160</v>
      </c>
    </row>
    <row r="69" spans="1:13" ht="12.75" customHeight="1">
      <c r="A69" s="223">
        <f aca="true" t="shared" si="12" ref="A69:A132">IF(M69+$K$2&gt;$L$1,0,M69+$K$2)</f>
        <v>195</v>
      </c>
      <c r="B69" s="218">
        <f aca="true" t="shared" si="13" ref="B69:B132">IF(A69=0,0,MIN($B$1/2,INT(M69/(2*$B$2))))</f>
        <v>1</v>
      </c>
      <c r="C69" s="219">
        <f aca="true" t="shared" si="14" ref="C69:C132">IF(A69=0,0,MIN($C$1/2,INT(($M69-2*$B69*$B$2)/(2*$C$2))))</f>
        <v>0</v>
      </c>
      <c r="D69" s="218">
        <f aca="true" t="shared" si="15" ref="D69:D132">IF(A69=0,0,MIN($D$1/2,INT(($M69-2*$B69*$B$2-2*$C69*$C$2)/(2*$D$2))))</f>
        <v>0</v>
      </c>
      <c r="E69" s="219">
        <f aca="true" t="shared" si="16" ref="E69:E132">IF(A69=0,0,MIN($E$1/2,INT(($M69-2*$B69*$B$2-2*$C69*$C$2-2*$D69*$D$2)/(2*$E$2))))</f>
        <v>1</v>
      </c>
      <c r="F69" s="218">
        <f aca="true" t="shared" si="17" ref="F69:F132">IF(A69=0,0,MIN($F$1/2,INT(($M69-2*$B69*$B$2-2*$C69*$C$2-2*$D69*$D$2-2*$E69*$E$2)/(2*$F$2))))</f>
        <v>0</v>
      </c>
      <c r="G69" s="219">
        <f aca="true" t="shared" si="18" ref="G69:G132">IF(A69=0,0,MIN($G$1/2,INT(($M69-2*$B69*$B$2-2*$C69*$C$2-2*$D69*$D$2-2*$E69*$E$2-2*$F69*$F$2)/(2*$G$2))))</f>
        <v>1</v>
      </c>
      <c r="H69" s="218">
        <f aca="true" t="shared" si="19" ref="H69:H132">IF(A69=0,0,MIN($H$1/2,INT(($M69-2*$B69*$B$2-2*$C69*$C$2-2*$D69*$D$2-2*$E69*$E$2-2*$F69*$F$2-2*$G69*$G$2)/(2*$H$2))))</f>
        <v>0</v>
      </c>
      <c r="I69" s="219">
        <f aca="true" t="shared" si="20" ref="I69:I132">IF(A69=0,0,MIN($I$1/2,INT(($M69-2*$B69*$B$2-2*$C69*$C$2-2*$D69*$D$2-2*$E69*$E$2-2*$F69*$F$2-2*$G69*$G$2-2*$H69*$H$2)/(2*$I$2))))</f>
        <v>0</v>
      </c>
      <c r="J69" s="218">
        <f aca="true" t="shared" si="21" ref="J69:J132">IF(A69=0,0,MIN($J$1/2,INT(($M69-2*$B69*$B$2-2*$C69*$C$2-2*$D69*$D$2-2*$E69*$E$2-2*$F69*$F$2-2*$G69*$G$2-2*$H69*$H$2-2*$I69*$I$2)/(2*$J$2))))</f>
        <v>1</v>
      </c>
      <c r="K69" s="219"/>
      <c r="L69" s="221">
        <f t="shared" si="11"/>
        <v>65</v>
      </c>
      <c r="M69" s="221">
        <f aca="true" t="shared" si="22" ref="M69:M132">IF($A$2="Pounds",5*L69,2.5*L69)</f>
        <v>162.5</v>
      </c>
    </row>
    <row r="70" spans="1:13" ht="12.75" customHeight="1">
      <c r="A70" s="223">
        <f t="shared" si="12"/>
        <v>197.5</v>
      </c>
      <c r="B70" s="218">
        <f t="shared" si="13"/>
        <v>1</v>
      </c>
      <c r="C70" s="219">
        <f t="shared" si="14"/>
        <v>0</v>
      </c>
      <c r="D70" s="218">
        <f t="shared" si="15"/>
        <v>0</v>
      </c>
      <c r="E70" s="219">
        <f t="shared" si="16"/>
        <v>1</v>
      </c>
      <c r="F70" s="218">
        <f t="shared" si="17"/>
        <v>0</v>
      </c>
      <c r="G70" s="219">
        <f t="shared" si="18"/>
        <v>1</v>
      </c>
      <c r="H70" s="218">
        <f t="shared" si="19"/>
        <v>0</v>
      </c>
      <c r="I70" s="219">
        <f t="shared" si="20"/>
        <v>1</v>
      </c>
      <c r="J70" s="218">
        <f t="shared" si="21"/>
        <v>0</v>
      </c>
      <c r="K70" s="219"/>
      <c r="L70" s="221">
        <f t="shared" si="11"/>
        <v>66</v>
      </c>
      <c r="M70" s="221">
        <f t="shared" si="22"/>
        <v>165</v>
      </c>
    </row>
    <row r="71" spans="1:13" ht="12.75" customHeight="1">
      <c r="A71" s="223">
        <f t="shared" si="12"/>
        <v>200</v>
      </c>
      <c r="B71" s="218">
        <f t="shared" si="13"/>
        <v>1</v>
      </c>
      <c r="C71" s="219">
        <f t="shared" si="14"/>
        <v>0</v>
      </c>
      <c r="D71" s="218">
        <f t="shared" si="15"/>
        <v>0</v>
      </c>
      <c r="E71" s="219">
        <f t="shared" si="16"/>
        <v>1</v>
      </c>
      <c r="F71" s="218">
        <f t="shared" si="17"/>
        <v>0</v>
      </c>
      <c r="G71" s="219">
        <f t="shared" si="18"/>
        <v>1</v>
      </c>
      <c r="H71" s="218">
        <f t="shared" si="19"/>
        <v>0</v>
      </c>
      <c r="I71" s="219">
        <f t="shared" si="20"/>
        <v>1</v>
      </c>
      <c r="J71" s="218">
        <f t="shared" si="21"/>
        <v>1</v>
      </c>
      <c r="K71" s="219"/>
      <c r="L71" s="221">
        <f t="shared" si="11"/>
        <v>67</v>
      </c>
      <c r="M71" s="221">
        <f t="shared" si="22"/>
        <v>167.5</v>
      </c>
    </row>
    <row r="72" spans="1:13" ht="12.75" customHeight="1">
      <c r="A72" s="223">
        <f t="shared" si="12"/>
        <v>202.5</v>
      </c>
      <c r="B72" s="218">
        <f t="shared" si="13"/>
        <v>1</v>
      </c>
      <c r="C72" s="219">
        <f t="shared" si="14"/>
        <v>0</v>
      </c>
      <c r="D72" s="218">
        <f t="shared" si="15"/>
        <v>0</v>
      </c>
      <c r="E72" s="219">
        <f t="shared" si="16"/>
        <v>1</v>
      </c>
      <c r="F72" s="218">
        <f t="shared" si="17"/>
        <v>1</v>
      </c>
      <c r="G72" s="219">
        <f t="shared" si="18"/>
        <v>0</v>
      </c>
      <c r="H72" s="218">
        <f t="shared" si="19"/>
        <v>0</v>
      </c>
      <c r="I72" s="219">
        <f t="shared" si="20"/>
        <v>0</v>
      </c>
      <c r="J72" s="218">
        <f t="shared" si="21"/>
        <v>0</v>
      </c>
      <c r="K72" s="219"/>
      <c r="L72" s="221">
        <f t="shared" si="11"/>
        <v>68</v>
      </c>
      <c r="M72" s="221">
        <f t="shared" si="22"/>
        <v>170</v>
      </c>
    </row>
    <row r="73" spans="1:13" ht="12.75" customHeight="1">
      <c r="A73" s="223">
        <f t="shared" si="12"/>
        <v>205</v>
      </c>
      <c r="B73" s="218">
        <f t="shared" si="13"/>
        <v>1</v>
      </c>
      <c r="C73" s="219">
        <f t="shared" si="14"/>
        <v>0</v>
      </c>
      <c r="D73" s="218">
        <f t="shared" si="15"/>
        <v>0</v>
      </c>
      <c r="E73" s="219">
        <f t="shared" si="16"/>
        <v>1</v>
      </c>
      <c r="F73" s="218">
        <f t="shared" si="17"/>
        <v>1</v>
      </c>
      <c r="G73" s="219">
        <f t="shared" si="18"/>
        <v>0</v>
      </c>
      <c r="H73" s="218">
        <f t="shared" si="19"/>
        <v>0</v>
      </c>
      <c r="I73" s="219">
        <f t="shared" si="20"/>
        <v>0</v>
      </c>
      <c r="J73" s="218">
        <f t="shared" si="21"/>
        <v>1</v>
      </c>
      <c r="K73" s="219"/>
      <c r="L73" s="221">
        <f t="shared" si="11"/>
        <v>69</v>
      </c>
      <c r="M73" s="221">
        <f t="shared" si="22"/>
        <v>172.5</v>
      </c>
    </row>
    <row r="74" spans="1:13" ht="12.75" customHeight="1">
      <c r="A74" s="223">
        <f t="shared" si="12"/>
        <v>207.5</v>
      </c>
      <c r="B74" s="218">
        <f t="shared" si="13"/>
        <v>1</v>
      </c>
      <c r="C74" s="219">
        <f t="shared" si="14"/>
        <v>0</v>
      </c>
      <c r="D74" s="218">
        <f t="shared" si="15"/>
        <v>0</v>
      </c>
      <c r="E74" s="219">
        <f t="shared" si="16"/>
        <v>1</v>
      </c>
      <c r="F74" s="218">
        <f t="shared" si="17"/>
        <v>1</v>
      </c>
      <c r="G74" s="219">
        <f t="shared" si="18"/>
        <v>0</v>
      </c>
      <c r="H74" s="218">
        <f t="shared" si="19"/>
        <v>0</v>
      </c>
      <c r="I74" s="219">
        <f t="shared" si="20"/>
        <v>1</v>
      </c>
      <c r="J74" s="218">
        <f t="shared" si="21"/>
        <v>0</v>
      </c>
      <c r="K74" s="219"/>
      <c r="L74" s="221">
        <f t="shared" si="11"/>
        <v>70</v>
      </c>
      <c r="M74" s="221">
        <f t="shared" si="22"/>
        <v>175</v>
      </c>
    </row>
    <row r="75" spans="1:13" ht="12.75" customHeight="1">
      <c r="A75" s="223">
        <f t="shared" si="12"/>
        <v>210</v>
      </c>
      <c r="B75" s="218">
        <f t="shared" si="13"/>
        <v>1</v>
      </c>
      <c r="C75" s="219">
        <f t="shared" si="14"/>
        <v>0</v>
      </c>
      <c r="D75" s="218">
        <f t="shared" si="15"/>
        <v>0</v>
      </c>
      <c r="E75" s="219">
        <f t="shared" si="16"/>
        <v>1</v>
      </c>
      <c r="F75" s="218">
        <f t="shared" si="17"/>
        <v>1</v>
      </c>
      <c r="G75" s="219">
        <f t="shared" si="18"/>
        <v>0</v>
      </c>
      <c r="H75" s="218">
        <f t="shared" si="19"/>
        <v>0</v>
      </c>
      <c r="I75" s="219">
        <f t="shared" si="20"/>
        <v>1</v>
      </c>
      <c r="J75" s="218">
        <f t="shared" si="21"/>
        <v>1</v>
      </c>
      <c r="K75" s="219"/>
      <c r="L75" s="221">
        <f t="shared" si="11"/>
        <v>71</v>
      </c>
      <c r="M75" s="221">
        <f t="shared" si="22"/>
        <v>177.5</v>
      </c>
    </row>
    <row r="76" spans="1:13" ht="12.75" customHeight="1">
      <c r="A76" s="223">
        <f t="shared" si="12"/>
        <v>212.5</v>
      </c>
      <c r="B76" s="218">
        <f t="shared" si="13"/>
        <v>1</v>
      </c>
      <c r="C76" s="219">
        <f t="shared" si="14"/>
        <v>0</v>
      </c>
      <c r="D76" s="218">
        <f t="shared" si="15"/>
        <v>0</v>
      </c>
      <c r="E76" s="219">
        <f t="shared" si="16"/>
        <v>2</v>
      </c>
      <c r="F76" s="218">
        <f t="shared" si="17"/>
        <v>0</v>
      </c>
      <c r="G76" s="219">
        <f t="shared" si="18"/>
        <v>0</v>
      </c>
      <c r="H76" s="218">
        <f t="shared" si="19"/>
        <v>0</v>
      </c>
      <c r="I76" s="219">
        <f t="shared" si="20"/>
        <v>0</v>
      </c>
      <c r="J76" s="218">
        <f t="shared" si="21"/>
        <v>0</v>
      </c>
      <c r="K76" s="219"/>
      <c r="L76" s="221">
        <f t="shared" si="11"/>
        <v>72</v>
      </c>
      <c r="M76" s="221">
        <f t="shared" si="22"/>
        <v>180</v>
      </c>
    </row>
    <row r="77" spans="1:13" ht="12.75" customHeight="1">
      <c r="A77" s="223">
        <f t="shared" si="12"/>
        <v>215</v>
      </c>
      <c r="B77" s="218">
        <f t="shared" si="13"/>
        <v>1</v>
      </c>
      <c r="C77" s="219">
        <f t="shared" si="14"/>
        <v>0</v>
      </c>
      <c r="D77" s="218">
        <f t="shared" si="15"/>
        <v>0</v>
      </c>
      <c r="E77" s="219">
        <f t="shared" si="16"/>
        <v>2</v>
      </c>
      <c r="F77" s="218">
        <f t="shared" si="17"/>
        <v>0</v>
      </c>
      <c r="G77" s="219">
        <f t="shared" si="18"/>
        <v>0</v>
      </c>
      <c r="H77" s="218">
        <f t="shared" si="19"/>
        <v>0</v>
      </c>
      <c r="I77" s="219">
        <f t="shared" si="20"/>
        <v>0</v>
      </c>
      <c r="J77" s="218">
        <f t="shared" si="21"/>
        <v>1</v>
      </c>
      <c r="K77" s="219"/>
      <c r="L77" s="221">
        <f aca="true" t="shared" si="23" ref="L77:L140">L76+1</f>
        <v>73</v>
      </c>
      <c r="M77" s="221">
        <f t="shared" si="22"/>
        <v>182.5</v>
      </c>
    </row>
    <row r="78" spans="1:13" ht="12.75" customHeight="1">
      <c r="A78" s="223">
        <f t="shared" si="12"/>
        <v>217.5</v>
      </c>
      <c r="B78" s="218">
        <f t="shared" si="13"/>
        <v>1</v>
      </c>
      <c r="C78" s="219">
        <f t="shared" si="14"/>
        <v>0</v>
      </c>
      <c r="D78" s="218">
        <f t="shared" si="15"/>
        <v>0</v>
      </c>
      <c r="E78" s="219">
        <f t="shared" si="16"/>
        <v>2</v>
      </c>
      <c r="F78" s="218">
        <f t="shared" si="17"/>
        <v>0</v>
      </c>
      <c r="G78" s="219">
        <f t="shared" si="18"/>
        <v>0</v>
      </c>
      <c r="H78" s="218">
        <f t="shared" si="19"/>
        <v>0</v>
      </c>
      <c r="I78" s="219">
        <f t="shared" si="20"/>
        <v>1</v>
      </c>
      <c r="J78" s="218">
        <f t="shared" si="21"/>
        <v>0</v>
      </c>
      <c r="K78" s="219"/>
      <c r="L78" s="221">
        <f t="shared" si="23"/>
        <v>74</v>
      </c>
      <c r="M78" s="221">
        <f t="shared" si="22"/>
        <v>185</v>
      </c>
    </row>
    <row r="79" spans="1:13" ht="12.75" customHeight="1">
      <c r="A79" s="223">
        <f t="shared" si="12"/>
        <v>220</v>
      </c>
      <c r="B79" s="218">
        <f t="shared" si="13"/>
        <v>1</v>
      </c>
      <c r="C79" s="219">
        <f t="shared" si="14"/>
        <v>0</v>
      </c>
      <c r="D79" s="218">
        <f t="shared" si="15"/>
        <v>0</v>
      </c>
      <c r="E79" s="219">
        <f t="shared" si="16"/>
        <v>2</v>
      </c>
      <c r="F79" s="218">
        <f t="shared" si="17"/>
        <v>0</v>
      </c>
      <c r="G79" s="219">
        <f t="shared" si="18"/>
        <v>0</v>
      </c>
      <c r="H79" s="218">
        <f t="shared" si="19"/>
        <v>0</v>
      </c>
      <c r="I79" s="219">
        <f t="shared" si="20"/>
        <v>1</v>
      </c>
      <c r="J79" s="218">
        <f t="shared" si="21"/>
        <v>1</v>
      </c>
      <c r="K79" s="219"/>
      <c r="L79" s="221">
        <f t="shared" si="23"/>
        <v>75</v>
      </c>
      <c r="M79" s="221">
        <f t="shared" si="22"/>
        <v>187.5</v>
      </c>
    </row>
    <row r="80" spans="1:13" ht="12.75" customHeight="1">
      <c r="A80" s="223">
        <f t="shared" si="12"/>
        <v>222.5</v>
      </c>
      <c r="B80" s="218">
        <f t="shared" si="13"/>
        <v>1</v>
      </c>
      <c r="C80" s="219">
        <f t="shared" si="14"/>
        <v>0</v>
      </c>
      <c r="D80" s="218">
        <f t="shared" si="15"/>
        <v>0</v>
      </c>
      <c r="E80" s="219">
        <f t="shared" si="16"/>
        <v>2</v>
      </c>
      <c r="F80" s="218">
        <f t="shared" si="17"/>
        <v>0</v>
      </c>
      <c r="G80" s="219">
        <f t="shared" si="18"/>
        <v>0</v>
      </c>
      <c r="H80" s="218">
        <f t="shared" si="19"/>
        <v>1</v>
      </c>
      <c r="I80" s="219">
        <f t="shared" si="20"/>
        <v>0</v>
      </c>
      <c r="J80" s="218">
        <f t="shared" si="21"/>
        <v>0</v>
      </c>
      <c r="K80" s="219"/>
      <c r="L80" s="221">
        <f t="shared" si="23"/>
        <v>76</v>
      </c>
      <c r="M80" s="221">
        <f t="shared" si="22"/>
        <v>190</v>
      </c>
    </row>
    <row r="81" spans="1:13" ht="12.75" customHeight="1">
      <c r="A81" s="223">
        <f t="shared" si="12"/>
        <v>225</v>
      </c>
      <c r="B81" s="218">
        <f t="shared" si="13"/>
        <v>1</v>
      </c>
      <c r="C81" s="219">
        <f t="shared" si="14"/>
        <v>0</v>
      </c>
      <c r="D81" s="218">
        <f t="shared" si="15"/>
        <v>0</v>
      </c>
      <c r="E81" s="219">
        <f t="shared" si="16"/>
        <v>2</v>
      </c>
      <c r="F81" s="218">
        <f t="shared" si="17"/>
        <v>0</v>
      </c>
      <c r="G81" s="219">
        <f t="shared" si="18"/>
        <v>0</v>
      </c>
      <c r="H81" s="218">
        <f t="shared" si="19"/>
        <v>1</v>
      </c>
      <c r="I81" s="219">
        <f t="shared" si="20"/>
        <v>0</v>
      </c>
      <c r="J81" s="218">
        <f t="shared" si="21"/>
        <v>1</v>
      </c>
      <c r="K81" s="219"/>
      <c r="L81" s="221">
        <f t="shared" si="23"/>
        <v>77</v>
      </c>
      <c r="M81" s="221">
        <f t="shared" si="22"/>
        <v>192.5</v>
      </c>
    </row>
    <row r="82" spans="1:13" ht="12.75" customHeight="1">
      <c r="A82" s="223">
        <f t="shared" si="12"/>
        <v>227.5</v>
      </c>
      <c r="B82" s="218">
        <f t="shared" si="13"/>
        <v>1</v>
      </c>
      <c r="C82" s="219">
        <f t="shared" si="14"/>
        <v>0</v>
      </c>
      <c r="D82" s="218">
        <f t="shared" si="15"/>
        <v>0</v>
      </c>
      <c r="E82" s="219">
        <f t="shared" si="16"/>
        <v>2</v>
      </c>
      <c r="F82" s="218">
        <f t="shared" si="17"/>
        <v>0</v>
      </c>
      <c r="G82" s="219">
        <f t="shared" si="18"/>
        <v>0</v>
      </c>
      <c r="H82" s="218">
        <f t="shared" si="19"/>
        <v>1</v>
      </c>
      <c r="I82" s="219">
        <f t="shared" si="20"/>
        <v>1</v>
      </c>
      <c r="J82" s="218">
        <f t="shared" si="21"/>
        <v>0</v>
      </c>
      <c r="K82" s="219"/>
      <c r="L82" s="221">
        <f t="shared" si="23"/>
        <v>78</v>
      </c>
      <c r="M82" s="221">
        <f t="shared" si="22"/>
        <v>195</v>
      </c>
    </row>
    <row r="83" spans="1:13" ht="12.75" customHeight="1">
      <c r="A83" s="223">
        <f t="shared" si="12"/>
        <v>230</v>
      </c>
      <c r="B83" s="218">
        <f t="shared" si="13"/>
        <v>1</v>
      </c>
      <c r="C83" s="219">
        <f t="shared" si="14"/>
        <v>0</v>
      </c>
      <c r="D83" s="218">
        <f t="shared" si="15"/>
        <v>0</v>
      </c>
      <c r="E83" s="219">
        <f t="shared" si="16"/>
        <v>2</v>
      </c>
      <c r="F83" s="218">
        <f t="shared" si="17"/>
        <v>0</v>
      </c>
      <c r="G83" s="219">
        <f t="shared" si="18"/>
        <v>0</v>
      </c>
      <c r="H83" s="218">
        <f t="shared" si="19"/>
        <v>1</v>
      </c>
      <c r="I83" s="219">
        <f t="shared" si="20"/>
        <v>1</v>
      </c>
      <c r="J83" s="218">
        <f t="shared" si="21"/>
        <v>1</v>
      </c>
      <c r="K83" s="219"/>
      <c r="L83" s="221">
        <f t="shared" si="23"/>
        <v>79</v>
      </c>
      <c r="M83" s="221">
        <f t="shared" si="22"/>
        <v>197.5</v>
      </c>
    </row>
    <row r="84" spans="1:13" ht="12.75" customHeight="1">
      <c r="A84" s="223">
        <f t="shared" si="12"/>
        <v>232.5</v>
      </c>
      <c r="B84" s="218">
        <f t="shared" si="13"/>
        <v>2</v>
      </c>
      <c r="C84" s="219">
        <f t="shared" si="14"/>
        <v>0</v>
      </c>
      <c r="D84" s="218">
        <f t="shared" si="15"/>
        <v>0</v>
      </c>
      <c r="E84" s="219">
        <f t="shared" si="16"/>
        <v>0</v>
      </c>
      <c r="F84" s="218">
        <f t="shared" si="17"/>
        <v>0</v>
      </c>
      <c r="G84" s="219">
        <f t="shared" si="18"/>
        <v>0</v>
      </c>
      <c r="H84" s="218">
        <f t="shared" si="19"/>
        <v>0</v>
      </c>
      <c r="I84" s="219">
        <f t="shared" si="20"/>
        <v>0</v>
      </c>
      <c r="J84" s="218">
        <f t="shared" si="21"/>
        <v>0</v>
      </c>
      <c r="K84" s="219"/>
      <c r="L84" s="221">
        <f t="shared" si="23"/>
        <v>80</v>
      </c>
      <c r="M84" s="221">
        <f t="shared" si="22"/>
        <v>200</v>
      </c>
    </row>
    <row r="85" spans="1:13" ht="12.75" customHeight="1">
      <c r="A85" s="223">
        <f t="shared" si="12"/>
        <v>235</v>
      </c>
      <c r="B85" s="218">
        <f t="shared" si="13"/>
        <v>2</v>
      </c>
      <c r="C85" s="219">
        <f t="shared" si="14"/>
        <v>0</v>
      </c>
      <c r="D85" s="218">
        <f t="shared" si="15"/>
        <v>0</v>
      </c>
      <c r="E85" s="219">
        <f t="shared" si="16"/>
        <v>0</v>
      </c>
      <c r="F85" s="218">
        <f t="shared" si="17"/>
        <v>0</v>
      </c>
      <c r="G85" s="219">
        <f t="shared" si="18"/>
        <v>0</v>
      </c>
      <c r="H85" s="218">
        <f t="shared" si="19"/>
        <v>0</v>
      </c>
      <c r="I85" s="219">
        <f t="shared" si="20"/>
        <v>0</v>
      </c>
      <c r="J85" s="218">
        <f t="shared" si="21"/>
        <v>1</v>
      </c>
      <c r="K85" s="219"/>
      <c r="L85" s="221">
        <f t="shared" si="23"/>
        <v>81</v>
      </c>
      <c r="M85" s="221">
        <f t="shared" si="22"/>
        <v>202.5</v>
      </c>
    </row>
    <row r="86" spans="1:13" ht="12.75" customHeight="1">
      <c r="A86" s="223">
        <f t="shared" si="12"/>
        <v>237.5</v>
      </c>
      <c r="B86" s="218">
        <f t="shared" si="13"/>
        <v>2</v>
      </c>
      <c r="C86" s="219">
        <f t="shared" si="14"/>
        <v>0</v>
      </c>
      <c r="D86" s="218">
        <f t="shared" si="15"/>
        <v>0</v>
      </c>
      <c r="E86" s="219">
        <f t="shared" si="16"/>
        <v>0</v>
      </c>
      <c r="F86" s="218">
        <f t="shared" si="17"/>
        <v>0</v>
      </c>
      <c r="G86" s="219">
        <f t="shared" si="18"/>
        <v>0</v>
      </c>
      <c r="H86" s="218">
        <f t="shared" si="19"/>
        <v>0</v>
      </c>
      <c r="I86" s="219">
        <f t="shared" si="20"/>
        <v>1</v>
      </c>
      <c r="J86" s="218">
        <f t="shared" si="21"/>
        <v>0</v>
      </c>
      <c r="K86" s="219"/>
      <c r="L86" s="221">
        <f t="shared" si="23"/>
        <v>82</v>
      </c>
      <c r="M86" s="221">
        <f t="shared" si="22"/>
        <v>205</v>
      </c>
    </row>
    <row r="87" spans="1:13" ht="12.75" customHeight="1">
      <c r="A87" s="223">
        <f t="shared" si="12"/>
        <v>240</v>
      </c>
      <c r="B87" s="218">
        <f t="shared" si="13"/>
        <v>2</v>
      </c>
      <c r="C87" s="219">
        <f t="shared" si="14"/>
        <v>0</v>
      </c>
      <c r="D87" s="218">
        <f t="shared" si="15"/>
        <v>0</v>
      </c>
      <c r="E87" s="219">
        <f t="shared" si="16"/>
        <v>0</v>
      </c>
      <c r="F87" s="218">
        <f t="shared" si="17"/>
        <v>0</v>
      </c>
      <c r="G87" s="219">
        <f t="shared" si="18"/>
        <v>0</v>
      </c>
      <c r="H87" s="218">
        <f t="shared" si="19"/>
        <v>0</v>
      </c>
      <c r="I87" s="219">
        <f t="shared" si="20"/>
        <v>1</v>
      </c>
      <c r="J87" s="218">
        <f t="shared" si="21"/>
        <v>1</v>
      </c>
      <c r="K87" s="219"/>
      <c r="L87" s="221">
        <f t="shared" si="23"/>
        <v>83</v>
      </c>
      <c r="M87" s="221">
        <f t="shared" si="22"/>
        <v>207.5</v>
      </c>
    </row>
    <row r="88" spans="1:13" ht="12.75" customHeight="1">
      <c r="A88" s="223">
        <f t="shared" si="12"/>
        <v>242.5</v>
      </c>
      <c r="B88" s="218">
        <f t="shared" si="13"/>
        <v>2</v>
      </c>
      <c r="C88" s="219">
        <f t="shared" si="14"/>
        <v>0</v>
      </c>
      <c r="D88" s="218">
        <f t="shared" si="15"/>
        <v>0</v>
      </c>
      <c r="E88" s="219">
        <f t="shared" si="16"/>
        <v>0</v>
      </c>
      <c r="F88" s="218">
        <f t="shared" si="17"/>
        <v>0</v>
      </c>
      <c r="G88" s="219">
        <f t="shared" si="18"/>
        <v>0</v>
      </c>
      <c r="H88" s="218">
        <f t="shared" si="19"/>
        <v>1</v>
      </c>
      <c r="I88" s="219">
        <f t="shared" si="20"/>
        <v>0</v>
      </c>
      <c r="J88" s="218">
        <f t="shared" si="21"/>
        <v>0</v>
      </c>
      <c r="K88" s="219"/>
      <c r="L88" s="221">
        <f t="shared" si="23"/>
        <v>84</v>
      </c>
      <c r="M88" s="221">
        <f t="shared" si="22"/>
        <v>210</v>
      </c>
    </row>
    <row r="89" spans="1:13" ht="12.75" customHeight="1">
      <c r="A89" s="223">
        <f t="shared" si="12"/>
        <v>245</v>
      </c>
      <c r="B89" s="218">
        <f t="shared" si="13"/>
        <v>2</v>
      </c>
      <c r="C89" s="219">
        <f t="shared" si="14"/>
        <v>0</v>
      </c>
      <c r="D89" s="218">
        <f t="shared" si="15"/>
        <v>0</v>
      </c>
      <c r="E89" s="219">
        <f t="shared" si="16"/>
        <v>0</v>
      </c>
      <c r="F89" s="218">
        <f t="shared" si="17"/>
        <v>0</v>
      </c>
      <c r="G89" s="219">
        <f t="shared" si="18"/>
        <v>0</v>
      </c>
      <c r="H89" s="218">
        <f t="shared" si="19"/>
        <v>1</v>
      </c>
      <c r="I89" s="219">
        <f t="shared" si="20"/>
        <v>0</v>
      </c>
      <c r="J89" s="218">
        <f t="shared" si="21"/>
        <v>1</v>
      </c>
      <c r="K89" s="219"/>
      <c r="L89" s="221">
        <f t="shared" si="23"/>
        <v>85</v>
      </c>
      <c r="M89" s="221">
        <f t="shared" si="22"/>
        <v>212.5</v>
      </c>
    </row>
    <row r="90" spans="1:13" ht="12.75" customHeight="1">
      <c r="A90" s="223">
        <f t="shared" si="12"/>
        <v>247.5</v>
      </c>
      <c r="B90" s="218">
        <f t="shared" si="13"/>
        <v>2</v>
      </c>
      <c r="C90" s="219">
        <f t="shared" si="14"/>
        <v>0</v>
      </c>
      <c r="D90" s="218">
        <f t="shared" si="15"/>
        <v>0</v>
      </c>
      <c r="E90" s="219">
        <f t="shared" si="16"/>
        <v>0</v>
      </c>
      <c r="F90" s="218">
        <f t="shared" si="17"/>
        <v>0</v>
      </c>
      <c r="G90" s="219">
        <f t="shared" si="18"/>
        <v>0</v>
      </c>
      <c r="H90" s="218">
        <f t="shared" si="19"/>
        <v>1</v>
      </c>
      <c r="I90" s="219">
        <f t="shared" si="20"/>
        <v>1</v>
      </c>
      <c r="J90" s="218">
        <f t="shared" si="21"/>
        <v>0</v>
      </c>
      <c r="K90" s="219"/>
      <c r="L90" s="221">
        <f t="shared" si="23"/>
        <v>86</v>
      </c>
      <c r="M90" s="221">
        <f t="shared" si="22"/>
        <v>215</v>
      </c>
    </row>
    <row r="91" spans="1:13" ht="12.75" customHeight="1">
      <c r="A91" s="223">
        <f t="shared" si="12"/>
        <v>250</v>
      </c>
      <c r="B91" s="218">
        <f t="shared" si="13"/>
        <v>2</v>
      </c>
      <c r="C91" s="219">
        <f t="shared" si="14"/>
        <v>0</v>
      </c>
      <c r="D91" s="218">
        <f t="shared" si="15"/>
        <v>0</v>
      </c>
      <c r="E91" s="219">
        <f t="shared" si="16"/>
        <v>0</v>
      </c>
      <c r="F91" s="218">
        <f t="shared" si="17"/>
        <v>0</v>
      </c>
      <c r="G91" s="219">
        <f t="shared" si="18"/>
        <v>0</v>
      </c>
      <c r="H91" s="218">
        <f t="shared" si="19"/>
        <v>1</v>
      </c>
      <c r="I91" s="219">
        <f t="shared" si="20"/>
        <v>1</v>
      </c>
      <c r="J91" s="218">
        <f t="shared" si="21"/>
        <v>1</v>
      </c>
      <c r="K91" s="219"/>
      <c r="L91" s="221">
        <f t="shared" si="23"/>
        <v>87</v>
      </c>
      <c r="M91" s="221">
        <f t="shared" si="22"/>
        <v>217.5</v>
      </c>
    </row>
    <row r="92" spans="1:13" ht="12.75" customHeight="1">
      <c r="A92" s="223">
        <f t="shared" si="12"/>
        <v>252.5</v>
      </c>
      <c r="B92" s="218">
        <f t="shared" si="13"/>
        <v>2</v>
      </c>
      <c r="C92" s="219">
        <f t="shared" si="14"/>
        <v>0</v>
      </c>
      <c r="D92" s="218">
        <f t="shared" si="15"/>
        <v>0</v>
      </c>
      <c r="E92" s="219">
        <f t="shared" si="16"/>
        <v>0</v>
      </c>
      <c r="F92" s="218">
        <f t="shared" si="17"/>
        <v>0</v>
      </c>
      <c r="G92" s="219">
        <f t="shared" si="18"/>
        <v>1</v>
      </c>
      <c r="H92" s="218">
        <f t="shared" si="19"/>
        <v>0</v>
      </c>
      <c r="I92" s="219">
        <f t="shared" si="20"/>
        <v>0</v>
      </c>
      <c r="J92" s="218">
        <f t="shared" si="21"/>
        <v>0</v>
      </c>
      <c r="K92" s="219"/>
      <c r="L92" s="221">
        <f t="shared" si="23"/>
        <v>88</v>
      </c>
      <c r="M92" s="221">
        <f t="shared" si="22"/>
        <v>220</v>
      </c>
    </row>
    <row r="93" spans="1:13" ht="12.75" customHeight="1">
      <c r="A93" s="223">
        <f t="shared" si="12"/>
        <v>255</v>
      </c>
      <c r="B93" s="218">
        <f t="shared" si="13"/>
        <v>2</v>
      </c>
      <c r="C93" s="219">
        <f t="shared" si="14"/>
        <v>0</v>
      </c>
      <c r="D93" s="218">
        <f t="shared" si="15"/>
        <v>0</v>
      </c>
      <c r="E93" s="219">
        <f t="shared" si="16"/>
        <v>0</v>
      </c>
      <c r="F93" s="218">
        <f t="shared" si="17"/>
        <v>0</v>
      </c>
      <c r="G93" s="219">
        <f t="shared" si="18"/>
        <v>1</v>
      </c>
      <c r="H93" s="218">
        <f t="shared" si="19"/>
        <v>0</v>
      </c>
      <c r="I93" s="219">
        <f t="shared" si="20"/>
        <v>0</v>
      </c>
      <c r="J93" s="218">
        <f t="shared" si="21"/>
        <v>1</v>
      </c>
      <c r="K93" s="219"/>
      <c r="L93" s="221">
        <f t="shared" si="23"/>
        <v>89</v>
      </c>
      <c r="M93" s="221">
        <f t="shared" si="22"/>
        <v>222.5</v>
      </c>
    </row>
    <row r="94" spans="1:13" ht="12.75" customHeight="1">
      <c r="A94" s="223">
        <f t="shared" si="12"/>
        <v>257.5</v>
      </c>
      <c r="B94" s="218">
        <f t="shared" si="13"/>
        <v>2</v>
      </c>
      <c r="C94" s="219">
        <f t="shared" si="14"/>
        <v>0</v>
      </c>
      <c r="D94" s="218">
        <f t="shared" si="15"/>
        <v>0</v>
      </c>
      <c r="E94" s="219">
        <f t="shared" si="16"/>
        <v>0</v>
      </c>
      <c r="F94" s="218">
        <f t="shared" si="17"/>
        <v>0</v>
      </c>
      <c r="G94" s="219">
        <f t="shared" si="18"/>
        <v>1</v>
      </c>
      <c r="H94" s="218">
        <f t="shared" si="19"/>
        <v>0</v>
      </c>
      <c r="I94" s="219">
        <f t="shared" si="20"/>
        <v>1</v>
      </c>
      <c r="J94" s="218">
        <f t="shared" si="21"/>
        <v>0</v>
      </c>
      <c r="K94" s="219"/>
      <c r="L94" s="221">
        <f t="shared" si="23"/>
        <v>90</v>
      </c>
      <c r="M94" s="221">
        <f t="shared" si="22"/>
        <v>225</v>
      </c>
    </row>
    <row r="95" spans="1:13" ht="12.75" customHeight="1">
      <c r="A95" s="223">
        <f t="shared" si="12"/>
        <v>260</v>
      </c>
      <c r="B95" s="218">
        <f t="shared" si="13"/>
        <v>2</v>
      </c>
      <c r="C95" s="219">
        <f t="shared" si="14"/>
        <v>0</v>
      </c>
      <c r="D95" s="218">
        <f t="shared" si="15"/>
        <v>0</v>
      </c>
      <c r="E95" s="219">
        <f t="shared" si="16"/>
        <v>0</v>
      </c>
      <c r="F95" s="218">
        <f t="shared" si="17"/>
        <v>0</v>
      </c>
      <c r="G95" s="219">
        <f t="shared" si="18"/>
        <v>1</v>
      </c>
      <c r="H95" s="218">
        <f t="shared" si="19"/>
        <v>0</v>
      </c>
      <c r="I95" s="219">
        <f t="shared" si="20"/>
        <v>1</v>
      </c>
      <c r="J95" s="218">
        <f t="shared" si="21"/>
        <v>1</v>
      </c>
      <c r="K95" s="219"/>
      <c r="L95" s="221">
        <f t="shared" si="23"/>
        <v>91</v>
      </c>
      <c r="M95" s="221">
        <f t="shared" si="22"/>
        <v>227.5</v>
      </c>
    </row>
    <row r="96" spans="1:13" ht="12.75" customHeight="1">
      <c r="A96" s="223">
        <f t="shared" si="12"/>
        <v>262.5</v>
      </c>
      <c r="B96" s="218">
        <f t="shared" si="13"/>
        <v>2</v>
      </c>
      <c r="C96" s="219">
        <f t="shared" si="14"/>
        <v>0</v>
      </c>
      <c r="D96" s="218">
        <f t="shared" si="15"/>
        <v>0</v>
      </c>
      <c r="E96" s="219">
        <f t="shared" si="16"/>
        <v>0</v>
      </c>
      <c r="F96" s="218">
        <f t="shared" si="17"/>
        <v>1</v>
      </c>
      <c r="G96" s="219">
        <f t="shared" si="18"/>
        <v>0</v>
      </c>
      <c r="H96" s="218">
        <f t="shared" si="19"/>
        <v>0</v>
      </c>
      <c r="I96" s="219">
        <f t="shared" si="20"/>
        <v>0</v>
      </c>
      <c r="J96" s="218">
        <f t="shared" si="21"/>
        <v>0</v>
      </c>
      <c r="K96" s="219"/>
      <c r="L96" s="221">
        <f t="shared" si="23"/>
        <v>92</v>
      </c>
      <c r="M96" s="221">
        <f t="shared" si="22"/>
        <v>230</v>
      </c>
    </row>
    <row r="97" spans="1:13" ht="12.75" customHeight="1">
      <c r="A97" s="223">
        <f t="shared" si="12"/>
        <v>265</v>
      </c>
      <c r="B97" s="218">
        <f t="shared" si="13"/>
        <v>2</v>
      </c>
      <c r="C97" s="219">
        <f t="shared" si="14"/>
        <v>0</v>
      </c>
      <c r="D97" s="218">
        <f t="shared" si="15"/>
        <v>0</v>
      </c>
      <c r="E97" s="219">
        <f t="shared" si="16"/>
        <v>0</v>
      </c>
      <c r="F97" s="218">
        <f t="shared" si="17"/>
        <v>1</v>
      </c>
      <c r="G97" s="219">
        <f t="shared" si="18"/>
        <v>0</v>
      </c>
      <c r="H97" s="218">
        <f t="shared" si="19"/>
        <v>0</v>
      </c>
      <c r="I97" s="219">
        <f t="shared" si="20"/>
        <v>0</v>
      </c>
      <c r="J97" s="218">
        <f t="shared" si="21"/>
        <v>1</v>
      </c>
      <c r="K97" s="219"/>
      <c r="L97" s="221">
        <f t="shared" si="23"/>
        <v>93</v>
      </c>
      <c r="M97" s="221">
        <f t="shared" si="22"/>
        <v>232.5</v>
      </c>
    </row>
    <row r="98" spans="1:13" ht="12.75" customHeight="1">
      <c r="A98" s="223">
        <f t="shared" si="12"/>
        <v>267.5</v>
      </c>
      <c r="B98" s="218">
        <f t="shared" si="13"/>
        <v>2</v>
      </c>
      <c r="C98" s="219">
        <f t="shared" si="14"/>
        <v>0</v>
      </c>
      <c r="D98" s="218">
        <f t="shared" si="15"/>
        <v>0</v>
      </c>
      <c r="E98" s="219">
        <f t="shared" si="16"/>
        <v>0</v>
      </c>
      <c r="F98" s="218">
        <f t="shared" si="17"/>
        <v>1</v>
      </c>
      <c r="G98" s="219">
        <f t="shared" si="18"/>
        <v>0</v>
      </c>
      <c r="H98" s="218">
        <f t="shared" si="19"/>
        <v>0</v>
      </c>
      <c r="I98" s="219">
        <f t="shared" si="20"/>
        <v>1</v>
      </c>
      <c r="J98" s="218">
        <f t="shared" si="21"/>
        <v>0</v>
      </c>
      <c r="K98" s="219"/>
      <c r="L98" s="221">
        <f t="shared" si="23"/>
        <v>94</v>
      </c>
      <c r="M98" s="221">
        <f t="shared" si="22"/>
        <v>235</v>
      </c>
    </row>
    <row r="99" spans="1:13" ht="12.75" customHeight="1">
      <c r="A99" s="223">
        <f t="shared" si="12"/>
        <v>270</v>
      </c>
      <c r="B99" s="218">
        <f t="shared" si="13"/>
        <v>2</v>
      </c>
      <c r="C99" s="219">
        <f t="shared" si="14"/>
        <v>0</v>
      </c>
      <c r="D99" s="218">
        <f t="shared" si="15"/>
        <v>0</v>
      </c>
      <c r="E99" s="219">
        <f t="shared" si="16"/>
        <v>0</v>
      </c>
      <c r="F99" s="218">
        <f t="shared" si="17"/>
        <v>1</v>
      </c>
      <c r="G99" s="219">
        <f t="shared" si="18"/>
        <v>0</v>
      </c>
      <c r="H99" s="218">
        <f t="shared" si="19"/>
        <v>0</v>
      </c>
      <c r="I99" s="219">
        <f t="shared" si="20"/>
        <v>1</v>
      </c>
      <c r="J99" s="218">
        <f t="shared" si="21"/>
        <v>1</v>
      </c>
      <c r="K99" s="219"/>
      <c r="L99" s="221">
        <f t="shared" si="23"/>
        <v>95</v>
      </c>
      <c r="M99" s="221">
        <f t="shared" si="22"/>
        <v>237.5</v>
      </c>
    </row>
    <row r="100" spans="1:13" ht="12.75" customHeight="1">
      <c r="A100" s="223">
        <f t="shared" si="12"/>
        <v>272.5</v>
      </c>
      <c r="B100" s="218">
        <f t="shared" si="13"/>
        <v>2</v>
      </c>
      <c r="C100" s="219">
        <f t="shared" si="14"/>
        <v>0</v>
      </c>
      <c r="D100" s="218">
        <f t="shared" si="15"/>
        <v>0</v>
      </c>
      <c r="E100" s="219">
        <f t="shared" si="16"/>
        <v>1</v>
      </c>
      <c r="F100" s="218">
        <f t="shared" si="17"/>
        <v>0</v>
      </c>
      <c r="G100" s="219">
        <f t="shared" si="18"/>
        <v>0</v>
      </c>
      <c r="H100" s="218">
        <f t="shared" si="19"/>
        <v>0</v>
      </c>
      <c r="I100" s="219">
        <f t="shared" si="20"/>
        <v>0</v>
      </c>
      <c r="J100" s="218">
        <f t="shared" si="21"/>
        <v>0</v>
      </c>
      <c r="K100" s="219"/>
      <c r="L100" s="221">
        <f t="shared" si="23"/>
        <v>96</v>
      </c>
      <c r="M100" s="221">
        <f t="shared" si="22"/>
        <v>240</v>
      </c>
    </row>
    <row r="101" spans="1:13" ht="12.75" customHeight="1">
      <c r="A101" s="223">
        <f t="shared" si="12"/>
        <v>275</v>
      </c>
      <c r="B101" s="218">
        <f t="shared" si="13"/>
        <v>2</v>
      </c>
      <c r="C101" s="219">
        <f t="shared" si="14"/>
        <v>0</v>
      </c>
      <c r="D101" s="218">
        <f t="shared" si="15"/>
        <v>0</v>
      </c>
      <c r="E101" s="219">
        <f t="shared" si="16"/>
        <v>1</v>
      </c>
      <c r="F101" s="218">
        <f t="shared" si="17"/>
        <v>0</v>
      </c>
      <c r="G101" s="219">
        <f t="shared" si="18"/>
        <v>0</v>
      </c>
      <c r="H101" s="218">
        <f t="shared" si="19"/>
        <v>0</v>
      </c>
      <c r="I101" s="219">
        <f t="shared" si="20"/>
        <v>0</v>
      </c>
      <c r="J101" s="218">
        <f t="shared" si="21"/>
        <v>1</v>
      </c>
      <c r="K101" s="219"/>
      <c r="L101" s="221">
        <f t="shared" si="23"/>
        <v>97</v>
      </c>
      <c r="M101" s="221">
        <f t="shared" si="22"/>
        <v>242.5</v>
      </c>
    </row>
    <row r="102" spans="1:13" ht="12.75" customHeight="1">
      <c r="A102" s="223">
        <f t="shared" si="12"/>
        <v>277.5</v>
      </c>
      <c r="B102" s="218">
        <f t="shared" si="13"/>
        <v>2</v>
      </c>
      <c r="C102" s="219">
        <f t="shared" si="14"/>
        <v>0</v>
      </c>
      <c r="D102" s="218">
        <f t="shared" si="15"/>
        <v>0</v>
      </c>
      <c r="E102" s="219">
        <f t="shared" si="16"/>
        <v>1</v>
      </c>
      <c r="F102" s="218">
        <f t="shared" si="17"/>
        <v>0</v>
      </c>
      <c r="G102" s="219">
        <f t="shared" si="18"/>
        <v>0</v>
      </c>
      <c r="H102" s="218">
        <f t="shared" si="19"/>
        <v>0</v>
      </c>
      <c r="I102" s="219">
        <f t="shared" si="20"/>
        <v>1</v>
      </c>
      <c r="J102" s="218">
        <f t="shared" si="21"/>
        <v>0</v>
      </c>
      <c r="K102" s="219"/>
      <c r="L102" s="221">
        <f t="shared" si="23"/>
        <v>98</v>
      </c>
      <c r="M102" s="221">
        <f t="shared" si="22"/>
        <v>245</v>
      </c>
    </row>
    <row r="103" spans="1:13" ht="12.75" customHeight="1">
      <c r="A103" s="223">
        <f t="shared" si="12"/>
        <v>280</v>
      </c>
      <c r="B103" s="218">
        <f t="shared" si="13"/>
        <v>2</v>
      </c>
      <c r="C103" s="219">
        <f t="shared" si="14"/>
        <v>0</v>
      </c>
      <c r="D103" s="218">
        <f t="shared" si="15"/>
        <v>0</v>
      </c>
      <c r="E103" s="219">
        <f t="shared" si="16"/>
        <v>1</v>
      </c>
      <c r="F103" s="218">
        <f t="shared" si="17"/>
        <v>0</v>
      </c>
      <c r="G103" s="219">
        <f t="shared" si="18"/>
        <v>0</v>
      </c>
      <c r="H103" s="218">
        <f t="shared" si="19"/>
        <v>0</v>
      </c>
      <c r="I103" s="219">
        <f t="shared" si="20"/>
        <v>1</v>
      </c>
      <c r="J103" s="218">
        <f t="shared" si="21"/>
        <v>1</v>
      </c>
      <c r="K103" s="219"/>
      <c r="L103" s="221">
        <f t="shared" si="23"/>
        <v>99</v>
      </c>
      <c r="M103" s="221">
        <f t="shared" si="22"/>
        <v>247.5</v>
      </c>
    </row>
    <row r="104" spans="1:13" ht="12.75" customHeight="1">
      <c r="A104" s="223">
        <f t="shared" si="12"/>
        <v>282.5</v>
      </c>
      <c r="B104" s="218">
        <f t="shared" si="13"/>
        <v>2</v>
      </c>
      <c r="C104" s="219">
        <f t="shared" si="14"/>
        <v>0</v>
      </c>
      <c r="D104" s="218">
        <f t="shared" si="15"/>
        <v>0</v>
      </c>
      <c r="E104" s="219">
        <f t="shared" si="16"/>
        <v>1</v>
      </c>
      <c r="F104" s="218">
        <f t="shared" si="17"/>
        <v>0</v>
      </c>
      <c r="G104" s="219">
        <f t="shared" si="18"/>
        <v>0</v>
      </c>
      <c r="H104" s="218">
        <f t="shared" si="19"/>
        <v>1</v>
      </c>
      <c r="I104" s="219">
        <f t="shared" si="20"/>
        <v>0</v>
      </c>
      <c r="J104" s="218">
        <f t="shared" si="21"/>
        <v>0</v>
      </c>
      <c r="K104" s="219"/>
      <c r="L104" s="221">
        <f t="shared" si="23"/>
        <v>100</v>
      </c>
      <c r="M104" s="221">
        <f t="shared" si="22"/>
        <v>250</v>
      </c>
    </row>
    <row r="105" spans="1:13" ht="12.75" customHeight="1">
      <c r="A105" s="223">
        <f t="shared" si="12"/>
        <v>285</v>
      </c>
      <c r="B105" s="218">
        <f t="shared" si="13"/>
        <v>2</v>
      </c>
      <c r="C105" s="219">
        <f t="shared" si="14"/>
        <v>0</v>
      </c>
      <c r="D105" s="218">
        <f t="shared" si="15"/>
        <v>0</v>
      </c>
      <c r="E105" s="219">
        <f t="shared" si="16"/>
        <v>1</v>
      </c>
      <c r="F105" s="218">
        <f t="shared" si="17"/>
        <v>0</v>
      </c>
      <c r="G105" s="219">
        <f t="shared" si="18"/>
        <v>0</v>
      </c>
      <c r="H105" s="218">
        <f t="shared" si="19"/>
        <v>1</v>
      </c>
      <c r="I105" s="219">
        <f t="shared" si="20"/>
        <v>0</v>
      </c>
      <c r="J105" s="218">
        <f t="shared" si="21"/>
        <v>1</v>
      </c>
      <c r="K105" s="219"/>
      <c r="L105" s="221">
        <f t="shared" si="23"/>
        <v>101</v>
      </c>
      <c r="M105" s="221">
        <f t="shared" si="22"/>
        <v>252.5</v>
      </c>
    </row>
    <row r="106" spans="1:13" ht="12.75" customHeight="1">
      <c r="A106" s="223">
        <f t="shared" si="12"/>
        <v>287.5</v>
      </c>
      <c r="B106" s="218">
        <f t="shared" si="13"/>
        <v>2</v>
      </c>
      <c r="C106" s="219">
        <f t="shared" si="14"/>
        <v>0</v>
      </c>
      <c r="D106" s="218">
        <f t="shared" si="15"/>
        <v>0</v>
      </c>
      <c r="E106" s="219">
        <f t="shared" si="16"/>
        <v>1</v>
      </c>
      <c r="F106" s="218">
        <f t="shared" si="17"/>
        <v>0</v>
      </c>
      <c r="G106" s="219">
        <f t="shared" si="18"/>
        <v>0</v>
      </c>
      <c r="H106" s="218">
        <f t="shared" si="19"/>
        <v>1</v>
      </c>
      <c r="I106" s="219">
        <f t="shared" si="20"/>
        <v>1</v>
      </c>
      <c r="J106" s="218">
        <f t="shared" si="21"/>
        <v>0</v>
      </c>
      <c r="K106" s="219"/>
      <c r="L106" s="221">
        <f t="shared" si="23"/>
        <v>102</v>
      </c>
      <c r="M106" s="221">
        <f t="shared" si="22"/>
        <v>255</v>
      </c>
    </row>
    <row r="107" spans="1:13" ht="12.75" customHeight="1">
      <c r="A107" s="223">
        <f t="shared" si="12"/>
        <v>290</v>
      </c>
      <c r="B107" s="218">
        <f t="shared" si="13"/>
        <v>2</v>
      </c>
      <c r="C107" s="219">
        <f t="shared" si="14"/>
        <v>0</v>
      </c>
      <c r="D107" s="218">
        <f t="shared" si="15"/>
        <v>0</v>
      </c>
      <c r="E107" s="219">
        <f t="shared" si="16"/>
        <v>1</v>
      </c>
      <c r="F107" s="218">
        <f t="shared" si="17"/>
        <v>0</v>
      </c>
      <c r="G107" s="219">
        <f t="shared" si="18"/>
        <v>0</v>
      </c>
      <c r="H107" s="218">
        <f t="shared" si="19"/>
        <v>1</v>
      </c>
      <c r="I107" s="219">
        <f t="shared" si="20"/>
        <v>1</v>
      </c>
      <c r="J107" s="218">
        <f t="shared" si="21"/>
        <v>1</v>
      </c>
      <c r="K107" s="219"/>
      <c r="L107" s="221">
        <f t="shared" si="23"/>
        <v>103</v>
      </c>
      <c r="M107" s="221">
        <f t="shared" si="22"/>
        <v>257.5</v>
      </c>
    </row>
    <row r="108" spans="1:13" ht="12.75" customHeight="1">
      <c r="A108" s="223">
        <f t="shared" si="12"/>
        <v>292.5</v>
      </c>
      <c r="B108" s="218">
        <f t="shared" si="13"/>
        <v>2</v>
      </c>
      <c r="C108" s="219">
        <f t="shared" si="14"/>
        <v>0</v>
      </c>
      <c r="D108" s="218">
        <f t="shared" si="15"/>
        <v>0</v>
      </c>
      <c r="E108" s="219">
        <f t="shared" si="16"/>
        <v>1</v>
      </c>
      <c r="F108" s="218">
        <f t="shared" si="17"/>
        <v>0</v>
      </c>
      <c r="G108" s="219">
        <f t="shared" si="18"/>
        <v>1</v>
      </c>
      <c r="H108" s="218">
        <f t="shared" si="19"/>
        <v>0</v>
      </c>
      <c r="I108" s="219">
        <f t="shared" si="20"/>
        <v>0</v>
      </c>
      <c r="J108" s="218">
        <f t="shared" si="21"/>
        <v>0</v>
      </c>
      <c r="K108" s="219"/>
      <c r="L108" s="221">
        <f t="shared" si="23"/>
        <v>104</v>
      </c>
      <c r="M108" s="221">
        <f t="shared" si="22"/>
        <v>260</v>
      </c>
    </row>
    <row r="109" spans="1:13" ht="12.75" customHeight="1">
      <c r="A109" s="223">
        <f t="shared" si="12"/>
        <v>295</v>
      </c>
      <c r="B109" s="218">
        <f t="shared" si="13"/>
        <v>2</v>
      </c>
      <c r="C109" s="219">
        <f t="shared" si="14"/>
        <v>0</v>
      </c>
      <c r="D109" s="218">
        <f t="shared" si="15"/>
        <v>0</v>
      </c>
      <c r="E109" s="219">
        <f t="shared" si="16"/>
        <v>1</v>
      </c>
      <c r="F109" s="218">
        <f t="shared" si="17"/>
        <v>0</v>
      </c>
      <c r="G109" s="219">
        <f t="shared" si="18"/>
        <v>1</v>
      </c>
      <c r="H109" s="218">
        <f t="shared" si="19"/>
        <v>0</v>
      </c>
      <c r="I109" s="219">
        <f t="shared" si="20"/>
        <v>0</v>
      </c>
      <c r="J109" s="218">
        <f t="shared" si="21"/>
        <v>1</v>
      </c>
      <c r="K109" s="219"/>
      <c r="L109" s="221">
        <f t="shared" si="23"/>
        <v>105</v>
      </c>
      <c r="M109" s="221">
        <f t="shared" si="22"/>
        <v>262.5</v>
      </c>
    </row>
    <row r="110" spans="1:13" ht="12.75" customHeight="1">
      <c r="A110" s="223">
        <f t="shared" si="12"/>
        <v>297.5</v>
      </c>
      <c r="B110" s="218">
        <f t="shared" si="13"/>
        <v>2</v>
      </c>
      <c r="C110" s="219">
        <f t="shared" si="14"/>
        <v>0</v>
      </c>
      <c r="D110" s="218">
        <f t="shared" si="15"/>
        <v>0</v>
      </c>
      <c r="E110" s="219">
        <f t="shared" si="16"/>
        <v>1</v>
      </c>
      <c r="F110" s="218">
        <f t="shared" si="17"/>
        <v>0</v>
      </c>
      <c r="G110" s="219">
        <f t="shared" si="18"/>
        <v>1</v>
      </c>
      <c r="H110" s="218">
        <f t="shared" si="19"/>
        <v>0</v>
      </c>
      <c r="I110" s="219">
        <f t="shared" si="20"/>
        <v>1</v>
      </c>
      <c r="J110" s="218">
        <f t="shared" si="21"/>
        <v>0</v>
      </c>
      <c r="K110" s="219"/>
      <c r="L110" s="221">
        <f t="shared" si="23"/>
        <v>106</v>
      </c>
      <c r="M110" s="221">
        <f t="shared" si="22"/>
        <v>265</v>
      </c>
    </row>
    <row r="111" spans="1:13" ht="12.75" customHeight="1">
      <c r="A111" s="223">
        <f t="shared" si="12"/>
        <v>300</v>
      </c>
      <c r="B111" s="218">
        <f t="shared" si="13"/>
        <v>2</v>
      </c>
      <c r="C111" s="219">
        <f t="shared" si="14"/>
        <v>0</v>
      </c>
      <c r="D111" s="218">
        <f t="shared" si="15"/>
        <v>0</v>
      </c>
      <c r="E111" s="219">
        <f t="shared" si="16"/>
        <v>1</v>
      </c>
      <c r="F111" s="218">
        <f t="shared" si="17"/>
        <v>0</v>
      </c>
      <c r="G111" s="219">
        <f t="shared" si="18"/>
        <v>1</v>
      </c>
      <c r="H111" s="218">
        <f t="shared" si="19"/>
        <v>0</v>
      </c>
      <c r="I111" s="219">
        <f t="shared" si="20"/>
        <v>1</v>
      </c>
      <c r="J111" s="218">
        <f t="shared" si="21"/>
        <v>1</v>
      </c>
      <c r="K111" s="219"/>
      <c r="L111" s="221">
        <f t="shared" si="23"/>
        <v>107</v>
      </c>
      <c r="M111" s="221">
        <f t="shared" si="22"/>
        <v>267.5</v>
      </c>
    </row>
    <row r="112" spans="1:13" ht="12.75" customHeight="1">
      <c r="A112" s="223">
        <f t="shared" si="12"/>
        <v>302.5</v>
      </c>
      <c r="B112" s="218">
        <f t="shared" si="13"/>
        <v>2</v>
      </c>
      <c r="C112" s="219">
        <f t="shared" si="14"/>
        <v>0</v>
      </c>
      <c r="D112" s="218">
        <f t="shared" si="15"/>
        <v>0</v>
      </c>
      <c r="E112" s="219">
        <f t="shared" si="16"/>
        <v>1</v>
      </c>
      <c r="F112" s="218">
        <f t="shared" si="17"/>
        <v>1</v>
      </c>
      <c r="G112" s="219">
        <f t="shared" si="18"/>
        <v>0</v>
      </c>
      <c r="H112" s="218">
        <f t="shared" si="19"/>
        <v>0</v>
      </c>
      <c r="I112" s="219">
        <f t="shared" si="20"/>
        <v>0</v>
      </c>
      <c r="J112" s="218">
        <f t="shared" si="21"/>
        <v>0</v>
      </c>
      <c r="K112" s="219"/>
      <c r="L112" s="221">
        <f t="shared" si="23"/>
        <v>108</v>
      </c>
      <c r="M112" s="221">
        <f t="shared" si="22"/>
        <v>270</v>
      </c>
    </row>
    <row r="113" spans="1:13" ht="12.75" customHeight="1">
      <c r="A113" s="223">
        <f t="shared" si="12"/>
        <v>305</v>
      </c>
      <c r="B113" s="218">
        <f t="shared" si="13"/>
        <v>2</v>
      </c>
      <c r="C113" s="219">
        <f t="shared" si="14"/>
        <v>0</v>
      </c>
      <c r="D113" s="218">
        <f t="shared" si="15"/>
        <v>0</v>
      </c>
      <c r="E113" s="219">
        <f t="shared" si="16"/>
        <v>1</v>
      </c>
      <c r="F113" s="218">
        <f t="shared" si="17"/>
        <v>1</v>
      </c>
      <c r="G113" s="219">
        <f t="shared" si="18"/>
        <v>0</v>
      </c>
      <c r="H113" s="218">
        <f t="shared" si="19"/>
        <v>0</v>
      </c>
      <c r="I113" s="219">
        <f t="shared" si="20"/>
        <v>0</v>
      </c>
      <c r="J113" s="218">
        <f t="shared" si="21"/>
        <v>1</v>
      </c>
      <c r="K113" s="219"/>
      <c r="L113" s="221">
        <f t="shared" si="23"/>
        <v>109</v>
      </c>
      <c r="M113" s="221">
        <f t="shared" si="22"/>
        <v>272.5</v>
      </c>
    </row>
    <row r="114" spans="1:13" ht="12.75" customHeight="1">
      <c r="A114" s="223">
        <f t="shared" si="12"/>
        <v>307.5</v>
      </c>
      <c r="B114" s="218">
        <f t="shared" si="13"/>
        <v>2</v>
      </c>
      <c r="C114" s="219">
        <f t="shared" si="14"/>
        <v>0</v>
      </c>
      <c r="D114" s="218">
        <f t="shared" si="15"/>
        <v>0</v>
      </c>
      <c r="E114" s="219">
        <f t="shared" si="16"/>
        <v>1</v>
      </c>
      <c r="F114" s="218">
        <f t="shared" si="17"/>
        <v>1</v>
      </c>
      <c r="G114" s="219">
        <f t="shared" si="18"/>
        <v>0</v>
      </c>
      <c r="H114" s="218">
        <f t="shared" si="19"/>
        <v>0</v>
      </c>
      <c r="I114" s="219">
        <f t="shared" si="20"/>
        <v>1</v>
      </c>
      <c r="J114" s="218">
        <f t="shared" si="21"/>
        <v>0</v>
      </c>
      <c r="K114" s="219"/>
      <c r="L114" s="221">
        <f t="shared" si="23"/>
        <v>110</v>
      </c>
      <c r="M114" s="221">
        <f t="shared" si="22"/>
        <v>275</v>
      </c>
    </row>
    <row r="115" spans="1:13" ht="12.75" customHeight="1">
      <c r="A115" s="223">
        <f t="shared" si="12"/>
        <v>310</v>
      </c>
      <c r="B115" s="218">
        <f t="shared" si="13"/>
        <v>2</v>
      </c>
      <c r="C115" s="219">
        <f t="shared" si="14"/>
        <v>0</v>
      </c>
      <c r="D115" s="218">
        <f t="shared" si="15"/>
        <v>0</v>
      </c>
      <c r="E115" s="219">
        <f t="shared" si="16"/>
        <v>1</v>
      </c>
      <c r="F115" s="218">
        <f t="shared" si="17"/>
        <v>1</v>
      </c>
      <c r="G115" s="219">
        <f t="shared" si="18"/>
        <v>0</v>
      </c>
      <c r="H115" s="218">
        <f t="shared" si="19"/>
        <v>0</v>
      </c>
      <c r="I115" s="219">
        <f t="shared" si="20"/>
        <v>1</v>
      </c>
      <c r="J115" s="218">
        <f t="shared" si="21"/>
        <v>1</v>
      </c>
      <c r="K115" s="219"/>
      <c r="L115" s="221">
        <f t="shared" si="23"/>
        <v>111</v>
      </c>
      <c r="M115" s="221">
        <f t="shared" si="22"/>
        <v>277.5</v>
      </c>
    </row>
    <row r="116" spans="1:13" ht="12.75" customHeight="1">
      <c r="A116" s="223">
        <f t="shared" si="12"/>
        <v>312.5</v>
      </c>
      <c r="B116" s="218">
        <f t="shared" si="13"/>
        <v>2</v>
      </c>
      <c r="C116" s="219">
        <f t="shared" si="14"/>
        <v>0</v>
      </c>
      <c r="D116" s="218">
        <f t="shared" si="15"/>
        <v>0</v>
      </c>
      <c r="E116" s="219">
        <f t="shared" si="16"/>
        <v>2</v>
      </c>
      <c r="F116" s="218">
        <f t="shared" si="17"/>
        <v>0</v>
      </c>
      <c r="G116" s="219">
        <f t="shared" si="18"/>
        <v>0</v>
      </c>
      <c r="H116" s="218">
        <f t="shared" si="19"/>
        <v>0</v>
      </c>
      <c r="I116" s="219">
        <f t="shared" si="20"/>
        <v>0</v>
      </c>
      <c r="J116" s="218">
        <f t="shared" si="21"/>
        <v>0</v>
      </c>
      <c r="K116" s="219"/>
      <c r="L116" s="221">
        <f t="shared" si="23"/>
        <v>112</v>
      </c>
      <c r="M116" s="221">
        <f t="shared" si="22"/>
        <v>280</v>
      </c>
    </row>
    <row r="117" spans="1:13" ht="12.75" customHeight="1">
      <c r="A117" s="223">
        <f t="shared" si="12"/>
        <v>315</v>
      </c>
      <c r="B117" s="218">
        <f t="shared" si="13"/>
        <v>2</v>
      </c>
      <c r="C117" s="219">
        <f t="shared" si="14"/>
        <v>0</v>
      </c>
      <c r="D117" s="218">
        <f t="shared" si="15"/>
        <v>0</v>
      </c>
      <c r="E117" s="219">
        <f t="shared" si="16"/>
        <v>2</v>
      </c>
      <c r="F117" s="218">
        <f t="shared" si="17"/>
        <v>0</v>
      </c>
      <c r="G117" s="219">
        <f t="shared" si="18"/>
        <v>0</v>
      </c>
      <c r="H117" s="218">
        <f t="shared" si="19"/>
        <v>0</v>
      </c>
      <c r="I117" s="219">
        <f t="shared" si="20"/>
        <v>0</v>
      </c>
      <c r="J117" s="218">
        <f t="shared" si="21"/>
        <v>1</v>
      </c>
      <c r="K117" s="219"/>
      <c r="L117" s="221">
        <f t="shared" si="23"/>
        <v>113</v>
      </c>
      <c r="M117" s="221">
        <f t="shared" si="22"/>
        <v>282.5</v>
      </c>
    </row>
    <row r="118" spans="1:13" ht="12.75" customHeight="1">
      <c r="A118" s="223">
        <f t="shared" si="12"/>
        <v>317.5</v>
      </c>
      <c r="B118" s="218">
        <f t="shared" si="13"/>
        <v>2</v>
      </c>
      <c r="C118" s="219">
        <f t="shared" si="14"/>
        <v>0</v>
      </c>
      <c r="D118" s="218">
        <f t="shared" si="15"/>
        <v>0</v>
      </c>
      <c r="E118" s="219">
        <f t="shared" si="16"/>
        <v>2</v>
      </c>
      <c r="F118" s="218">
        <f t="shared" si="17"/>
        <v>0</v>
      </c>
      <c r="G118" s="219">
        <f t="shared" si="18"/>
        <v>0</v>
      </c>
      <c r="H118" s="218">
        <f t="shared" si="19"/>
        <v>0</v>
      </c>
      <c r="I118" s="219">
        <f t="shared" si="20"/>
        <v>1</v>
      </c>
      <c r="J118" s="218">
        <f t="shared" si="21"/>
        <v>0</v>
      </c>
      <c r="K118" s="219"/>
      <c r="L118" s="221">
        <f t="shared" si="23"/>
        <v>114</v>
      </c>
      <c r="M118" s="221">
        <f t="shared" si="22"/>
        <v>285</v>
      </c>
    </row>
    <row r="119" spans="1:13" ht="12.75" customHeight="1">
      <c r="A119" s="223">
        <f t="shared" si="12"/>
        <v>320</v>
      </c>
      <c r="B119" s="218">
        <f t="shared" si="13"/>
        <v>2</v>
      </c>
      <c r="C119" s="219">
        <f t="shared" si="14"/>
        <v>0</v>
      </c>
      <c r="D119" s="218">
        <f t="shared" si="15"/>
        <v>0</v>
      </c>
      <c r="E119" s="219">
        <f t="shared" si="16"/>
        <v>2</v>
      </c>
      <c r="F119" s="218">
        <f t="shared" si="17"/>
        <v>0</v>
      </c>
      <c r="G119" s="219">
        <f t="shared" si="18"/>
        <v>0</v>
      </c>
      <c r="H119" s="218">
        <f t="shared" si="19"/>
        <v>0</v>
      </c>
      <c r="I119" s="219">
        <f t="shared" si="20"/>
        <v>1</v>
      </c>
      <c r="J119" s="218">
        <f t="shared" si="21"/>
        <v>1</v>
      </c>
      <c r="K119" s="219"/>
      <c r="L119" s="221">
        <f t="shared" si="23"/>
        <v>115</v>
      </c>
      <c r="M119" s="221">
        <f t="shared" si="22"/>
        <v>287.5</v>
      </c>
    </row>
    <row r="120" spans="1:13" ht="12.75" customHeight="1">
      <c r="A120" s="223">
        <f t="shared" si="12"/>
        <v>322.5</v>
      </c>
      <c r="B120" s="218">
        <f t="shared" si="13"/>
        <v>2</v>
      </c>
      <c r="C120" s="219">
        <f t="shared" si="14"/>
        <v>0</v>
      </c>
      <c r="D120" s="218">
        <f t="shared" si="15"/>
        <v>0</v>
      </c>
      <c r="E120" s="219">
        <f t="shared" si="16"/>
        <v>2</v>
      </c>
      <c r="F120" s="218">
        <f t="shared" si="17"/>
        <v>0</v>
      </c>
      <c r="G120" s="219">
        <f t="shared" si="18"/>
        <v>0</v>
      </c>
      <c r="H120" s="218">
        <f t="shared" si="19"/>
        <v>1</v>
      </c>
      <c r="I120" s="219">
        <f t="shared" si="20"/>
        <v>0</v>
      </c>
      <c r="J120" s="218">
        <f t="shared" si="21"/>
        <v>0</v>
      </c>
      <c r="K120" s="219"/>
      <c r="L120" s="221">
        <f t="shared" si="23"/>
        <v>116</v>
      </c>
      <c r="M120" s="221">
        <f t="shared" si="22"/>
        <v>290</v>
      </c>
    </row>
    <row r="121" spans="1:13" ht="12.75" customHeight="1">
      <c r="A121" s="223">
        <f t="shared" si="12"/>
        <v>325</v>
      </c>
      <c r="B121" s="218">
        <f t="shared" si="13"/>
        <v>2</v>
      </c>
      <c r="C121" s="219">
        <f t="shared" si="14"/>
        <v>0</v>
      </c>
      <c r="D121" s="218">
        <f t="shared" si="15"/>
        <v>0</v>
      </c>
      <c r="E121" s="219">
        <f t="shared" si="16"/>
        <v>2</v>
      </c>
      <c r="F121" s="218">
        <f t="shared" si="17"/>
        <v>0</v>
      </c>
      <c r="G121" s="219">
        <f t="shared" si="18"/>
        <v>0</v>
      </c>
      <c r="H121" s="218">
        <f t="shared" si="19"/>
        <v>1</v>
      </c>
      <c r="I121" s="219">
        <f t="shared" si="20"/>
        <v>0</v>
      </c>
      <c r="J121" s="218">
        <f t="shared" si="21"/>
        <v>1</v>
      </c>
      <c r="K121" s="219"/>
      <c r="L121" s="221">
        <f t="shared" si="23"/>
        <v>117</v>
      </c>
      <c r="M121" s="221">
        <f t="shared" si="22"/>
        <v>292.5</v>
      </c>
    </row>
    <row r="122" spans="1:13" ht="12.75" customHeight="1">
      <c r="A122" s="223">
        <f t="shared" si="12"/>
        <v>327.5</v>
      </c>
      <c r="B122" s="218">
        <f t="shared" si="13"/>
        <v>2</v>
      </c>
      <c r="C122" s="219">
        <f t="shared" si="14"/>
        <v>0</v>
      </c>
      <c r="D122" s="218">
        <f t="shared" si="15"/>
        <v>0</v>
      </c>
      <c r="E122" s="219">
        <f t="shared" si="16"/>
        <v>2</v>
      </c>
      <c r="F122" s="218">
        <f t="shared" si="17"/>
        <v>0</v>
      </c>
      <c r="G122" s="219">
        <f t="shared" si="18"/>
        <v>0</v>
      </c>
      <c r="H122" s="218">
        <f t="shared" si="19"/>
        <v>1</v>
      </c>
      <c r="I122" s="219">
        <f t="shared" si="20"/>
        <v>1</v>
      </c>
      <c r="J122" s="218">
        <f t="shared" si="21"/>
        <v>0</v>
      </c>
      <c r="K122" s="219"/>
      <c r="L122" s="221">
        <f t="shared" si="23"/>
        <v>118</v>
      </c>
      <c r="M122" s="221">
        <f t="shared" si="22"/>
        <v>295</v>
      </c>
    </row>
    <row r="123" spans="1:13" ht="12.75" customHeight="1">
      <c r="A123" s="223">
        <f t="shared" si="12"/>
        <v>330</v>
      </c>
      <c r="B123" s="218">
        <f t="shared" si="13"/>
        <v>2</v>
      </c>
      <c r="C123" s="219">
        <f t="shared" si="14"/>
        <v>0</v>
      </c>
      <c r="D123" s="218">
        <f t="shared" si="15"/>
        <v>0</v>
      </c>
      <c r="E123" s="219">
        <f t="shared" si="16"/>
        <v>2</v>
      </c>
      <c r="F123" s="218">
        <f t="shared" si="17"/>
        <v>0</v>
      </c>
      <c r="G123" s="219">
        <f t="shared" si="18"/>
        <v>0</v>
      </c>
      <c r="H123" s="218">
        <f t="shared" si="19"/>
        <v>1</v>
      </c>
      <c r="I123" s="219">
        <f t="shared" si="20"/>
        <v>1</v>
      </c>
      <c r="J123" s="218">
        <f t="shared" si="21"/>
        <v>1</v>
      </c>
      <c r="K123" s="219"/>
      <c r="L123" s="221">
        <f t="shared" si="23"/>
        <v>119</v>
      </c>
      <c r="M123" s="221">
        <f t="shared" si="22"/>
        <v>297.5</v>
      </c>
    </row>
    <row r="124" spans="1:13" ht="12.75" customHeight="1">
      <c r="A124" s="223">
        <f t="shared" si="12"/>
        <v>332.5</v>
      </c>
      <c r="B124" s="218">
        <f t="shared" si="13"/>
        <v>2</v>
      </c>
      <c r="C124" s="219">
        <f t="shared" si="14"/>
        <v>0</v>
      </c>
      <c r="D124" s="218">
        <f t="shared" si="15"/>
        <v>0</v>
      </c>
      <c r="E124" s="219">
        <f t="shared" si="16"/>
        <v>2</v>
      </c>
      <c r="F124" s="218">
        <f t="shared" si="17"/>
        <v>0</v>
      </c>
      <c r="G124" s="219">
        <f t="shared" si="18"/>
        <v>1</v>
      </c>
      <c r="H124" s="218">
        <f t="shared" si="19"/>
        <v>0</v>
      </c>
      <c r="I124" s="219">
        <f t="shared" si="20"/>
        <v>0</v>
      </c>
      <c r="J124" s="218">
        <f t="shared" si="21"/>
        <v>0</v>
      </c>
      <c r="K124" s="219"/>
      <c r="L124" s="221">
        <f t="shared" si="23"/>
        <v>120</v>
      </c>
      <c r="M124" s="221">
        <f t="shared" si="22"/>
        <v>300</v>
      </c>
    </row>
    <row r="125" spans="1:13" ht="12.75" customHeight="1">
      <c r="A125" s="223">
        <f t="shared" si="12"/>
        <v>335</v>
      </c>
      <c r="B125" s="218">
        <f t="shared" si="13"/>
        <v>2</v>
      </c>
      <c r="C125" s="219">
        <f t="shared" si="14"/>
        <v>0</v>
      </c>
      <c r="D125" s="218">
        <f t="shared" si="15"/>
        <v>0</v>
      </c>
      <c r="E125" s="219">
        <f t="shared" si="16"/>
        <v>2</v>
      </c>
      <c r="F125" s="218">
        <f t="shared" si="17"/>
        <v>0</v>
      </c>
      <c r="G125" s="219">
        <f t="shared" si="18"/>
        <v>1</v>
      </c>
      <c r="H125" s="218">
        <f t="shared" si="19"/>
        <v>0</v>
      </c>
      <c r="I125" s="219">
        <f t="shared" si="20"/>
        <v>0</v>
      </c>
      <c r="J125" s="218">
        <f t="shared" si="21"/>
        <v>1</v>
      </c>
      <c r="K125" s="219"/>
      <c r="L125" s="221">
        <f t="shared" si="23"/>
        <v>121</v>
      </c>
      <c r="M125" s="221">
        <f t="shared" si="22"/>
        <v>302.5</v>
      </c>
    </row>
    <row r="126" spans="1:13" ht="12.75" customHeight="1">
      <c r="A126" s="223">
        <f t="shared" si="12"/>
        <v>337.5</v>
      </c>
      <c r="B126" s="218">
        <f t="shared" si="13"/>
        <v>2</v>
      </c>
      <c r="C126" s="219">
        <f t="shared" si="14"/>
        <v>0</v>
      </c>
      <c r="D126" s="218">
        <f t="shared" si="15"/>
        <v>0</v>
      </c>
      <c r="E126" s="219">
        <f t="shared" si="16"/>
        <v>2</v>
      </c>
      <c r="F126" s="218">
        <f t="shared" si="17"/>
        <v>0</v>
      </c>
      <c r="G126" s="219">
        <f t="shared" si="18"/>
        <v>1</v>
      </c>
      <c r="H126" s="218">
        <f t="shared" si="19"/>
        <v>0</v>
      </c>
      <c r="I126" s="219">
        <f t="shared" si="20"/>
        <v>1</v>
      </c>
      <c r="J126" s="218">
        <f t="shared" si="21"/>
        <v>0</v>
      </c>
      <c r="K126" s="219"/>
      <c r="L126" s="221">
        <f t="shared" si="23"/>
        <v>122</v>
      </c>
      <c r="M126" s="221">
        <f t="shared" si="22"/>
        <v>305</v>
      </c>
    </row>
    <row r="127" spans="1:13" ht="12.75" customHeight="1">
      <c r="A127" s="223">
        <f t="shared" si="12"/>
        <v>340</v>
      </c>
      <c r="B127" s="218">
        <f t="shared" si="13"/>
        <v>2</v>
      </c>
      <c r="C127" s="219">
        <f t="shared" si="14"/>
        <v>0</v>
      </c>
      <c r="D127" s="218">
        <f t="shared" si="15"/>
        <v>0</v>
      </c>
      <c r="E127" s="219">
        <f t="shared" si="16"/>
        <v>2</v>
      </c>
      <c r="F127" s="218">
        <f t="shared" si="17"/>
        <v>0</v>
      </c>
      <c r="G127" s="219">
        <f t="shared" si="18"/>
        <v>1</v>
      </c>
      <c r="H127" s="218">
        <f t="shared" si="19"/>
        <v>0</v>
      </c>
      <c r="I127" s="219">
        <f t="shared" si="20"/>
        <v>1</v>
      </c>
      <c r="J127" s="218">
        <f t="shared" si="21"/>
        <v>1</v>
      </c>
      <c r="K127" s="219"/>
      <c r="L127" s="221">
        <f t="shared" si="23"/>
        <v>123</v>
      </c>
      <c r="M127" s="221">
        <f t="shared" si="22"/>
        <v>307.5</v>
      </c>
    </row>
    <row r="128" spans="1:13" ht="12.75" customHeight="1">
      <c r="A128" s="223">
        <f t="shared" si="12"/>
        <v>342.5</v>
      </c>
      <c r="B128" s="218">
        <f t="shared" si="13"/>
        <v>2</v>
      </c>
      <c r="C128" s="219">
        <f t="shared" si="14"/>
        <v>0</v>
      </c>
      <c r="D128" s="218">
        <f t="shared" si="15"/>
        <v>0</v>
      </c>
      <c r="E128" s="219">
        <f t="shared" si="16"/>
        <v>2</v>
      </c>
      <c r="F128" s="218">
        <f t="shared" si="17"/>
        <v>1</v>
      </c>
      <c r="G128" s="219">
        <f t="shared" si="18"/>
        <v>0</v>
      </c>
      <c r="H128" s="218">
        <f t="shared" si="19"/>
        <v>0</v>
      </c>
      <c r="I128" s="219">
        <f t="shared" si="20"/>
        <v>0</v>
      </c>
      <c r="J128" s="218">
        <f t="shared" si="21"/>
        <v>0</v>
      </c>
      <c r="K128" s="219"/>
      <c r="L128" s="221">
        <f t="shared" si="23"/>
        <v>124</v>
      </c>
      <c r="M128" s="221">
        <f t="shared" si="22"/>
        <v>310</v>
      </c>
    </row>
    <row r="129" spans="1:13" ht="12.75" customHeight="1">
      <c r="A129" s="223">
        <f t="shared" si="12"/>
        <v>345</v>
      </c>
      <c r="B129" s="218">
        <f t="shared" si="13"/>
        <v>2</v>
      </c>
      <c r="C129" s="219">
        <f t="shared" si="14"/>
        <v>0</v>
      </c>
      <c r="D129" s="218">
        <f t="shared" si="15"/>
        <v>0</v>
      </c>
      <c r="E129" s="219">
        <f t="shared" si="16"/>
        <v>2</v>
      </c>
      <c r="F129" s="218">
        <f t="shared" si="17"/>
        <v>1</v>
      </c>
      <c r="G129" s="219">
        <f t="shared" si="18"/>
        <v>0</v>
      </c>
      <c r="H129" s="218">
        <f t="shared" si="19"/>
        <v>0</v>
      </c>
      <c r="I129" s="219">
        <f t="shared" si="20"/>
        <v>0</v>
      </c>
      <c r="J129" s="218">
        <f t="shared" si="21"/>
        <v>1</v>
      </c>
      <c r="K129" s="219"/>
      <c r="L129" s="221">
        <f t="shared" si="23"/>
        <v>125</v>
      </c>
      <c r="M129" s="221">
        <f t="shared" si="22"/>
        <v>312.5</v>
      </c>
    </row>
    <row r="130" spans="1:13" ht="12.75" customHeight="1">
      <c r="A130" s="223">
        <f t="shared" si="12"/>
        <v>347.5</v>
      </c>
      <c r="B130" s="218">
        <f t="shared" si="13"/>
        <v>2</v>
      </c>
      <c r="C130" s="219">
        <f t="shared" si="14"/>
        <v>0</v>
      </c>
      <c r="D130" s="218">
        <f t="shared" si="15"/>
        <v>0</v>
      </c>
      <c r="E130" s="219">
        <f t="shared" si="16"/>
        <v>2</v>
      </c>
      <c r="F130" s="218">
        <f t="shared" si="17"/>
        <v>1</v>
      </c>
      <c r="G130" s="219">
        <f t="shared" si="18"/>
        <v>0</v>
      </c>
      <c r="H130" s="218">
        <f t="shared" si="19"/>
        <v>0</v>
      </c>
      <c r="I130" s="219">
        <f t="shared" si="20"/>
        <v>1</v>
      </c>
      <c r="J130" s="218">
        <f t="shared" si="21"/>
        <v>0</v>
      </c>
      <c r="K130" s="219"/>
      <c r="L130" s="221">
        <f t="shared" si="23"/>
        <v>126</v>
      </c>
      <c r="M130" s="221">
        <f t="shared" si="22"/>
        <v>315</v>
      </c>
    </row>
    <row r="131" spans="1:13" ht="12.75" customHeight="1">
      <c r="A131" s="223">
        <f t="shared" si="12"/>
        <v>350</v>
      </c>
      <c r="B131" s="218">
        <f t="shared" si="13"/>
        <v>2</v>
      </c>
      <c r="C131" s="219">
        <f t="shared" si="14"/>
        <v>0</v>
      </c>
      <c r="D131" s="218">
        <f t="shared" si="15"/>
        <v>0</v>
      </c>
      <c r="E131" s="219">
        <f t="shared" si="16"/>
        <v>2</v>
      </c>
      <c r="F131" s="218">
        <f t="shared" si="17"/>
        <v>1</v>
      </c>
      <c r="G131" s="219">
        <f t="shared" si="18"/>
        <v>0</v>
      </c>
      <c r="H131" s="218">
        <f t="shared" si="19"/>
        <v>0</v>
      </c>
      <c r="I131" s="219">
        <f t="shared" si="20"/>
        <v>1</v>
      </c>
      <c r="J131" s="218">
        <f t="shared" si="21"/>
        <v>1</v>
      </c>
      <c r="K131" s="219"/>
      <c r="L131" s="221">
        <f t="shared" si="23"/>
        <v>127</v>
      </c>
      <c r="M131" s="221">
        <f t="shared" si="22"/>
        <v>317.5</v>
      </c>
    </row>
    <row r="132" spans="1:13" ht="12.75" customHeight="1">
      <c r="A132" s="223">
        <f t="shared" si="12"/>
        <v>352.5</v>
      </c>
      <c r="B132" s="218">
        <f t="shared" si="13"/>
        <v>2</v>
      </c>
      <c r="C132" s="219">
        <f t="shared" si="14"/>
        <v>0</v>
      </c>
      <c r="D132" s="218">
        <f t="shared" si="15"/>
        <v>0</v>
      </c>
      <c r="E132" s="219">
        <f t="shared" si="16"/>
        <v>3</v>
      </c>
      <c r="F132" s="218">
        <f t="shared" si="17"/>
        <v>0</v>
      </c>
      <c r="G132" s="219">
        <f t="shared" si="18"/>
        <v>0</v>
      </c>
      <c r="H132" s="218">
        <f t="shared" si="19"/>
        <v>0</v>
      </c>
      <c r="I132" s="219">
        <f t="shared" si="20"/>
        <v>0</v>
      </c>
      <c r="J132" s="218">
        <f t="shared" si="21"/>
        <v>0</v>
      </c>
      <c r="K132" s="219"/>
      <c r="L132" s="221">
        <f t="shared" si="23"/>
        <v>128</v>
      </c>
      <c r="M132" s="221">
        <f t="shared" si="22"/>
        <v>320</v>
      </c>
    </row>
    <row r="133" spans="1:13" ht="12.75" customHeight="1">
      <c r="A133" s="223">
        <f aca="true" t="shared" si="24" ref="A133:A196">IF(M133+$K$2&gt;$L$1,0,M133+$K$2)</f>
        <v>355</v>
      </c>
      <c r="B133" s="218">
        <f aca="true" t="shared" si="25" ref="B133:B196">IF(A133=0,0,MIN($B$1/2,INT(M133/(2*$B$2))))</f>
        <v>2</v>
      </c>
      <c r="C133" s="219">
        <f aca="true" t="shared" si="26" ref="C133:C196">IF(A133=0,0,MIN($C$1/2,INT(($M133-2*$B133*$B$2)/(2*$C$2))))</f>
        <v>0</v>
      </c>
      <c r="D133" s="218">
        <f aca="true" t="shared" si="27" ref="D133:D196">IF(A133=0,0,MIN($D$1/2,INT(($M133-2*$B133*$B$2-2*$C133*$C$2)/(2*$D$2))))</f>
        <v>0</v>
      </c>
      <c r="E133" s="219">
        <f aca="true" t="shared" si="28" ref="E133:E196">IF(A133=0,0,MIN($E$1/2,INT(($M133-2*$B133*$B$2-2*$C133*$C$2-2*$D133*$D$2)/(2*$E$2))))</f>
        <v>3</v>
      </c>
      <c r="F133" s="218">
        <f aca="true" t="shared" si="29" ref="F133:F196">IF(A133=0,0,MIN($F$1/2,INT(($M133-2*$B133*$B$2-2*$C133*$C$2-2*$D133*$D$2-2*$E133*$E$2)/(2*$F$2))))</f>
        <v>0</v>
      </c>
      <c r="G133" s="219">
        <f aca="true" t="shared" si="30" ref="G133:G196">IF(A133=0,0,MIN($G$1/2,INT(($M133-2*$B133*$B$2-2*$C133*$C$2-2*$D133*$D$2-2*$E133*$E$2-2*$F133*$F$2)/(2*$G$2))))</f>
        <v>0</v>
      </c>
      <c r="H133" s="218">
        <f aca="true" t="shared" si="31" ref="H133:H196">IF(A133=0,0,MIN($H$1/2,INT(($M133-2*$B133*$B$2-2*$C133*$C$2-2*$D133*$D$2-2*$E133*$E$2-2*$F133*$F$2-2*$G133*$G$2)/(2*$H$2))))</f>
        <v>0</v>
      </c>
      <c r="I133" s="219">
        <f aca="true" t="shared" si="32" ref="I133:I196">IF(A133=0,0,MIN($I$1/2,INT(($M133-2*$B133*$B$2-2*$C133*$C$2-2*$D133*$D$2-2*$E133*$E$2-2*$F133*$F$2-2*$G133*$G$2-2*$H133*$H$2)/(2*$I$2))))</f>
        <v>0</v>
      </c>
      <c r="J133" s="218">
        <f aca="true" t="shared" si="33" ref="J133:J196">IF(A133=0,0,MIN($J$1/2,INT(($M133-2*$B133*$B$2-2*$C133*$C$2-2*$D133*$D$2-2*$E133*$E$2-2*$F133*$F$2-2*$G133*$G$2-2*$H133*$H$2-2*$I133*$I$2)/(2*$J$2))))</f>
        <v>1</v>
      </c>
      <c r="K133" s="219"/>
      <c r="L133" s="221">
        <f t="shared" si="23"/>
        <v>129</v>
      </c>
      <c r="M133" s="221">
        <f aca="true" t="shared" si="34" ref="M133:M196">IF($A$2="Pounds",5*L133,2.5*L133)</f>
        <v>322.5</v>
      </c>
    </row>
    <row r="134" spans="1:13" ht="12.75" customHeight="1">
      <c r="A134" s="223">
        <f t="shared" si="24"/>
        <v>357.5</v>
      </c>
      <c r="B134" s="218">
        <f t="shared" si="25"/>
        <v>2</v>
      </c>
      <c r="C134" s="219">
        <f t="shared" si="26"/>
        <v>0</v>
      </c>
      <c r="D134" s="218">
        <f t="shared" si="27"/>
        <v>0</v>
      </c>
      <c r="E134" s="219">
        <f t="shared" si="28"/>
        <v>3</v>
      </c>
      <c r="F134" s="218">
        <f t="shared" si="29"/>
        <v>0</v>
      </c>
      <c r="G134" s="219">
        <f t="shared" si="30"/>
        <v>0</v>
      </c>
      <c r="H134" s="218">
        <f t="shared" si="31"/>
        <v>0</v>
      </c>
      <c r="I134" s="219">
        <f t="shared" si="32"/>
        <v>1</v>
      </c>
      <c r="J134" s="218">
        <f t="shared" si="33"/>
        <v>0</v>
      </c>
      <c r="K134" s="219"/>
      <c r="L134" s="221">
        <f t="shared" si="23"/>
        <v>130</v>
      </c>
      <c r="M134" s="221">
        <f t="shared" si="34"/>
        <v>325</v>
      </c>
    </row>
    <row r="135" spans="1:13" ht="12.75" customHeight="1">
      <c r="A135" s="223">
        <f t="shared" si="24"/>
        <v>360</v>
      </c>
      <c r="B135" s="218">
        <f t="shared" si="25"/>
        <v>2</v>
      </c>
      <c r="C135" s="219">
        <f t="shared" si="26"/>
        <v>0</v>
      </c>
      <c r="D135" s="218">
        <f t="shared" si="27"/>
        <v>0</v>
      </c>
      <c r="E135" s="219">
        <f t="shared" si="28"/>
        <v>3</v>
      </c>
      <c r="F135" s="218">
        <f t="shared" si="29"/>
        <v>0</v>
      </c>
      <c r="G135" s="219">
        <f t="shared" si="30"/>
        <v>0</v>
      </c>
      <c r="H135" s="218">
        <f t="shared" si="31"/>
        <v>0</v>
      </c>
      <c r="I135" s="219">
        <f t="shared" si="32"/>
        <v>1</v>
      </c>
      <c r="J135" s="218">
        <f t="shared" si="33"/>
        <v>1</v>
      </c>
      <c r="K135" s="219"/>
      <c r="L135" s="221">
        <f t="shared" si="23"/>
        <v>131</v>
      </c>
      <c r="M135" s="221">
        <f t="shared" si="34"/>
        <v>327.5</v>
      </c>
    </row>
    <row r="136" spans="1:13" ht="12.75" customHeight="1">
      <c r="A136" s="223">
        <f t="shared" si="24"/>
        <v>362.5</v>
      </c>
      <c r="B136" s="218">
        <f t="shared" si="25"/>
        <v>2</v>
      </c>
      <c r="C136" s="219">
        <f t="shared" si="26"/>
        <v>0</v>
      </c>
      <c r="D136" s="218">
        <f t="shared" si="27"/>
        <v>0</v>
      </c>
      <c r="E136" s="219">
        <f t="shared" si="28"/>
        <v>3</v>
      </c>
      <c r="F136" s="218">
        <f t="shared" si="29"/>
        <v>0</v>
      </c>
      <c r="G136" s="219">
        <f t="shared" si="30"/>
        <v>0</v>
      </c>
      <c r="H136" s="218">
        <f t="shared" si="31"/>
        <v>1</v>
      </c>
      <c r="I136" s="219">
        <f t="shared" si="32"/>
        <v>0</v>
      </c>
      <c r="J136" s="218">
        <f t="shared" si="33"/>
        <v>0</v>
      </c>
      <c r="K136" s="219"/>
      <c r="L136" s="221">
        <f t="shared" si="23"/>
        <v>132</v>
      </c>
      <c r="M136" s="221">
        <f t="shared" si="34"/>
        <v>330</v>
      </c>
    </row>
    <row r="137" spans="1:13" ht="12.75" customHeight="1">
      <c r="A137" s="223">
        <f t="shared" si="24"/>
        <v>365</v>
      </c>
      <c r="B137" s="218">
        <f t="shared" si="25"/>
        <v>2</v>
      </c>
      <c r="C137" s="219">
        <f t="shared" si="26"/>
        <v>0</v>
      </c>
      <c r="D137" s="218">
        <f t="shared" si="27"/>
        <v>0</v>
      </c>
      <c r="E137" s="219">
        <f t="shared" si="28"/>
        <v>3</v>
      </c>
      <c r="F137" s="218">
        <f t="shared" si="29"/>
        <v>0</v>
      </c>
      <c r="G137" s="219">
        <f t="shared" si="30"/>
        <v>0</v>
      </c>
      <c r="H137" s="218">
        <f t="shared" si="31"/>
        <v>1</v>
      </c>
      <c r="I137" s="219">
        <f t="shared" si="32"/>
        <v>0</v>
      </c>
      <c r="J137" s="218">
        <f t="shared" si="33"/>
        <v>1</v>
      </c>
      <c r="K137" s="219"/>
      <c r="L137" s="221">
        <f t="shared" si="23"/>
        <v>133</v>
      </c>
      <c r="M137" s="221">
        <f t="shared" si="34"/>
        <v>332.5</v>
      </c>
    </row>
    <row r="138" spans="1:13" ht="12.75" customHeight="1">
      <c r="A138" s="223">
        <f t="shared" si="24"/>
        <v>367.5</v>
      </c>
      <c r="B138" s="218">
        <f t="shared" si="25"/>
        <v>2</v>
      </c>
      <c r="C138" s="219">
        <f t="shared" si="26"/>
        <v>0</v>
      </c>
      <c r="D138" s="218">
        <f t="shared" si="27"/>
        <v>0</v>
      </c>
      <c r="E138" s="219">
        <f t="shared" si="28"/>
        <v>3</v>
      </c>
      <c r="F138" s="218">
        <f t="shared" si="29"/>
        <v>0</v>
      </c>
      <c r="G138" s="219">
        <f t="shared" si="30"/>
        <v>0</v>
      </c>
      <c r="H138" s="218">
        <f t="shared" si="31"/>
        <v>1</v>
      </c>
      <c r="I138" s="219">
        <f t="shared" si="32"/>
        <v>1</v>
      </c>
      <c r="J138" s="218">
        <f t="shared" si="33"/>
        <v>0</v>
      </c>
      <c r="K138" s="219"/>
      <c r="L138" s="221">
        <f t="shared" si="23"/>
        <v>134</v>
      </c>
      <c r="M138" s="221">
        <f t="shared" si="34"/>
        <v>335</v>
      </c>
    </row>
    <row r="139" spans="1:13" ht="12.75" customHeight="1">
      <c r="A139" s="223">
        <f t="shared" si="24"/>
        <v>370</v>
      </c>
      <c r="B139" s="218">
        <f t="shared" si="25"/>
        <v>2</v>
      </c>
      <c r="C139" s="219">
        <f t="shared" si="26"/>
        <v>0</v>
      </c>
      <c r="D139" s="218">
        <f t="shared" si="27"/>
        <v>0</v>
      </c>
      <c r="E139" s="219">
        <f t="shared" si="28"/>
        <v>3</v>
      </c>
      <c r="F139" s="218">
        <f t="shared" si="29"/>
        <v>0</v>
      </c>
      <c r="G139" s="219">
        <f t="shared" si="30"/>
        <v>0</v>
      </c>
      <c r="H139" s="218">
        <f t="shared" si="31"/>
        <v>1</v>
      </c>
      <c r="I139" s="219">
        <f t="shared" si="32"/>
        <v>1</v>
      </c>
      <c r="J139" s="218">
        <f t="shared" si="33"/>
        <v>1</v>
      </c>
      <c r="K139" s="219"/>
      <c r="L139" s="221">
        <f t="shared" si="23"/>
        <v>135</v>
      </c>
      <c r="M139" s="221">
        <f t="shared" si="34"/>
        <v>337.5</v>
      </c>
    </row>
    <row r="140" spans="1:13" ht="12.75" customHeight="1">
      <c r="A140" s="223">
        <f t="shared" si="24"/>
        <v>372.5</v>
      </c>
      <c r="B140" s="218">
        <f t="shared" si="25"/>
        <v>2</v>
      </c>
      <c r="C140" s="219">
        <f t="shared" si="26"/>
        <v>0</v>
      </c>
      <c r="D140" s="218">
        <f t="shared" si="27"/>
        <v>0</v>
      </c>
      <c r="E140" s="219">
        <f t="shared" si="28"/>
        <v>3</v>
      </c>
      <c r="F140" s="218">
        <f t="shared" si="29"/>
        <v>0</v>
      </c>
      <c r="G140" s="219">
        <f t="shared" si="30"/>
        <v>1</v>
      </c>
      <c r="H140" s="218">
        <f t="shared" si="31"/>
        <v>0</v>
      </c>
      <c r="I140" s="219">
        <f t="shared" si="32"/>
        <v>0</v>
      </c>
      <c r="J140" s="218">
        <f t="shared" si="33"/>
        <v>0</v>
      </c>
      <c r="K140" s="219"/>
      <c r="L140" s="221">
        <f t="shared" si="23"/>
        <v>136</v>
      </c>
      <c r="M140" s="221">
        <f t="shared" si="34"/>
        <v>340</v>
      </c>
    </row>
    <row r="141" spans="1:13" ht="12.75" customHeight="1">
      <c r="A141" s="223">
        <f t="shared" si="24"/>
        <v>375</v>
      </c>
      <c r="B141" s="218">
        <f t="shared" si="25"/>
        <v>2</v>
      </c>
      <c r="C141" s="219">
        <f t="shared" si="26"/>
        <v>0</v>
      </c>
      <c r="D141" s="218">
        <f t="shared" si="27"/>
        <v>0</v>
      </c>
      <c r="E141" s="219">
        <f t="shared" si="28"/>
        <v>3</v>
      </c>
      <c r="F141" s="218">
        <f t="shared" si="29"/>
        <v>0</v>
      </c>
      <c r="G141" s="219">
        <f t="shared" si="30"/>
        <v>1</v>
      </c>
      <c r="H141" s="218">
        <f t="shared" si="31"/>
        <v>0</v>
      </c>
      <c r="I141" s="219">
        <f t="shared" si="32"/>
        <v>0</v>
      </c>
      <c r="J141" s="218">
        <f t="shared" si="33"/>
        <v>1</v>
      </c>
      <c r="K141" s="219"/>
      <c r="L141" s="221">
        <f aca="true" t="shared" si="35" ref="L141:L204">L140+1</f>
        <v>137</v>
      </c>
      <c r="M141" s="221">
        <f t="shared" si="34"/>
        <v>342.5</v>
      </c>
    </row>
    <row r="142" spans="1:13" ht="12.75" customHeight="1">
      <c r="A142" s="223">
        <f t="shared" si="24"/>
        <v>377.5</v>
      </c>
      <c r="B142" s="218">
        <f t="shared" si="25"/>
        <v>2</v>
      </c>
      <c r="C142" s="219">
        <f t="shared" si="26"/>
        <v>0</v>
      </c>
      <c r="D142" s="218">
        <f t="shared" si="27"/>
        <v>0</v>
      </c>
      <c r="E142" s="219">
        <f t="shared" si="28"/>
        <v>3</v>
      </c>
      <c r="F142" s="218">
        <f t="shared" si="29"/>
        <v>0</v>
      </c>
      <c r="G142" s="219">
        <f t="shared" si="30"/>
        <v>1</v>
      </c>
      <c r="H142" s="218">
        <f t="shared" si="31"/>
        <v>0</v>
      </c>
      <c r="I142" s="219">
        <f t="shared" si="32"/>
        <v>1</v>
      </c>
      <c r="J142" s="218">
        <f t="shared" si="33"/>
        <v>0</v>
      </c>
      <c r="K142" s="219"/>
      <c r="L142" s="221">
        <f t="shared" si="35"/>
        <v>138</v>
      </c>
      <c r="M142" s="221">
        <f t="shared" si="34"/>
        <v>345</v>
      </c>
    </row>
    <row r="143" spans="1:13" ht="12.75" customHeight="1">
      <c r="A143" s="223">
        <f t="shared" si="24"/>
        <v>380</v>
      </c>
      <c r="B143" s="218">
        <f t="shared" si="25"/>
        <v>2</v>
      </c>
      <c r="C143" s="219">
        <f t="shared" si="26"/>
        <v>0</v>
      </c>
      <c r="D143" s="218">
        <f t="shared" si="27"/>
        <v>0</v>
      </c>
      <c r="E143" s="219">
        <f t="shared" si="28"/>
        <v>3</v>
      </c>
      <c r="F143" s="218">
        <f t="shared" si="29"/>
        <v>0</v>
      </c>
      <c r="G143" s="219">
        <f t="shared" si="30"/>
        <v>1</v>
      </c>
      <c r="H143" s="218">
        <f t="shared" si="31"/>
        <v>0</v>
      </c>
      <c r="I143" s="219">
        <f t="shared" si="32"/>
        <v>1</v>
      </c>
      <c r="J143" s="218">
        <f t="shared" si="33"/>
        <v>1</v>
      </c>
      <c r="K143" s="219"/>
      <c r="L143" s="221">
        <f t="shared" si="35"/>
        <v>139</v>
      </c>
      <c r="M143" s="221">
        <f t="shared" si="34"/>
        <v>347.5</v>
      </c>
    </row>
    <row r="144" spans="1:13" ht="12.75" customHeight="1">
      <c r="A144" s="223">
        <f t="shared" si="24"/>
        <v>382.5</v>
      </c>
      <c r="B144" s="218">
        <f t="shared" si="25"/>
        <v>2</v>
      </c>
      <c r="C144" s="219">
        <f t="shared" si="26"/>
        <v>0</v>
      </c>
      <c r="D144" s="218">
        <f t="shared" si="27"/>
        <v>0</v>
      </c>
      <c r="E144" s="219">
        <f t="shared" si="28"/>
        <v>3</v>
      </c>
      <c r="F144" s="218">
        <f t="shared" si="29"/>
        <v>1</v>
      </c>
      <c r="G144" s="219">
        <f t="shared" si="30"/>
        <v>0</v>
      </c>
      <c r="H144" s="218">
        <f t="shared" si="31"/>
        <v>0</v>
      </c>
      <c r="I144" s="219">
        <f t="shared" si="32"/>
        <v>0</v>
      </c>
      <c r="J144" s="218">
        <f t="shared" si="33"/>
        <v>0</v>
      </c>
      <c r="K144" s="219"/>
      <c r="L144" s="221">
        <f t="shared" si="35"/>
        <v>140</v>
      </c>
      <c r="M144" s="221">
        <f t="shared" si="34"/>
        <v>350</v>
      </c>
    </row>
    <row r="145" spans="1:13" ht="12.75" customHeight="1">
      <c r="A145" s="223">
        <f t="shared" si="24"/>
        <v>385</v>
      </c>
      <c r="B145" s="218">
        <f t="shared" si="25"/>
        <v>2</v>
      </c>
      <c r="C145" s="219">
        <f t="shared" si="26"/>
        <v>0</v>
      </c>
      <c r="D145" s="218">
        <f t="shared" si="27"/>
        <v>0</v>
      </c>
      <c r="E145" s="219">
        <f t="shared" si="28"/>
        <v>3</v>
      </c>
      <c r="F145" s="218">
        <f t="shared" si="29"/>
        <v>1</v>
      </c>
      <c r="G145" s="219">
        <f t="shared" si="30"/>
        <v>0</v>
      </c>
      <c r="H145" s="218">
        <f t="shared" si="31"/>
        <v>0</v>
      </c>
      <c r="I145" s="219">
        <f t="shared" si="32"/>
        <v>0</v>
      </c>
      <c r="J145" s="218">
        <f t="shared" si="33"/>
        <v>1</v>
      </c>
      <c r="K145" s="219"/>
      <c r="L145" s="221">
        <f t="shared" si="35"/>
        <v>141</v>
      </c>
      <c r="M145" s="221">
        <f t="shared" si="34"/>
        <v>352.5</v>
      </c>
    </row>
    <row r="146" spans="1:13" ht="12.75" customHeight="1">
      <c r="A146" s="223">
        <f t="shared" si="24"/>
        <v>387.5</v>
      </c>
      <c r="B146" s="218">
        <f t="shared" si="25"/>
        <v>2</v>
      </c>
      <c r="C146" s="219">
        <f t="shared" si="26"/>
        <v>0</v>
      </c>
      <c r="D146" s="218">
        <f t="shared" si="27"/>
        <v>0</v>
      </c>
      <c r="E146" s="219">
        <f t="shared" si="28"/>
        <v>3</v>
      </c>
      <c r="F146" s="218">
        <f t="shared" si="29"/>
        <v>1</v>
      </c>
      <c r="G146" s="219">
        <f t="shared" si="30"/>
        <v>0</v>
      </c>
      <c r="H146" s="218">
        <f t="shared" si="31"/>
        <v>0</v>
      </c>
      <c r="I146" s="219">
        <f t="shared" si="32"/>
        <v>1</v>
      </c>
      <c r="J146" s="218">
        <f t="shared" si="33"/>
        <v>0</v>
      </c>
      <c r="K146" s="219"/>
      <c r="L146" s="221">
        <f t="shared" si="35"/>
        <v>142</v>
      </c>
      <c r="M146" s="221">
        <f t="shared" si="34"/>
        <v>355</v>
      </c>
    </row>
    <row r="147" spans="1:13" ht="12.75" customHeight="1">
      <c r="A147" s="223">
        <f t="shared" si="24"/>
        <v>390</v>
      </c>
      <c r="B147" s="218">
        <f t="shared" si="25"/>
        <v>2</v>
      </c>
      <c r="C147" s="219">
        <f t="shared" si="26"/>
        <v>0</v>
      </c>
      <c r="D147" s="218">
        <f t="shared" si="27"/>
        <v>0</v>
      </c>
      <c r="E147" s="219">
        <f t="shared" si="28"/>
        <v>3</v>
      </c>
      <c r="F147" s="218">
        <f t="shared" si="29"/>
        <v>1</v>
      </c>
      <c r="G147" s="219">
        <f t="shared" si="30"/>
        <v>0</v>
      </c>
      <c r="H147" s="218">
        <f t="shared" si="31"/>
        <v>0</v>
      </c>
      <c r="I147" s="219">
        <f t="shared" si="32"/>
        <v>1</v>
      </c>
      <c r="J147" s="218">
        <f t="shared" si="33"/>
        <v>1</v>
      </c>
      <c r="K147" s="219"/>
      <c r="L147" s="221">
        <f t="shared" si="35"/>
        <v>143</v>
      </c>
      <c r="M147" s="221">
        <f t="shared" si="34"/>
        <v>357.5</v>
      </c>
    </row>
    <row r="148" spans="1:13" ht="12.75" customHeight="1">
      <c r="A148" s="223">
        <f t="shared" si="24"/>
        <v>392.5</v>
      </c>
      <c r="B148" s="218">
        <f t="shared" si="25"/>
        <v>2</v>
      </c>
      <c r="C148" s="219">
        <f t="shared" si="26"/>
        <v>0</v>
      </c>
      <c r="D148" s="218">
        <f t="shared" si="27"/>
        <v>0</v>
      </c>
      <c r="E148" s="219">
        <f t="shared" si="28"/>
        <v>4</v>
      </c>
      <c r="F148" s="218">
        <f t="shared" si="29"/>
        <v>0</v>
      </c>
      <c r="G148" s="219">
        <f t="shared" si="30"/>
        <v>0</v>
      </c>
      <c r="H148" s="218">
        <f t="shared" si="31"/>
        <v>0</v>
      </c>
      <c r="I148" s="219">
        <f t="shared" si="32"/>
        <v>0</v>
      </c>
      <c r="J148" s="218">
        <f t="shared" si="33"/>
        <v>0</v>
      </c>
      <c r="K148" s="219"/>
      <c r="L148" s="221">
        <f t="shared" si="35"/>
        <v>144</v>
      </c>
      <c r="M148" s="221">
        <f t="shared" si="34"/>
        <v>360</v>
      </c>
    </row>
    <row r="149" spans="1:13" ht="12.75" customHeight="1">
      <c r="A149" s="223">
        <f t="shared" si="24"/>
        <v>395</v>
      </c>
      <c r="B149" s="218">
        <f t="shared" si="25"/>
        <v>2</v>
      </c>
      <c r="C149" s="219">
        <f t="shared" si="26"/>
        <v>0</v>
      </c>
      <c r="D149" s="218">
        <f t="shared" si="27"/>
        <v>0</v>
      </c>
      <c r="E149" s="219">
        <f t="shared" si="28"/>
        <v>4</v>
      </c>
      <c r="F149" s="218">
        <f t="shared" si="29"/>
        <v>0</v>
      </c>
      <c r="G149" s="219">
        <f t="shared" si="30"/>
        <v>0</v>
      </c>
      <c r="H149" s="218">
        <f t="shared" si="31"/>
        <v>0</v>
      </c>
      <c r="I149" s="219">
        <f t="shared" si="32"/>
        <v>0</v>
      </c>
      <c r="J149" s="218">
        <f t="shared" si="33"/>
        <v>1</v>
      </c>
      <c r="K149" s="219"/>
      <c r="L149" s="221">
        <f t="shared" si="35"/>
        <v>145</v>
      </c>
      <c r="M149" s="221">
        <f t="shared" si="34"/>
        <v>362.5</v>
      </c>
    </row>
    <row r="150" spans="1:13" ht="12.75" customHeight="1">
      <c r="A150" s="223">
        <f t="shared" si="24"/>
        <v>397.5</v>
      </c>
      <c r="B150" s="218">
        <f t="shared" si="25"/>
        <v>2</v>
      </c>
      <c r="C150" s="219">
        <f t="shared" si="26"/>
        <v>0</v>
      </c>
      <c r="D150" s="218">
        <f t="shared" si="27"/>
        <v>0</v>
      </c>
      <c r="E150" s="219">
        <f t="shared" si="28"/>
        <v>4</v>
      </c>
      <c r="F150" s="218">
        <f t="shared" si="29"/>
        <v>0</v>
      </c>
      <c r="G150" s="219">
        <f t="shared" si="30"/>
        <v>0</v>
      </c>
      <c r="H150" s="218">
        <f t="shared" si="31"/>
        <v>0</v>
      </c>
      <c r="I150" s="219">
        <f t="shared" si="32"/>
        <v>1</v>
      </c>
      <c r="J150" s="218">
        <f t="shared" si="33"/>
        <v>0</v>
      </c>
      <c r="K150" s="219"/>
      <c r="L150" s="221">
        <f t="shared" si="35"/>
        <v>146</v>
      </c>
      <c r="M150" s="221">
        <f t="shared" si="34"/>
        <v>365</v>
      </c>
    </row>
    <row r="151" spans="1:13" ht="12.75" customHeight="1">
      <c r="A151" s="223">
        <f t="shared" si="24"/>
        <v>400</v>
      </c>
      <c r="B151" s="218">
        <f t="shared" si="25"/>
        <v>2</v>
      </c>
      <c r="C151" s="219">
        <f t="shared" si="26"/>
        <v>0</v>
      </c>
      <c r="D151" s="218">
        <f t="shared" si="27"/>
        <v>0</v>
      </c>
      <c r="E151" s="219">
        <f t="shared" si="28"/>
        <v>4</v>
      </c>
      <c r="F151" s="218">
        <f t="shared" si="29"/>
        <v>0</v>
      </c>
      <c r="G151" s="219">
        <f t="shared" si="30"/>
        <v>0</v>
      </c>
      <c r="H151" s="218">
        <f t="shared" si="31"/>
        <v>0</v>
      </c>
      <c r="I151" s="219">
        <f t="shared" si="32"/>
        <v>1</v>
      </c>
      <c r="J151" s="218">
        <f t="shared" si="33"/>
        <v>1</v>
      </c>
      <c r="K151" s="219"/>
      <c r="L151" s="221">
        <f t="shared" si="35"/>
        <v>147</v>
      </c>
      <c r="M151" s="221">
        <f t="shared" si="34"/>
        <v>367.5</v>
      </c>
    </row>
    <row r="152" spans="1:13" ht="12.75" customHeight="1">
      <c r="A152" s="223">
        <f t="shared" si="24"/>
        <v>402.5</v>
      </c>
      <c r="B152" s="218">
        <f t="shared" si="25"/>
        <v>2</v>
      </c>
      <c r="C152" s="219">
        <f t="shared" si="26"/>
        <v>0</v>
      </c>
      <c r="D152" s="218">
        <f t="shared" si="27"/>
        <v>0</v>
      </c>
      <c r="E152" s="219">
        <f t="shared" si="28"/>
        <v>4</v>
      </c>
      <c r="F152" s="218">
        <f t="shared" si="29"/>
        <v>0</v>
      </c>
      <c r="G152" s="219">
        <f t="shared" si="30"/>
        <v>0</v>
      </c>
      <c r="H152" s="218">
        <f t="shared" si="31"/>
        <v>1</v>
      </c>
      <c r="I152" s="219">
        <f t="shared" si="32"/>
        <v>0</v>
      </c>
      <c r="J152" s="218">
        <f t="shared" si="33"/>
        <v>0</v>
      </c>
      <c r="K152" s="219"/>
      <c r="L152" s="221">
        <f t="shared" si="35"/>
        <v>148</v>
      </c>
      <c r="M152" s="221">
        <f t="shared" si="34"/>
        <v>370</v>
      </c>
    </row>
    <row r="153" spans="1:13" ht="12.75" customHeight="1">
      <c r="A153" s="223">
        <f t="shared" si="24"/>
        <v>405</v>
      </c>
      <c r="B153" s="218">
        <f t="shared" si="25"/>
        <v>2</v>
      </c>
      <c r="C153" s="219">
        <f t="shared" si="26"/>
        <v>0</v>
      </c>
      <c r="D153" s="218">
        <f t="shared" si="27"/>
        <v>0</v>
      </c>
      <c r="E153" s="219">
        <f t="shared" si="28"/>
        <v>4</v>
      </c>
      <c r="F153" s="218">
        <f t="shared" si="29"/>
        <v>0</v>
      </c>
      <c r="G153" s="219">
        <f t="shared" si="30"/>
        <v>0</v>
      </c>
      <c r="H153" s="218">
        <f t="shared" si="31"/>
        <v>1</v>
      </c>
      <c r="I153" s="219">
        <f t="shared" si="32"/>
        <v>0</v>
      </c>
      <c r="J153" s="218">
        <f t="shared" si="33"/>
        <v>1</v>
      </c>
      <c r="K153" s="219"/>
      <c r="L153" s="221">
        <f t="shared" si="35"/>
        <v>149</v>
      </c>
      <c r="M153" s="221">
        <f t="shared" si="34"/>
        <v>372.5</v>
      </c>
    </row>
    <row r="154" spans="1:13" ht="12.75" customHeight="1">
      <c r="A154" s="223">
        <f t="shared" si="24"/>
        <v>407.5</v>
      </c>
      <c r="B154" s="218">
        <f t="shared" si="25"/>
        <v>2</v>
      </c>
      <c r="C154" s="219">
        <f t="shared" si="26"/>
        <v>0</v>
      </c>
      <c r="D154" s="218">
        <f t="shared" si="27"/>
        <v>0</v>
      </c>
      <c r="E154" s="219">
        <f t="shared" si="28"/>
        <v>4</v>
      </c>
      <c r="F154" s="218">
        <f t="shared" si="29"/>
        <v>0</v>
      </c>
      <c r="G154" s="219">
        <f t="shared" si="30"/>
        <v>0</v>
      </c>
      <c r="H154" s="218">
        <f t="shared" si="31"/>
        <v>1</v>
      </c>
      <c r="I154" s="219">
        <f t="shared" si="32"/>
        <v>1</v>
      </c>
      <c r="J154" s="218">
        <f t="shared" si="33"/>
        <v>0</v>
      </c>
      <c r="K154" s="219"/>
      <c r="L154" s="221">
        <f t="shared" si="35"/>
        <v>150</v>
      </c>
      <c r="M154" s="221">
        <f t="shared" si="34"/>
        <v>375</v>
      </c>
    </row>
    <row r="155" spans="1:13" ht="12.75" customHeight="1">
      <c r="A155" s="223">
        <f t="shared" si="24"/>
        <v>410</v>
      </c>
      <c r="B155" s="218">
        <f t="shared" si="25"/>
        <v>2</v>
      </c>
      <c r="C155" s="219">
        <f t="shared" si="26"/>
        <v>0</v>
      </c>
      <c r="D155" s="218">
        <f t="shared" si="27"/>
        <v>0</v>
      </c>
      <c r="E155" s="219">
        <f t="shared" si="28"/>
        <v>4</v>
      </c>
      <c r="F155" s="218">
        <f t="shared" si="29"/>
        <v>0</v>
      </c>
      <c r="G155" s="219">
        <f t="shared" si="30"/>
        <v>0</v>
      </c>
      <c r="H155" s="218">
        <f t="shared" si="31"/>
        <v>1</v>
      </c>
      <c r="I155" s="219">
        <f t="shared" si="32"/>
        <v>1</v>
      </c>
      <c r="J155" s="218">
        <f t="shared" si="33"/>
        <v>1</v>
      </c>
      <c r="K155" s="219"/>
      <c r="L155" s="221">
        <f t="shared" si="35"/>
        <v>151</v>
      </c>
      <c r="M155" s="221">
        <f t="shared" si="34"/>
        <v>377.5</v>
      </c>
    </row>
    <row r="156" spans="1:13" ht="12.75" customHeight="1">
      <c r="A156" s="223">
        <f t="shared" si="24"/>
        <v>412.5</v>
      </c>
      <c r="B156" s="218">
        <f t="shared" si="25"/>
        <v>2</v>
      </c>
      <c r="C156" s="219">
        <f t="shared" si="26"/>
        <v>0</v>
      </c>
      <c r="D156" s="218">
        <f t="shared" si="27"/>
        <v>0</v>
      </c>
      <c r="E156" s="219">
        <f t="shared" si="28"/>
        <v>4</v>
      </c>
      <c r="F156" s="218">
        <f t="shared" si="29"/>
        <v>0</v>
      </c>
      <c r="G156" s="219">
        <f t="shared" si="30"/>
        <v>1</v>
      </c>
      <c r="H156" s="218">
        <f t="shared" si="31"/>
        <v>0</v>
      </c>
      <c r="I156" s="219">
        <f t="shared" si="32"/>
        <v>0</v>
      </c>
      <c r="J156" s="218">
        <f t="shared" si="33"/>
        <v>0</v>
      </c>
      <c r="K156" s="219"/>
      <c r="L156" s="221">
        <f t="shared" si="35"/>
        <v>152</v>
      </c>
      <c r="M156" s="221">
        <f t="shared" si="34"/>
        <v>380</v>
      </c>
    </row>
    <row r="157" spans="1:13" ht="12.75" customHeight="1">
      <c r="A157" s="223">
        <f t="shared" si="24"/>
        <v>415</v>
      </c>
      <c r="B157" s="218">
        <f t="shared" si="25"/>
        <v>2</v>
      </c>
      <c r="C157" s="219">
        <f t="shared" si="26"/>
        <v>0</v>
      </c>
      <c r="D157" s="218">
        <f t="shared" si="27"/>
        <v>0</v>
      </c>
      <c r="E157" s="219">
        <f t="shared" si="28"/>
        <v>4</v>
      </c>
      <c r="F157" s="218">
        <f t="shared" si="29"/>
        <v>0</v>
      </c>
      <c r="G157" s="219">
        <f t="shared" si="30"/>
        <v>1</v>
      </c>
      <c r="H157" s="218">
        <f t="shared" si="31"/>
        <v>0</v>
      </c>
      <c r="I157" s="219">
        <f t="shared" si="32"/>
        <v>0</v>
      </c>
      <c r="J157" s="218">
        <f t="shared" si="33"/>
        <v>1</v>
      </c>
      <c r="K157" s="219"/>
      <c r="L157" s="221">
        <f t="shared" si="35"/>
        <v>153</v>
      </c>
      <c r="M157" s="221">
        <f t="shared" si="34"/>
        <v>382.5</v>
      </c>
    </row>
    <row r="158" spans="1:13" ht="12.75" customHeight="1">
      <c r="A158" s="223">
        <f t="shared" si="24"/>
        <v>417.5</v>
      </c>
      <c r="B158" s="218">
        <f t="shared" si="25"/>
        <v>2</v>
      </c>
      <c r="C158" s="219">
        <f t="shared" si="26"/>
        <v>0</v>
      </c>
      <c r="D158" s="218">
        <f t="shared" si="27"/>
        <v>0</v>
      </c>
      <c r="E158" s="219">
        <f t="shared" si="28"/>
        <v>4</v>
      </c>
      <c r="F158" s="218">
        <f t="shared" si="29"/>
        <v>0</v>
      </c>
      <c r="G158" s="219">
        <f t="shared" si="30"/>
        <v>1</v>
      </c>
      <c r="H158" s="218">
        <f t="shared" si="31"/>
        <v>0</v>
      </c>
      <c r="I158" s="219">
        <f t="shared" si="32"/>
        <v>1</v>
      </c>
      <c r="J158" s="218">
        <f t="shared" si="33"/>
        <v>0</v>
      </c>
      <c r="K158" s="219"/>
      <c r="L158" s="221">
        <f t="shared" si="35"/>
        <v>154</v>
      </c>
      <c r="M158" s="221">
        <f t="shared" si="34"/>
        <v>385</v>
      </c>
    </row>
    <row r="159" spans="1:13" ht="12.75" customHeight="1">
      <c r="A159" s="223">
        <f t="shared" si="24"/>
        <v>420</v>
      </c>
      <c r="B159" s="218">
        <f t="shared" si="25"/>
        <v>2</v>
      </c>
      <c r="C159" s="219">
        <f t="shared" si="26"/>
        <v>0</v>
      </c>
      <c r="D159" s="218">
        <f t="shared" si="27"/>
        <v>0</v>
      </c>
      <c r="E159" s="219">
        <f t="shared" si="28"/>
        <v>4</v>
      </c>
      <c r="F159" s="218">
        <f t="shared" si="29"/>
        <v>0</v>
      </c>
      <c r="G159" s="219">
        <f t="shared" si="30"/>
        <v>1</v>
      </c>
      <c r="H159" s="218">
        <f t="shared" si="31"/>
        <v>0</v>
      </c>
      <c r="I159" s="219">
        <f t="shared" si="32"/>
        <v>1</v>
      </c>
      <c r="J159" s="218">
        <f t="shared" si="33"/>
        <v>1</v>
      </c>
      <c r="K159" s="219"/>
      <c r="L159" s="221">
        <f t="shared" si="35"/>
        <v>155</v>
      </c>
      <c r="M159" s="221">
        <f t="shared" si="34"/>
        <v>387.5</v>
      </c>
    </row>
    <row r="160" spans="1:13" ht="12.75" customHeight="1">
      <c r="A160" s="223">
        <f t="shared" si="24"/>
        <v>422.5</v>
      </c>
      <c r="B160" s="218">
        <f t="shared" si="25"/>
        <v>2</v>
      </c>
      <c r="C160" s="219">
        <f t="shared" si="26"/>
        <v>0</v>
      </c>
      <c r="D160" s="218">
        <f t="shared" si="27"/>
        <v>0</v>
      </c>
      <c r="E160" s="219">
        <f t="shared" si="28"/>
        <v>4</v>
      </c>
      <c r="F160" s="218">
        <f t="shared" si="29"/>
        <v>1</v>
      </c>
      <c r="G160" s="219">
        <f t="shared" si="30"/>
        <v>0</v>
      </c>
      <c r="H160" s="218">
        <f t="shared" si="31"/>
        <v>0</v>
      </c>
      <c r="I160" s="219">
        <f t="shared" si="32"/>
        <v>0</v>
      </c>
      <c r="J160" s="218">
        <f t="shared" si="33"/>
        <v>0</v>
      </c>
      <c r="K160" s="219"/>
      <c r="L160" s="221">
        <f t="shared" si="35"/>
        <v>156</v>
      </c>
      <c r="M160" s="221">
        <f t="shared" si="34"/>
        <v>390</v>
      </c>
    </row>
    <row r="161" spans="1:13" ht="12.75" customHeight="1">
      <c r="A161" s="223">
        <f t="shared" si="24"/>
        <v>425</v>
      </c>
      <c r="B161" s="218">
        <f t="shared" si="25"/>
        <v>2</v>
      </c>
      <c r="C161" s="219">
        <f t="shared" si="26"/>
        <v>0</v>
      </c>
      <c r="D161" s="218">
        <f t="shared" si="27"/>
        <v>0</v>
      </c>
      <c r="E161" s="219">
        <f t="shared" si="28"/>
        <v>4</v>
      </c>
      <c r="F161" s="218">
        <f t="shared" si="29"/>
        <v>1</v>
      </c>
      <c r="G161" s="219">
        <f t="shared" si="30"/>
        <v>0</v>
      </c>
      <c r="H161" s="218">
        <f t="shared" si="31"/>
        <v>0</v>
      </c>
      <c r="I161" s="219">
        <f t="shared" si="32"/>
        <v>0</v>
      </c>
      <c r="J161" s="218">
        <f t="shared" si="33"/>
        <v>1</v>
      </c>
      <c r="K161" s="219"/>
      <c r="L161" s="221">
        <f t="shared" si="35"/>
        <v>157</v>
      </c>
      <c r="M161" s="221">
        <f t="shared" si="34"/>
        <v>392.5</v>
      </c>
    </row>
    <row r="162" spans="1:13" ht="12.75" customHeight="1">
      <c r="A162" s="223">
        <f t="shared" si="24"/>
        <v>427.5</v>
      </c>
      <c r="B162" s="218">
        <f t="shared" si="25"/>
        <v>2</v>
      </c>
      <c r="C162" s="219">
        <f t="shared" si="26"/>
        <v>0</v>
      </c>
      <c r="D162" s="218">
        <f t="shared" si="27"/>
        <v>0</v>
      </c>
      <c r="E162" s="219">
        <f t="shared" si="28"/>
        <v>4</v>
      </c>
      <c r="F162" s="218">
        <f t="shared" si="29"/>
        <v>1</v>
      </c>
      <c r="G162" s="219">
        <f t="shared" si="30"/>
        <v>0</v>
      </c>
      <c r="H162" s="218">
        <f t="shared" si="31"/>
        <v>0</v>
      </c>
      <c r="I162" s="219">
        <f t="shared" si="32"/>
        <v>1</v>
      </c>
      <c r="J162" s="218">
        <f t="shared" si="33"/>
        <v>0</v>
      </c>
      <c r="K162" s="219"/>
      <c r="L162" s="221">
        <f t="shared" si="35"/>
        <v>158</v>
      </c>
      <c r="M162" s="221">
        <f t="shared" si="34"/>
        <v>395</v>
      </c>
    </row>
    <row r="163" spans="1:13" ht="12.75" customHeight="1">
      <c r="A163" s="223">
        <f t="shared" si="24"/>
        <v>430</v>
      </c>
      <c r="B163" s="218">
        <f t="shared" si="25"/>
        <v>2</v>
      </c>
      <c r="C163" s="219">
        <f t="shared" si="26"/>
        <v>0</v>
      </c>
      <c r="D163" s="218">
        <f t="shared" si="27"/>
        <v>0</v>
      </c>
      <c r="E163" s="219">
        <f t="shared" si="28"/>
        <v>4</v>
      </c>
      <c r="F163" s="218">
        <f t="shared" si="29"/>
        <v>1</v>
      </c>
      <c r="G163" s="219">
        <f t="shared" si="30"/>
        <v>0</v>
      </c>
      <c r="H163" s="218">
        <f t="shared" si="31"/>
        <v>0</v>
      </c>
      <c r="I163" s="219">
        <f t="shared" si="32"/>
        <v>1</v>
      </c>
      <c r="J163" s="218">
        <f t="shared" si="33"/>
        <v>1</v>
      </c>
      <c r="K163" s="219"/>
      <c r="L163" s="221">
        <f t="shared" si="35"/>
        <v>159</v>
      </c>
      <c r="M163" s="221">
        <f t="shared" si="34"/>
        <v>397.5</v>
      </c>
    </row>
    <row r="164" spans="1:13" ht="12.75" customHeight="1">
      <c r="A164" s="223">
        <f t="shared" si="24"/>
        <v>432.5</v>
      </c>
      <c r="B164" s="218">
        <f t="shared" si="25"/>
        <v>2</v>
      </c>
      <c r="C164" s="219">
        <f t="shared" si="26"/>
        <v>0</v>
      </c>
      <c r="D164" s="218">
        <f t="shared" si="27"/>
        <v>0</v>
      </c>
      <c r="E164" s="219">
        <f t="shared" si="28"/>
        <v>5</v>
      </c>
      <c r="F164" s="218">
        <f t="shared" si="29"/>
        <v>0</v>
      </c>
      <c r="G164" s="219">
        <f t="shared" si="30"/>
        <v>0</v>
      </c>
      <c r="H164" s="218">
        <f t="shared" si="31"/>
        <v>0</v>
      </c>
      <c r="I164" s="219">
        <f t="shared" si="32"/>
        <v>0</v>
      </c>
      <c r="J164" s="218">
        <f t="shared" si="33"/>
        <v>0</v>
      </c>
      <c r="K164" s="219"/>
      <c r="L164" s="221">
        <f t="shared" si="35"/>
        <v>160</v>
      </c>
      <c r="M164" s="221">
        <f t="shared" si="34"/>
        <v>400</v>
      </c>
    </row>
    <row r="165" spans="1:13" ht="12.75" customHeight="1">
      <c r="A165" s="223">
        <f t="shared" si="24"/>
        <v>435</v>
      </c>
      <c r="B165" s="218">
        <f t="shared" si="25"/>
        <v>2</v>
      </c>
      <c r="C165" s="219">
        <f t="shared" si="26"/>
        <v>0</v>
      </c>
      <c r="D165" s="218">
        <f t="shared" si="27"/>
        <v>0</v>
      </c>
      <c r="E165" s="219">
        <f t="shared" si="28"/>
        <v>5</v>
      </c>
      <c r="F165" s="218">
        <f t="shared" si="29"/>
        <v>0</v>
      </c>
      <c r="G165" s="219">
        <f t="shared" si="30"/>
        <v>0</v>
      </c>
      <c r="H165" s="218">
        <f t="shared" si="31"/>
        <v>0</v>
      </c>
      <c r="I165" s="219">
        <f t="shared" si="32"/>
        <v>0</v>
      </c>
      <c r="J165" s="218">
        <f t="shared" si="33"/>
        <v>1</v>
      </c>
      <c r="K165" s="219"/>
      <c r="L165" s="221">
        <f t="shared" si="35"/>
        <v>161</v>
      </c>
      <c r="M165" s="221">
        <f t="shared" si="34"/>
        <v>402.5</v>
      </c>
    </row>
    <row r="166" spans="1:13" ht="12.75" customHeight="1">
      <c r="A166" s="223">
        <f t="shared" si="24"/>
        <v>437.5</v>
      </c>
      <c r="B166" s="218">
        <f t="shared" si="25"/>
        <v>2</v>
      </c>
      <c r="C166" s="219">
        <f t="shared" si="26"/>
        <v>0</v>
      </c>
      <c r="D166" s="218">
        <f t="shared" si="27"/>
        <v>0</v>
      </c>
      <c r="E166" s="219">
        <f t="shared" si="28"/>
        <v>5</v>
      </c>
      <c r="F166" s="218">
        <f t="shared" si="29"/>
        <v>0</v>
      </c>
      <c r="G166" s="219">
        <f t="shared" si="30"/>
        <v>0</v>
      </c>
      <c r="H166" s="218">
        <f t="shared" si="31"/>
        <v>0</v>
      </c>
      <c r="I166" s="219">
        <f t="shared" si="32"/>
        <v>1</v>
      </c>
      <c r="J166" s="218">
        <f t="shared" si="33"/>
        <v>0</v>
      </c>
      <c r="K166" s="219"/>
      <c r="L166" s="221">
        <f t="shared" si="35"/>
        <v>162</v>
      </c>
      <c r="M166" s="221">
        <f t="shared" si="34"/>
        <v>405</v>
      </c>
    </row>
    <row r="167" spans="1:13" ht="12.75" customHeight="1">
      <c r="A167" s="223">
        <f t="shared" si="24"/>
        <v>440</v>
      </c>
      <c r="B167" s="218">
        <f t="shared" si="25"/>
        <v>2</v>
      </c>
      <c r="C167" s="219">
        <f t="shared" si="26"/>
        <v>0</v>
      </c>
      <c r="D167" s="218">
        <f t="shared" si="27"/>
        <v>0</v>
      </c>
      <c r="E167" s="219">
        <f t="shared" si="28"/>
        <v>5</v>
      </c>
      <c r="F167" s="218">
        <f t="shared" si="29"/>
        <v>0</v>
      </c>
      <c r="G167" s="219">
        <f t="shared" si="30"/>
        <v>0</v>
      </c>
      <c r="H167" s="218">
        <f t="shared" si="31"/>
        <v>0</v>
      </c>
      <c r="I167" s="219">
        <f t="shared" si="32"/>
        <v>1</v>
      </c>
      <c r="J167" s="218">
        <f t="shared" si="33"/>
        <v>1</v>
      </c>
      <c r="K167" s="219"/>
      <c r="L167" s="221">
        <f t="shared" si="35"/>
        <v>163</v>
      </c>
      <c r="M167" s="221">
        <f t="shared" si="34"/>
        <v>407.5</v>
      </c>
    </row>
    <row r="168" spans="1:13" ht="12.75" customHeight="1">
      <c r="A168" s="223">
        <f t="shared" si="24"/>
        <v>442.5</v>
      </c>
      <c r="B168" s="218">
        <f t="shared" si="25"/>
        <v>2</v>
      </c>
      <c r="C168" s="219">
        <f t="shared" si="26"/>
        <v>0</v>
      </c>
      <c r="D168" s="218">
        <f t="shared" si="27"/>
        <v>0</v>
      </c>
      <c r="E168" s="219">
        <f t="shared" si="28"/>
        <v>5</v>
      </c>
      <c r="F168" s="218">
        <f t="shared" si="29"/>
        <v>0</v>
      </c>
      <c r="G168" s="219">
        <f t="shared" si="30"/>
        <v>0</v>
      </c>
      <c r="H168" s="218">
        <f t="shared" si="31"/>
        <v>1</v>
      </c>
      <c r="I168" s="219">
        <f t="shared" si="32"/>
        <v>0</v>
      </c>
      <c r="J168" s="218">
        <f t="shared" si="33"/>
        <v>0</v>
      </c>
      <c r="K168" s="219"/>
      <c r="L168" s="221">
        <f t="shared" si="35"/>
        <v>164</v>
      </c>
      <c r="M168" s="221">
        <f t="shared" si="34"/>
        <v>410</v>
      </c>
    </row>
    <row r="169" spans="1:13" ht="12.75" customHeight="1">
      <c r="A169" s="223">
        <f t="shared" si="24"/>
        <v>445</v>
      </c>
      <c r="B169" s="218">
        <f t="shared" si="25"/>
        <v>2</v>
      </c>
      <c r="C169" s="219">
        <f t="shared" si="26"/>
        <v>0</v>
      </c>
      <c r="D169" s="218">
        <f t="shared" si="27"/>
        <v>0</v>
      </c>
      <c r="E169" s="219">
        <f t="shared" si="28"/>
        <v>5</v>
      </c>
      <c r="F169" s="218">
        <f t="shared" si="29"/>
        <v>0</v>
      </c>
      <c r="G169" s="219">
        <f t="shared" si="30"/>
        <v>0</v>
      </c>
      <c r="H169" s="218">
        <f t="shared" si="31"/>
        <v>1</v>
      </c>
      <c r="I169" s="219">
        <f t="shared" si="32"/>
        <v>0</v>
      </c>
      <c r="J169" s="218">
        <f t="shared" si="33"/>
        <v>1</v>
      </c>
      <c r="K169" s="219"/>
      <c r="L169" s="221">
        <f t="shared" si="35"/>
        <v>165</v>
      </c>
      <c r="M169" s="221">
        <f t="shared" si="34"/>
        <v>412.5</v>
      </c>
    </row>
    <row r="170" spans="1:13" ht="12.75" customHeight="1">
      <c r="A170" s="223">
        <f t="shared" si="24"/>
        <v>447.5</v>
      </c>
      <c r="B170" s="218">
        <f t="shared" si="25"/>
        <v>2</v>
      </c>
      <c r="C170" s="219">
        <f t="shared" si="26"/>
        <v>0</v>
      </c>
      <c r="D170" s="218">
        <f t="shared" si="27"/>
        <v>0</v>
      </c>
      <c r="E170" s="219">
        <f t="shared" si="28"/>
        <v>5</v>
      </c>
      <c r="F170" s="218">
        <f t="shared" si="29"/>
        <v>0</v>
      </c>
      <c r="G170" s="219">
        <f t="shared" si="30"/>
        <v>0</v>
      </c>
      <c r="H170" s="218">
        <f t="shared" si="31"/>
        <v>1</v>
      </c>
      <c r="I170" s="219">
        <f t="shared" si="32"/>
        <v>1</v>
      </c>
      <c r="J170" s="218">
        <f t="shared" si="33"/>
        <v>0</v>
      </c>
      <c r="K170" s="219"/>
      <c r="L170" s="221">
        <f t="shared" si="35"/>
        <v>166</v>
      </c>
      <c r="M170" s="221">
        <f t="shared" si="34"/>
        <v>415</v>
      </c>
    </row>
    <row r="171" spans="1:13" ht="12.75" customHeight="1">
      <c r="A171" s="223">
        <f t="shared" si="24"/>
        <v>450</v>
      </c>
      <c r="B171" s="218">
        <f t="shared" si="25"/>
        <v>2</v>
      </c>
      <c r="C171" s="219">
        <f t="shared" si="26"/>
        <v>0</v>
      </c>
      <c r="D171" s="218">
        <f t="shared" si="27"/>
        <v>0</v>
      </c>
      <c r="E171" s="219">
        <f t="shared" si="28"/>
        <v>5</v>
      </c>
      <c r="F171" s="218">
        <f t="shared" si="29"/>
        <v>0</v>
      </c>
      <c r="G171" s="219">
        <f t="shared" si="30"/>
        <v>0</v>
      </c>
      <c r="H171" s="218">
        <f t="shared" si="31"/>
        <v>1</v>
      </c>
      <c r="I171" s="219">
        <f t="shared" si="32"/>
        <v>1</v>
      </c>
      <c r="J171" s="218">
        <f t="shared" si="33"/>
        <v>1</v>
      </c>
      <c r="K171" s="219"/>
      <c r="L171" s="221">
        <f t="shared" si="35"/>
        <v>167</v>
      </c>
      <c r="M171" s="221">
        <f t="shared" si="34"/>
        <v>417.5</v>
      </c>
    </row>
    <row r="172" spans="1:13" ht="12.75" customHeight="1">
      <c r="A172" s="223">
        <f t="shared" si="24"/>
        <v>452.5</v>
      </c>
      <c r="B172" s="218">
        <f t="shared" si="25"/>
        <v>2</v>
      </c>
      <c r="C172" s="219">
        <f t="shared" si="26"/>
        <v>0</v>
      </c>
      <c r="D172" s="218">
        <f t="shared" si="27"/>
        <v>0</v>
      </c>
      <c r="E172" s="219">
        <f t="shared" si="28"/>
        <v>5</v>
      </c>
      <c r="F172" s="218">
        <f t="shared" si="29"/>
        <v>0</v>
      </c>
      <c r="G172" s="219">
        <f t="shared" si="30"/>
        <v>1</v>
      </c>
      <c r="H172" s="218">
        <f t="shared" si="31"/>
        <v>0</v>
      </c>
      <c r="I172" s="219">
        <f t="shared" si="32"/>
        <v>0</v>
      </c>
      <c r="J172" s="218">
        <f t="shared" si="33"/>
        <v>0</v>
      </c>
      <c r="K172" s="219"/>
      <c r="L172" s="221">
        <f t="shared" si="35"/>
        <v>168</v>
      </c>
      <c r="M172" s="221">
        <f t="shared" si="34"/>
        <v>420</v>
      </c>
    </row>
    <row r="173" spans="1:13" ht="12.75" customHeight="1">
      <c r="A173" s="223">
        <f t="shared" si="24"/>
        <v>455</v>
      </c>
      <c r="B173" s="218">
        <f t="shared" si="25"/>
        <v>2</v>
      </c>
      <c r="C173" s="219">
        <f t="shared" si="26"/>
        <v>0</v>
      </c>
      <c r="D173" s="218">
        <f t="shared" si="27"/>
        <v>0</v>
      </c>
      <c r="E173" s="219">
        <f t="shared" si="28"/>
        <v>5</v>
      </c>
      <c r="F173" s="218">
        <f t="shared" si="29"/>
        <v>0</v>
      </c>
      <c r="G173" s="219">
        <f t="shared" si="30"/>
        <v>1</v>
      </c>
      <c r="H173" s="218">
        <f t="shared" si="31"/>
        <v>0</v>
      </c>
      <c r="I173" s="219">
        <f t="shared" si="32"/>
        <v>0</v>
      </c>
      <c r="J173" s="218">
        <f t="shared" si="33"/>
        <v>1</v>
      </c>
      <c r="K173" s="219"/>
      <c r="L173" s="221">
        <f t="shared" si="35"/>
        <v>169</v>
      </c>
      <c r="M173" s="221">
        <f t="shared" si="34"/>
        <v>422.5</v>
      </c>
    </row>
    <row r="174" spans="1:13" ht="12.75" customHeight="1">
      <c r="A174" s="223">
        <f t="shared" si="24"/>
        <v>457.5</v>
      </c>
      <c r="B174" s="218">
        <f t="shared" si="25"/>
        <v>2</v>
      </c>
      <c r="C174" s="219">
        <f t="shared" si="26"/>
        <v>0</v>
      </c>
      <c r="D174" s="218">
        <f t="shared" si="27"/>
        <v>0</v>
      </c>
      <c r="E174" s="219">
        <f t="shared" si="28"/>
        <v>5</v>
      </c>
      <c r="F174" s="218">
        <f t="shared" si="29"/>
        <v>0</v>
      </c>
      <c r="G174" s="219">
        <f t="shared" si="30"/>
        <v>1</v>
      </c>
      <c r="H174" s="218">
        <f t="shared" si="31"/>
        <v>0</v>
      </c>
      <c r="I174" s="219">
        <f t="shared" si="32"/>
        <v>1</v>
      </c>
      <c r="J174" s="218">
        <f t="shared" si="33"/>
        <v>0</v>
      </c>
      <c r="K174" s="219"/>
      <c r="L174" s="221">
        <f t="shared" si="35"/>
        <v>170</v>
      </c>
      <c r="M174" s="221">
        <f t="shared" si="34"/>
        <v>425</v>
      </c>
    </row>
    <row r="175" spans="1:13" ht="12.75" customHeight="1">
      <c r="A175" s="223">
        <f t="shared" si="24"/>
        <v>460</v>
      </c>
      <c r="B175" s="218">
        <f t="shared" si="25"/>
        <v>2</v>
      </c>
      <c r="C175" s="219">
        <f t="shared" si="26"/>
        <v>0</v>
      </c>
      <c r="D175" s="218">
        <f t="shared" si="27"/>
        <v>0</v>
      </c>
      <c r="E175" s="219">
        <f t="shared" si="28"/>
        <v>5</v>
      </c>
      <c r="F175" s="218">
        <f t="shared" si="29"/>
        <v>0</v>
      </c>
      <c r="G175" s="219">
        <f t="shared" si="30"/>
        <v>1</v>
      </c>
      <c r="H175" s="218">
        <f t="shared" si="31"/>
        <v>0</v>
      </c>
      <c r="I175" s="219">
        <f t="shared" si="32"/>
        <v>1</v>
      </c>
      <c r="J175" s="218">
        <f t="shared" si="33"/>
        <v>1</v>
      </c>
      <c r="K175" s="219"/>
      <c r="L175" s="221">
        <f t="shared" si="35"/>
        <v>171</v>
      </c>
      <c r="M175" s="221">
        <f t="shared" si="34"/>
        <v>427.5</v>
      </c>
    </row>
    <row r="176" spans="1:13" ht="12.75" customHeight="1">
      <c r="A176" s="223">
        <f t="shared" si="24"/>
        <v>462.5</v>
      </c>
      <c r="B176" s="218">
        <f t="shared" si="25"/>
        <v>2</v>
      </c>
      <c r="C176" s="219">
        <f t="shared" si="26"/>
        <v>0</v>
      </c>
      <c r="D176" s="218">
        <f t="shared" si="27"/>
        <v>0</v>
      </c>
      <c r="E176" s="219">
        <f t="shared" si="28"/>
        <v>5</v>
      </c>
      <c r="F176" s="218">
        <f t="shared" si="29"/>
        <v>1</v>
      </c>
      <c r="G176" s="219">
        <f t="shared" si="30"/>
        <v>0</v>
      </c>
      <c r="H176" s="218">
        <f t="shared" si="31"/>
        <v>0</v>
      </c>
      <c r="I176" s="219">
        <f t="shared" si="32"/>
        <v>0</v>
      </c>
      <c r="J176" s="218">
        <f t="shared" si="33"/>
        <v>0</v>
      </c>
      <c r="K176" s="219"/>
      <c r="L176" s="221">
        <f t="shared" si="35"/>
        <v>172</v>
      </c>
      <c r="M176" s="221">
        <f t="shared" si="34"/>
        <v>430</v>
      </c>
    </row>
    <row r="177" spans="1:13" ht="12.75" customHeight="1">
      <c r="A177" s="223">
        <f t="shared" si="24"/>
        <v>465</v>
      </c>
      <c r="B177" s="218">
        <f t="shared" si="25"/>
        <v>2</v>
      </c>
      <c r="C177" s="219">
        <f t="shared" si="26"/>
        <v>0</v>
      </c>
      <c r="D177" s="218">
        <f t="shared" si="27"/>
        <v>0</v>
      </c>
      <c r="E177" s="219">
        <f t="shared" si="28"/>
        <v>5</v>
      </c>
      <c r="F177" s="218">
        <f t="shared" si="29"/>
        <v>1</v>
      </c>
      <c r="G177" s="219">
        <f t="shared" si="30"/>
        <v>0</v>
      </c>
      <c r="H177" s="218">
        <f t="shared" si="31"/>
        <v>0</v>
      </c>
      <c r="I177" s="219">
        <f t="shared" si="32"/>
        <v>0</v>
      </c>
      <c r="J177" s="218">
        <f t="shared" si="33"/>
        <v>1</v>
      </c>
      <c r="K177" s="219"/>
      <c r="L177" s="221">
        <f t="shared" si="35"/>
        <v>173</v>
      </c>
      <c r="M177" s="221">
        <f t="shared" si="34"/>
        <v>432.5</v>
      </c>
    </row>
    <row r="178" spans="1:13" ht="12.75" customHeight="1">
      <c r="A178" s="223">
        <f t="shared" si="24"/>
        <v>467.5</v>
      </c>
      <c r="B178" s="218">
        <f t="shared" si="25"/>
        <v>2</v>
      </c>
      <c r="C178" s="219">
        <f t="shared" si="26"/>
        <v>0</v>
      </c>
      <c r="D178" s="218">
        <f t="shared" si="27"/>
        <v>0</v>
      </c>
      <c r="E178" s="219">
        <f t="shared" si="28"/>
        <v>5</v>
      </c>
      <c r="F178" s="218">
        <f t="shared" si="29"/>
        <v>1</v>
      </c>
      <c r="G178" s="219">
        <f t="shared" si="30"/>
        <v>0</v>
      </c>
      <c r="H178" s="218">
        <f t="shared" si="31"/>
        <v>0</v>
      </c>
      <c r="I178" s="219">
        <f t="shared" si="32"/>
        <v>1</v>
      </c>
      <c r="J178" s="218">
        <f t="shared" si="33"/>
        <v>0</v>
      </c>
      <c r="K178" s="219"/>
      <c r="L178" s="221">
        <f t="shared" si="35"/>
        <v>174</v>
      </c>
      <c r="M178" s="221">
        <f t="shared" si="34"/>
        <v>435</v>
      </c>
    </row>
    <row r="179" spans="1:13" ht="12.75" customHeight="1">
      <c r="A179" s="223">
        <f t="shared" si="24"/>
        <v>470</v>
      </c>
      <c r="B179" s="218">
        <f t="shared" si="25"/>
        <v>2</v>
      </c>
      <c r="C179" s="219">
        <f t="shared" si="26"/>
        <v>0</v>
      </c>
      <c r="D179" s="218">
        <f t="shared" si="27"/>
        <v>0</v>
      </c>
      <c r="E179" s="219">
        <f t="shared" si="28"/>
        <v>5</v>
      </c>
      <c r="F179" s="218">
        <f t="shared" si="29"/>
        <v>1</v>
      </c>
      <c r="G179" s="219">
        <f t="shared" si="30"/>
        <v>0</v>
      </c>
      <c r="H179" s="218">
        <f t="shared" si="31"/>
        <v>0</v>
      </c>
      <c r="I179" s="219">
        <f t="shared" si="32"/>
        <v>1</v>
      </c>
      <c r="J179" s="218">
        <f t="shared" si="33"/>
        <v>1</v>
      </c>
      <c r="K179" s="219"/>
      <c r="L179" s="221">
        <f t="shared" si="35"/>
        <v>175</v>
      </c>
      <c r="M179" s="221">
        <f t="shared" si="34"/>
        <v>437.5</v>
      </c>
    </row>
    <row r="180" spans="1:13" ht="12.75" customHeight="1">
      <c r="A180" s="223">
        <f t="shared" si="24"/>
        <v>472.5</v>
      </c>
      <c r="B180" s="218">
        <f t="shared" si="25"/>
        <v>2</v>
      </c>
      <c r="C180" s="219">
        <f t="shared" si="26"/>
        <v>0</v>
      </c>
      <c r="D180" s="218">
        <f t="shared" si="27"/>
        <v>0</v>
      </c>
      <c r="E180" s="219">
        <f t="shared" si="28"/>
        <v>6</v>
      </c>
      <c r="F180" s="218">
        <f t="shared" si="29"/>
        <v>0</v>
      </c>
      <c r="G180" s="219">
        <f t="shared" si="30"/>
        <v>0</v>
      </c>
      <c r="H180" s="218">
        <f t="shared" si="31"/>
        <v>0</v>
      </c>
      <c r="I180" s="219">
        <f t="shared" si="32"/>
        <v>0</v>
      </c>
      <c r="J180" s="218">
        <f t="shared" si="33"/>
        <v>0</v>
      </c>
      <c r="K180" s="219"/>
      <c r="L180" s="221">
        <f t="shared" si="35"/>
        <v>176</v>
      </c>
      <c r="M180" s="221">
        <f t="shared" si="34"/>
        <v>440</v>
      </c>
    </row>
    <row r="181" spans="1:13" ht="12.75" customHeight="1">
      <c r="A181" s="223">
        <f t="shared" si="24"/>
        <v>475</v>
      </c>
      <c r="B181" s="218">
        <f t="shared" si="25"/>
        <v>2</v>
      </c>
      <c r="C181" s="219">
        <f t="shared" si="26"/>
        <v>0</v>
      </c>
      <c r="D181" s="218">
        <f t="shared" si="27"/>
        <v>0</v>
      </c>
      <c r="E181" s="219">
        <f t="shared" si="28"/>
        <v>6</v>
      </c>
      <c r="F181" s="218">
        <f t="shared" si="29"/>
        <v>0</v>
      </c>
      <c r="G181" s="219">
        <f t="shared" si="30"/>
        <v>0</v>
      </c>
      <c r="H181" s="218">
        <f t="shared" si="31"/>
        <v>0</v>
      </c>
      <c r="I181" s="219">
        <f t="shared" si="32"/>
        <v>0</v>
      </c>
      <c r="J181" s="218">
        <f t="shared" si="33"/>
        <v>1</v>
      </c>
      <c r="K181" s="219"/>
      <c r="L181" s="221">
        <f t="shared" si="35"/>
        <v>177</v>
      </c>
      <c r="M181" s="221">
        <f t="shared" si="34"/>
        <v>442.5</v>
      </c>
    </row>
    <row r="182" spans="1:13" ht="12.75" customHeight="1">
      <c r="A182" s="223">
        <f t="shared" si="24"/>
        <v>477.5</v>
      </c>
      <c r="B182" s="218">
        <f t="shared" si="25"/>
        <v>2</v>
      </c>
      <c r="C182" s="219">
        <f t="shared" si="26"/>
        <v>0</v>
      </c>
      <c r="D182" s="218">
        <f t="shared" si="27"/>
        <v>0</v>
      </c>
      <c r="E182" s="219">
        <f t="shared" si="28"/>
        <v>6</v>
      </c>
      <c r="F182" s="218">
        <f t="shared" si="29"/>
        <v>0</v>
      </c>
      <c r="G182" s="219">
        <f t="shared" si="30"/>
        <v>0</v>
      </c>
      <c r="H182" s="218">
        <f t="shared" si="31"/>
        <v>0</v>
      </c>
      <c r="I182" s="219">
        <f t="shared" si="32"/>
        <v>1</v>
      </c>
      <c r="J182" s="218">
        <f t="shared" si="33"/>
        <v>0</v>
      </c>
      <c r="K182" s="219"/>
      <c r="L182" s="221">
        <f t="shared" si="35"/>
        <v>178</v>
      </c>
      <c r="M182" s="221">
        <f t="shared" si="34"/>
        <v>445</v>
      </c>
    </row>
    <row r="183" spans="1:13" ht="12.75" customHeight="1">
      <c r="A183" s="223">
        <f t="shared" si="24"/>
        <v>480</v>
      </c>
      <c r="B183" s="218">
        <f t="shared" si="25"/>
        <v>2</v>
      </c>
      <c r="C183" s="219">
        <f t="shared" si="26"/>
        <v>0</v>
      </c>
      <c r="D183" s="218">
        <f t="shared" si="27"/>
        <v>0</v>
      </c>
      <c r="E183" s="219">
        <f t="shared" si="28"/>
        <v>6</v>
      </c>
      <c r="F183" s="218">
        <f t="shared" si="29"/>
        <v>0</v>
      </c>
      <c r="G183" s="219">
        <f t="shared" si="30"/>
        <v>0</v>
      </c>
      <c r="H183" s="218">
        <f t="shared" si="31"/>
        <v>0</v>
      </c>
      <c r="I183" s="219">
        <f t="shared" si="32"/>
        <v>1</v>
      </c>
      <c r="J183" s="218">
        <f t="shared" si="33"/>
        <v>1</v>
      </c>
      <c r="K183" s="219"/>
      <c r="L183" s="221">
        <f t="shared" si="35"/>
        <v>179</v>
      </c>
      <c r="M183" s="221">
        <f t="shared" si="34"/>
        <v>447.5</v>
      </c>
    </row>
    <row r="184" spans="1:13" ht="12.75" customHeight="1">
      <c r="A184" s="223">
        <f t="shared" si="24"/>
        <v>482.5</v>
      </c>
      <c r="B184" s="218">
        <f t="shared" si="25"/>
        <v>2</v>
      </c>
      <c r="C184" s="219">
        <f t="shared" si="26"/>
        <v>0</v>
      </c>
      <c r="D184" s="218">
        <f t="shared" si="27"/>
        <v>0</v>
      </c>
      <c r="E184" s="219">
        <f t="shared" si="28"/>
        <v>6</v>
      </c>
      <c r="F184" s="218">
        <f t="shared" si="29"/>
        <v>0</v>
      </c>
      <c r="G184" s="219">
        <f t="shared" si="30"/>
        <v>0</v>
      </c>
      <c r="H184" s="218">
        <f t="shared" si="31"/>
        <v>1</v>
      </c>
      <c r="I184" s="219">
        <f t="shared" si="32"/>
        <v>0</v>
      </c>
      <c r="J184" s="218">
        <f t="shared" si="33"/>
        <v>0</v>
      </c>
      <c r="K184" s="219"/>
      <c r="L184" s="221">
        <f t="shared" si="35"/>
        <v>180</v>
      </c>
      <c r="M184" s="221">
        <f t="shared" si="34"/>
        <v>450</v>
      </c>
    </row>
    <row r="185" spans="1:13" ht="12.75" customHeight="1">
      <c r="A185" s="223">
        <f t="shared" si="24"/>
        <v>485</v>
      </c>
      <c r="B185" s="218">
        <f t="shared" si="25"/>
        <v>2</v>
      </c>
      <c r="C185" s="219">
        <f t="shared" si="26"/>
        <v>0</v>
      </c>
      <c r="D185" s="218">
        <f t="shared" si="27"/>
        <v>0</v>
      </c>
      <c r="E185" s="219">
        <f t="shared" si="28"/>
        <v>6</v>
      </c>
      <c r="F185" s="218">
        <f t="shared" si="29"/>
        <v>0</v>
      </c>
      <c r="G185" s="219">
        <f t="shared" si="30"/>
        <v>0</v>
      </c>
      <c r="H185" s="218">
        <f t="shared" si="31"/>
        <v>1</v>
      </c>
      <c r="I185" s="219">
        <f t="shared" si="32"/>
        <v>0</v>
      </c>
      <c r="J185" s="218">
        <f t="shared" si="33"/>
        <v>1</v>
      </c>
      <c r="K185" s="219"/>
      <c r="L185" s="221">
        <f t="shared" si="35"/>
        <v>181</v>
      </c>
      <c r="M185" s="221">
        <f t="shared" si="34"/>
        <v>452.5</v>
      </c>
    </row>
    <row r="186" spans="1:13" ht="12.75" customHeight="1">
      <c r="A186" s="223">
        <f t="shared" si="24"/>
        <v>487.5</v>
      </c>
      <c r="B186" s="218">
        <f t="shared" si="25"/>
        <v>2</v>
      </c>
      <c r="C186" s="219">
        <f t="shared" si="26"/>
        <v>0</v>
      </c>
      <c r="D186" s="218">
        <f t="shared" si="27"/>
        <v>0</v>
      </c>
      <c r="E186" s="219">
        <f t="shared" si="28"/>
        <v>6</v>
      </c>
      <c r="F186" s="218">
        <f t="shared" si="29"/>
        <v>0</v>
      </c>
      <c r="G186" s="219">
        <f t="shared" si="30"/>
        <v>0</v>
      </c>
      <c r="H186" s="218">
        <f t="shared" si="31"/>
        <v>1</v>
      </c>
      <c r="I186" s="219">
        <f t="shared" si="32"/>
        <v>1</v>
      </c>
      <c r="J186" s="218">
        <f t="shared" si="33"/>
        <v>0</v>
      </c>
      <c r="K186" s="219"/>
      <c r="L186" s="221">
        <f t="shared" si="35"/>
        <v>182</v>
      </c>
      <c r="M186" s="221">
        <f t="shared" si="34"/>
        <v>455</v>
      </c>
    </row>
    <row r="187" spans="1:13" ht="12.75" customHeight="1">
      <c r="A187" s="223">
        <f t="shared" si="24"/>
        <v>490</v>
      </c>
      <c r="B187" s="218">
        <f t="shared" si="25"/>
        <v>2</v>
      </c>
      <c r="C187" s="219">
        <f t="shared" si="26"/>
        <v>0</v>
      </c>
      <c r="D187" s="218">
        <f t="shared" si="27"/>
        <v>0</v>
      </c>
      <c r="E187" s="219">
        <f t="shared" si="28"/>
        <v>6</v>
      </c>
      <c r="F187" s="218">
        <f t="shared" si="29"/>
        <v>0</v>
      </c>
      <c r="G187" s="219">
        <f t="shared" si="30"/>
        <v>0</v>
      </c>
      <c r="H187" s="218">
        <f t="shared" si="31"/>
        <v>1</v>
      </c>
      <c r="I187" s="219">
        <f t="shared" si="32"/>
        <v>1</v>
      </c>
      <c r="J187" s="218">
        <f t="shared" si="33"/>
        <v>1</v>
      </c>
      <c r="K187" s="219"/>
      <c r="L187" s="221">
        <f t="shared" si="35"/>
        <v>183</v>
      </c>
      <c r="M187" s="221">
        <f t="shared" si="34"/>
        <v>457.5</v>
      </c>
    </row>
    <row r="188" spans="1:13" ht="12.75" customHeight="1">
      <c r="A188" s="223">
        <f t="shared" si="24"/>
        <v>492.5</v>
      </c>
      <c r="B188" s="218">
        <f t="shared" si="25"/>
        <v>2</v>
      </c>
      <c r="C188" s="219">
        <f t="shared" si="26"/>
        <v>0</v>
      </c>
      <c r="D188" s="218">
        <f t="shared" si="27"/>
        <v>0</v>
      </c>
      <c r="E188" s="219">
        <f t="shared" si="28"/>
        <v>6</v>
      </c>
      <c r="F188" s="218">
        <f t="shared" si="29"/>
        <v>0</v>
      </c>
      <c r="G188" s="219">
        <f t="shared" si="30"/>
        <v>1</v>
      </c>
      <c r="H188" s="218">
        <f t="shared" si="31"/>
        <v>0</v>
      </c>
      <c r="I188" s="219">
        <f t="shared" si="32"/>
        <v>0</v>
      </c>
      <c r="J188" s="218">
        <f t="shared" si="33"/>
        <v>0</v>
      </c>
      <c r="K188" s="219"/>
      <c r="L188" s="221">
        <f t="shared" si="35"/>
        <v>184</v>
      </c>
      <c r="M188" s="221">
        <f t="shared" si="34"/>
        <v>460</v>
      </c>
    </row>
    <row r="189" spans="1:13" ht="12.75" customHeight="1">
      <c r="A189" s="223">
        <f t="shared" si="24"/>
        <v>495</v>
      </c>
      <c r="B189" s="218">
        <f t="shared" si="25"/>
        <v>2</v>
      </c>
      <c r="C189" s="219">
        <f t="shared" si="26"/>
        <v>0</v>
      </c>
      <c r="D189" s="218">
        <f t="shared" si="27"/>
        <v>0</v>
      </c>
      <c r="E189" s="219">
        <f t="shared" si="28"/>
        <v>6</v>
      </c>
      <c r="F189" s="218">
        <f t="shared" si="29"/>
        <v>0</v>
      </c>
      <c r="G189" s="219">
        <f t="shared" si="30"/>
        <v>1</v>
      </c>
      <c r="H189" s="218">
        <f t="shared" si="31"/>
        <v>0</v>
      </c>
      <c r="I189" s="219">
        <f t="shared" si="32"/>
        <v>0</v>
      </c>
      <c r="J189" s="218">
        <f t="shared" si="33"/>
        <v>1</v>
      </c>
      <c r="K189" s="219"/>
      <c r="L189" s="221">
        <f t="shared" si="35"/>
        <v>185</v>
      </c>
      <c r="M189" s="221">
        <f t="shared" si="34"/>
        <v>462.5</v>
      </c>
    </row>
    <row r="190" spans="1:13" ht="12.75" customHeight="1">
      <c r="A190" s="223">
        <f t="shared" si="24"/>
        <v>497.5</v>
      </c>
      <c r="B190" s="218">
        <f t="shared" si="25"/>
        <v>2</v>
      </c>
      <c r="C190" s="219">
        <f t="shared" si="26"/>
        <v>0</v>
      </c>
      <c r="D190" s="218">
        <f t="shared" si="27"/>
        <v>0</v>
      </c>
      <c r="E190" s="219">
        <f t="shared" si="28"/>
        <v>6</v>
      </c>
      <c r="F190" s="218">
        <f t="shared" si="29"/>
        <v>0</v>
      </c>
      <c r="G190" s="219">
        <f t="shared" si="30"/>
        <v>1</v>
      </c>
      <c r="H190" s="218">
        <f t="shared" si="31"/>
        <v>0</v>
      </c>
      <c r="I190" s="219">
        <f t="shared" si="32"/>
        <v>1</v>
      </c>
      <c r="J190" s="218">
        <f t="shared" si="33"/>
        <v>0</v>
      </c>
      <c r="K190" s="219"/>
      <c r="L190" s="221">
        <f t="shared" si="35"/>
        <v>186</v>
      </c>
      <c r="M190" s="221">
        <f t="shared" si="34"/>
        <v>465</v>
      </c>
    </row>
    <row r="191" spans="1:13" ht="12.75" customHeight="1">
      <c r="A191" s="223">
        <f t="shared" si="24"/>
        <v>500</v>
      </c>
      <c r="B191" s="218">
        <f t="shared" si="25"/>
        <v>2</v>
      </c>
      <c r="C191" s="219">
        <f t="shared" si="26"/>
        <v>0</v>
      </c>
      <c r="D191" s="218">
        <f t="shared" si="27"/>
        <v>0</v>
      </c>
      <c r="E191" s="219">
        <f t="shared" si="28"/>
        <v>6</v>
      </c>
      <c r="F191" s="218">
        <f t="shared" si="29"/>
        <v>0</v>
      </c>
      <c r="G191" s="219">
        <f t="shared" si="30"/>
        <v>1</v>
      </c>
      <c r="H191" s="218">
        <f t="shared" si="31"/>
        <v>0</v>
      </c>
      <c r="I191" s="219">
        <f t="shared" si="32"/>
        <v>1</v>
      </c>
      <c r="J191" s="218">
        <f t="shared" si="33"/>
        <v>1</v>
      </c>
      <c r="K191" s="219"/>
      <c r="L191" s="221">
        <f t="shared" si="35"/>
        <v>187</v>
      </c>
      <c r="M191" s="221">
        <f t="shared" si="34"/>
        <v>467.5</v>
      </c>
    </row>
    <row r="192" spans="1:13" ht="12.75" customHeight="1">
      <c r="A192" s="223">
        <f t="shared" si="24"/>
        <v>502.5</v>
      </c>
      <c r="B192" s="218">
        <f t="shared" si="25"/>
        <v>2</v>
      </c>
      <c r="C192" s="219">
        <f t="shared" si="26"/>
        <v>0</v>
      </c>
      <c r="D192" s="218">
        <f t="shared" si="27"/>
        <v>0</v>
      </c>
      <c r="E192" s="219">
        <f t="shared" si="28"/>
        <v>6</v>
      </c>
      <c r="F192" s="218">
        <f t="shared" si="29"/>
        <v>1</v>
      </c>
      <c r="G192" s="219">
        <f t="shared" si="30"/>
        <v>0</v>
      </c>
      <c r="H192" s="218">
        <f t="shared" si="31"/>
        <v>0</v>
      </c>
      <c r="I192" s="219">
        <f t="shared" si="32"/>
        <v>0</v>
      </c>
      <c r="J192" s="218">
        <f t="shared" si="33"/>
        <v>0</v>
      </c>
      <c r="K192" s="219"/>
      <c r="L192" s="221">
        <f t="shared" si="35"/>
        <v>188</v>
      </c>
      <c r="M192" s="221">
        <f t="shared" si="34"/>
        <v>470</v>
      </c>
    </row>
    <row r="193" spans="1:13" ht="12.75" customHeight="1">
      <c r="A193" s="223">
        <f t="shared" si="24"/>
        <v>505</v>
      </c>
      <c r="B193" s="218">
        <f t="shared" si="25"/>
        <v>2</v>
      </c>
      <c r="C193" s="219">
        <f t="shared" si="26"/>
        <v>0</v>
      </c>
      <c r="D193" s="218">
        <f t="shared" si="27"/>
        <v>0</v>
      </c>
      <c r="E193" s="219">
        <f t="shared" si="28"/>
        <v>6</v>
      </c>
      <c r="F193" s="218">
        <f t="shared" si="29"/>
        <v>1</v>
      </c>
      <c r="G193" s="219">
        <f t="shared" si="30"/>
        <v>0</v>
      </c>
      <c r="H193" s="218">
        <f t="shared" si="31"/>
        <v>0</v>
      </c>
      <c r="I193" s="219">
        <f t="shared" si="32"/>
        <v>0</v>
      </c>
      <c r="J193" s="218">
        <f t="shared" si="33"/>
        <v>1</v>
      </c>
      <c r="K193" s="219"/>
      <c r="L193" s="221">
        <f t="shared" si="35"/>
        <v>189</v>
      </c>
      <c r="M193" s="221">
        <f t="shared" si="34"/>
        <v>472.5</v>
      </c>
    </row>
    <row r="194" spans="1:13" ht="12.75" customHeight="1">
      <c r="A194" s="223">
        <f t="shared" si="24"/>
        <v>507.5</v>
      </c>
      <c r="B194" s="218">
        <f t="shared" si="25"/>
        <v>2</v>
      </c>
      <c r="C194" s="219">
        <f t="shared" si="26"/>
        <v>0</v>
      </c>
      <c r="D194" s="218">
        <f t="shared" si="27"/>
        <v>0</v>
      </c>
      <c r="E194" s="219">
        <f t="shared" si="28"/>
        <v>6</v>
      </c>
      <c r="F194" s="218">
        <f t="shared" si="29"/>
        <v>1</v>
      </c>
      <c r="G194" s="219">
        <f t="shared" si="30"/>
        <v>0</v>
      </c>
      <c r="H194" s="218">
        <f t="shared" si="31"/>
        <v>0</v>
      </c>
      <c r="I194" s="219">
        <f t="shared" si="32"/>
        <v>1</v>
      </c>
      <c r="J194" s="218">
        <f t="shared" si="33"/>
        <v>0</v>
      </c>
      <c r="K194" s="219"/>
      <c r="L194" s="221">
        <f t="shared" si="35"/>
        <v>190</v>
      </c>
      <c r="M194" s="221">
        <f t="shared" si="34"/>
        <v>475</v>
      </c>
    </row>
    <row r="195" spans="1:13" ht="12.75" customHeight="1">
      <c r="A195" s="223">
        <f t="shared" si="24"/>
        <v>510</v>
      </c>
      <c r="B195" s="218">
        <f t="shared" si="25"/>
        <v>2</v>
      </c>
      <c r="C195" s="219">
        <f t="shared" si="26"/>
        <v>0</v>
      </c>
      <c r="D195" s="218">
        <f t="shared" si="27"/>
        <v>0</v>
      </c>
      <c r="E195" s="219">
        <f t="shared" si="28"/>
        <v>6</v>
      </c>
      <c r="F195" s="218">
        <f t="shared" si="29"/>
        <v>1</v>
      </c>
      <c r="G195" s="219">
        <f t="shared" si="30"/>
        <v>0</v>
      </c>
      <c r="H195" s="218">
        <f t="shared" si="31"/>
        <v>0</v>
      </c>
      <c r="I195" s="219">
        <f t="shared" si="32"/>
        <v>1</v>
      </c>
      <c r="J195" s="218">
        <f t="shared" si="33"/>
        <v>1</v>
      </c>
      <c r="K195" s="219"/>
      <c r="L195" s="221">
        <f t="shared" si="35"/>
        <v>191</v>
      </c>
      <c r="M195" s="221">
        <f t="shared" si="34"/>
        <v>477.5</v>
      </c>
    </row>
    <row r="196" spans="1:13" ht="12.75" customHeight="1">
      <c r="A196" s="223">
        <f t="shared" si="24"/>
        <v>512.5</v>
      </c>
      <c r="B196" s="218">
        <f t="shared" si="25"/>
        <v>2</v>
      </c>
      <c r="C196" s="219">
        <f t="shared" si="26"/>
        <v>0</v>
      </c>
      <c r="D196" s="218">
        <f t="shared" si="27"/>
        <v>0</v>
      </c>
      <c r="E196" s="219">
        <f t="shared" si="28"/>
        <v>7</v>
      </c>
      <c r="F196" s="218">
        <f t="shared" si="29"/>
        <v>0</v>
      </c>
      <c r="G196" s="219">
        <f t="shared" si="30"/>
        <v>0</v>
      </c>
      <c r="H196" s="218">
        <f t="shared" si="31"/>
        <v>0</v>
      </c>
      <c r="I196" s="219">
        <f t="shared" si="32"/>
        <v>0</v>
      </c>
      <c r="J196" s="218">
        <f t="shared" si="33"/>
        <v>0</v>
      </c>
      <c r="K196" s="219"/>
      <c r="L196" s="221">
        <f t="shared" si="35"/>
        <v>192</v>
      </c>
      <c r="M196" s="221">
        <f t="shared" si="34"/>
        <v>480</v>
      </c>
    </row>
    <row r="197" spans="1:13" ht="12.75" customHeight="1">
      <c r="A197" s="223">
        <f aca="true" t="shared" si="36" ref="A197:A260">IF(M197+$K$2&gt;$L$1,0,M197+$K$2)</f>
        <v>515</v>
      </c>
      <c r="B197" s="218">
        <f aca="true" t="shared" si="37" ref="B197:B260">IF(A197=0,0,MIN($B$1/2,INT(M197/(2*$B$2))))</f>
        <v>2</v>
      </c>
      <c r="C197" s="219">
        <f aca="true" t="shared" si="38" ref="C197:C260">IF(A197=0,0,MIN($C$1/2,INT(($M197-2*$B197*$B$2)/(2*$C$2))))</f>
        <v>0</v>
      </c>
      <c r="D197" s="218">
        <f aca="true" t="shared" si="39" ref="D197:D260">IF(A197=0,0,MIN($D$1/2,INT(($M197-2*$B197*$B$2-2*$C197*$C$2)/(2*$D$2))))</f>
        <v>0</v>
      </c>
      <c r="E197" s="219">
        <f aca="true" t="shared" si="40" ref="E197:E260">IF(A197=0,0,MIN($E$1/2,INT(($M197-2*$B197*$B$2-2*$C197*$C$2-2*$D197*$D$2)/(2*$E$2))))</f>
        <v>7</v>
      </c>
      <c r="F197" s="218">
        <f aca="true" t="shared" si="41" ref="F197:F260">IF(A197=0,0,MIN($F$1/2,INT(($M197-2*$B197*$B$2-2*$C197*$C$2-2*$D197*$D$2-2*$E197*$E$2)/(2*$F$2))))</f>
        <v>0</v>
      </c>
      <c r="G197" s="219">
        <f aca="true" t="shared" si="42" ref="G197:G260">IF(A197=0,0,MIN($G$1/2,INT(($M197-2*$B197*$B$2-2*$C197*$C$2-2*$D197*$D$2-2*$E197*$E$2-2*$F197*$F$2)/(2*$G$2))))</f>
        <v>0</v>
      </c>
      <c r="H197" s="218">
        <f aca="true" t="shared" si="43" ref="H197:H260">IF(A197=0,0,MIN($H$1/2,INT(($M197-2*$B197*$B$2-2*$C197*$C$2-2*$D197*$D$2-2*$E197*$E$2-2*$F197*$F$2-2*$G197*$G$2)/(2*$H$2))))</f>
        <v>0</v>
      </c>
      <c r="I197" s="219">
        <f aca="true" t="shared" si="44" ref="I197:I260">IF(A197=0,0,MIN($I$1/2,INT(($M197-2*$B197*$B$2-2*$C197*$C$2-2*$D197*$D$2-2*$E197*$E$2-2*$F197*$F$2-2*$G197*$G$2-2*$H197*$H$2)/(2*$I$2))))</f>
        <v>0</v>
      </c>
      <c r="J197" s="218">
        <f aca="true" t="shared" si="45" ref="J197:J260">IF(A197=0,0,MIN($J$1/2,INT(($M197-2*$B197*$B$2-2*$C197*$C$2-2*$D197*$D$2-2*$E197*$E$2-2*$F197*$F$2-2*$G197*$G$2-2*$H197*$H$2-2*$I197*$I$2)/(2*$J$2))))</f>
        <v>1</v>
      </c>
      <c r="K197" s="219"/>
      <c r="L197" s="221">
        <f t="shared" si="35"/>
        <v>193</v>
      </c>
      <c r="M197" s="221">
        <f aca="true" t="shared" si="46" ref="M197:M260">IF($A$2="Pounds",5*L197,2.5*L197)</f>
        <v>482.5</v>
      </c>
    </row>
    <row r="198" spans="1:13" ht="12.75" customHeight="1">
      <c r="A198" s="223">
        <f t="shared" si="36"/>
        <v>517.5</v>
      </c>
      <c r="B198" s="218">
        <f t="shared" si="37"/>
        <v>2</v>
      </c>
      <c r="C198" s="219">
        <f t="shared" si="38"/>
        <v>0</v>
      </c>
      <c r="D198" s="218">
        <f t="shared" si="39"/>
        <v>0</v>
      </c>
      <c r="E198" s="219">
        <f t="shared" si="40"/>
        <v>7</v>
      </c>
      <c r="F198" s="218">
        <f t="shared" si="41"/>
        <v>0</v>
      </c>
      <c r="G198" s="219">
        <f t="shared" si="42"/>
        <v>0</v>
      </c>
      <c r="H198" s="218">
        <f t="shared" si="43"/>
        <v>0</v>
      </c>
      <c r="I198" s="219">
        <f t="shared" si="44"/>
        <v>1</v>
      </c>
      <c r="J198" s="218">
        <f t="shared" si="45"/>
        <v>0</v>
      </c>
      <c r="K198" s="219"/>
      <c r="L198" s="221">
        <f t="shared" si="35"/>
        <v>194</v>
      </c>
      <c r="M198" s="221">
        <f t="shared" si="46"/>
        <v>485</v>
      </c>
    </row>
    <row r="199" spans="1:13" ht="12.75" customHeight="1">
      <c r="A199" s="223">
        <f t="shared" si="36"/>
        <v>520</v>
      </c>
      <c r="B199" s="218">
        <f t="shared" si="37"/>
        <v>2</v>
      </c>
      <c r="C199" s="219">
        <f t="shared" si="38"/>
        <v>0</v>
      </c>
      <c r="D199" s="218">
        <f t="shared" si="39"/>
        <v>0</v>
      </c>
      <c r="E199" s="219">
        <f t="shared" si="40"/>
        <v>7</v>
      </c>
      <c r="F199" s="218">
        <f t="shared" si="41"/>
        <v>0</v>
      </c>
      <c r="G199" s="219">
        <f t="shared" si="42"/>
        <v>0</v>
      </c>
      <c r="H199" s="218">
        <f t="shared" si="43"/>
        <v>0</v>
      </c>
      <c r="I199" s="219">
        <f t="shared" si="44"/>
        <v>1</v>
      </c>
      <c r="J199" s="218">
        <f t="shared" si="45"/>
        <v>1</v>
      </c>
      <c r="K199" s="219"/>
      <c r="L199" s="221">
        <f t="shared" si="35"/>
        <v>195</v>
      </c>
      <c r="M199" s="221">
        <f t="shared" si="46"/>
        <v>487.5</v>
      </c>
    </row>
    <row r="200" spans="1:13" ht="12.75" customHeight="1">
      <c r="A200" s="223">
        <f t="shared" si="36"/>
        <v>522.5</v>
      </c>
      <c r="B200" s="218">
        <f t="shared" si="37"/>
        <v>2</v>
      </c>
      <c r="C200" s="219">
        <f t="shared" si="38"/>
        <v>0</v>
      </c>
      <c r="D200" s="218">
        <f t="shared" si="39"/>
        <v>0</v>
      </c>
      <c r="E200" s="219">
        <f t="shared" si="40"/>
        <v>7</v>
      </c>
      <c r="F200" s="218">
        <f t="shared" si="41"/>
        <v>0</v>
      </c>
      <c r="G200" s="219">
        <f t="shared" si="42"/>
        <v>0</v>
      </c>
      <c r="H200" s="218">
        <f t="shared" si="43"/>
        <v>1</v>
      </c>
      <c r="I200" s="219">
        <f t="shared" si="44"/>
        <v>0</v>
      </c>
      <c r="J200" s="218">
        <f t="shared" si="45"/>
        <v>0</v>
      </c>
      <c r="K200" s="219"/>
      <c r="L200" s="221">
        <f t="shared" si="35"/>
        <v>196</v>
      </c>
      <c r="M200" s="221">
        <f t="shared" si="46"/>
        <v>490</v>
      </c>
    </row>
    <row r="201" spans="1:13" ht="12.75" customHeight="1">
      <c r="A201" s="223">
        <f t="shared" si="36"/>
        <v>525</v>
      </c>
      <c r="B201" s="218">
        <f t="shared" si="37"/>
        <v>2</v>
      </c>
      <c r="C201" s="219">
        <f t="shared" si="38"/>
        <v>0</v>
      </c>
      <c r="D201" s="218">
        <f t="shared" si="39"/>
        <v>0</v>
      </c>
      <c r="E201" s="219">
        <f t="shared" si="40"/>
        <v>7</v>
      </c>
      <c r="F201" s="218">
        <f t="shared" si="41"/>
        <v>0</v>
      </c>
      <c r="G201" s="219">
        <f t="shared" si="42"/>
        <v>0</v>
      </c>
      <c r="H201" s="218">
        <f t="shared" si="43"/>
        <v>1</v>
      </c>
      <c r="I201" s="219">
        <f t="shared" si="44"/>
        <v>0</v>
      </c>
      <c r="J201" s="218">
        <f t="shared" si="45"/>
        <v>1</v>
      </c>
      <c r="K201" s="219"/>
      <c r="L201" s="221">
        <f t="shared" si="35"/>
        <v>197</v>
      </c>
      <c r="M201" s="221">
        <f t="shared" si="46"/>
        <v>492.5</v>
      </c>
    </row>
    <row r="202" spans="1:13" ht="12.75" customHeight="1">
      <c r="A202" s="223">
        <f t="shared" si="36"/>
        <v>527.5</v>
      </c>
      <c r="B202" s="218">
        <f t="shared" si="37"/>
        <v>2</v>
      </c>
      <c r="C202" s="219">
        <f t="shared" si="38"/>
        <v>0</v>
      </c>
      <c r="D202" s="218">
        <f t="shared" si="39"/>
        <v>0</v>
      </c>
      <c r="E202" s="219">
        <f t="shared" si="40"/>
        <v>7</v>
      </c>
      <c r="F202" s="218">
        <f t="shared" si="41"/>
        <v>0</v>
      </c>
      <c r="G202" s="219">
        <f t="shared" si="42"/>
        <v>0</v>
      </c>
      <c r="H202" s="218">
        <f t="shared" si="43"/>
        <v>1</v>
      </c>
      <c r="I202" s="219">
        <f t="shared" si="44"/>
        <v>1</v>
      </c>
      <c r="J202" s="218">
        <f t="shared" si="45"/>
        <v>0</v>
      </c>
      <c r="K202" s="219"/>
      <c r="L202" s="221">
        <f t="shared" si="35"/>
        <v>198</v>
      </c>
      <c r="M202" s="221">
        <f t="shared" si="46"/>
        <v>495</v>
      </c>
    </row>
    <row r="203" spans="1:13" ht="12.75" customHeight="1">
      <c r="A203" s="223">
        <f t="shared" si="36"/>
        <v>530</v>
      </c>
      <c r="B203" s="218">
        <f t="shared" si="37"/>
        <v>2</v>
      </c>
      <c r="C203" s="219">
        <f t="shared" si="38"/>
        <v>0</v>
      </c>
      <c r="D203" s="218">
        <f t="shared" si="39"/>
        <v>0</v>
      </c>
      <c r="E203" s="219">
        <f t="shared" si="40"/>
        <v>7</v>
      </c>
      <c r="F203" s="218">
        <f t="shared" si="41"/>
        <v>0</v>
      </c>
      <c r="G203" s="219">
        <f t="shared" si="42"/>
        <v>0</v>
      </c>
      <c r="H203" s="218">
        <f t="shared" si="43"/>
        <v>1</v>
      </c>
      <c r="I203" s="219">
        <f t="shared" si="44"/>
        <v>1</v>
      </c>
      <c r="J203" s="218">
        <f t="shared" si="45"/>
        <v>1</v>
      </c>
      <c r="K203" s="219"/>
      <c r="L203" s="221">
        <f t="shared" si="35"/>
        <v>199</v>
      </c>
      <c r="M203" s="221">
        <f t="shared" si="46"/>
        <v>497.5</v>
      </c>
    </row>
    <row r="204" spans="1:13" ht="12.75" customHeight="1">
      <c r="A204" s="223">
        <f t="shared" si="36"/>
        <v>532.5</v>
      </c>
      <c r="B204" s="218">
        <f t="shared" si="37"/>
        <v>2</v>
      </c>
      <c r="C204" s="219">
        <f t="shared" si="38"/>
        <v>0</v>
      </c>
      <c r="D204" s="218">
        <f t="shared" si="39"/>
        <v>0</v>
      </c>
      <c r="E204" s="219">
        <f t="shared" si="40"/>
        <v>7</v>
      </c>
      <c r="F204" s="218">
        <f t="shared" si="41"/>
        <v>0</v>
      </c>
      <c r="G204" s="219">
        <f t="shared" si="42"/>
        <v>1</v>
      </c>
      <c r="H204" s="218">
        <f t="shared" si="43"/>
        <v>0</v>
      </c>
      <c r="I204" s="219">
        <f t="shared" si="44"/>
        <v>0</v>
      </c>
      <c r="J204" s="218">
        <f t="shared" si="45"/>
        <v>0</v>
      </c>
      <c r="K204" s="219"/>
      <c r="L204" s="221">
        <f t="shared" si="35"/>
        <v>200</v>
      </c>
      <c r="M204" s="221">
        <f t="shared" si="46"/>
        <v>500</v>
      </c>
    </row>
    <row r="205" spans="1:13" ht="12.75" customHeight="1">
      <c r="A205" s="223">
        <f t="shared" si="36"/>
        <v>535</v>
      </c>
      <c r="B205" s="218">
        <f t="shared" si="37"/>
        <v>2</v>
      </c>
      <c r="C205" s="219">
        <f t="shared" si="38"/>
        <v>0</v>
      </c>
      <c r="D205" s="218">
        <f t="shared" si="39"/>
        <v>0</v>
      </c>
      <c r="E205" s="219">
        <f t="shared" si="40"/>
        <v>7</v>
      </c>
      <c r="F205" s="218">
        <f t="shared" si="41"/>
        <v>0</v>
      </c>
      <c r="G205" s="219">
        <f t="shared" si="42"/>
        <v>1</v>
      </c>
      <c r="H205" s="218">
        <f t="shared" si="43"/>
        <v>0</v>
      </c>
      <c r="I205" s="219">
        <f t="shared" si="44"/>
        <v>0</v>
      </c>
      <c r="J205" s="218">
        <f t="shared" si="45"/>
        <v>1</v>
      </c>
      <c r="K205" s="219"/>
      <c r="L205" s="221">
        <f aca="true" t="shared" si="47" ref="L205:L260">L204+1</f>
        <v>201</v>
      </c>
      <c r="M205" s="221">
        <f t="shared" si="46"/>
        <v>502.5</v>
      </c>
    </row>
    <row r="206" spans="1:13" ht="12.75" customHeight="1">
      <c r="A206" s="223">
        <f t="shared" si="36"/>
        <v>537.5</v>
      </c>
      <c r="B206" s="218">
        <f t="shared" si="37"/>
        <v>2</v>
      </c>
      <c r="C206" s="219">
        <f t="shared" si="38"/>
        <v>0</v>
      </c>
      <c r="D206" s="218">
        <f t="shared" si="39"/>
        <v>0</v>
      </c>
      <c r="E206" s="219">
        <f t="shared" si="40"/>
        <v>7</v>
      </c>
      <c r="F206" s="218">
        <f t="shared" si="41"/>
        <v>0</v>
      </c>
      <c r="G206" s="219">
        <f t="shared" si="42"/>
        <v>1</v>
      </c>
      <c r="H206" s="218">
        <f t="shared" si="43"/>
        <v>0</v>
      </c>
      <c r="I206" s="219">
        <f t="shared" si="44"/>
        <v>1</v>
      </c>
      <c r="J206" s="218">
        <f t="shared" si="45"/>
        <v>0</v>
      </c>
      <c r="K206" s="219"/>
      <c r="L206" s="221">
        <f t="shared" si="47"/>
        <v>202</v>
      </c>
      <c r="M206" s="221">
        <f t="shared" si="46"/>
        <v>505</v>
      </c>
    </row>
    <row r="207" spans="1:13" ht="12.75" customHeight="1">
      <c r="A207" s="223">
        <f t="shared" si="36"/>
        <v>540</v>
      </c>
      <c r="B207" s="218">
        <f t="shared" si="37"/>
        <v>2</v>
      </c>
      <c r="C207" s="219">
        <f t="shared" si="38"/>
        <v>0</v>
      </c>
      <c r="D207" s="218">
        <f t="shared" si="39"/>
        <v>0</v>
      </c>
      <c r="E207" s="219">
        <f t="shared" si="40"/>
        <v>7</v>
      </c>
      <c r="F207" s="218">
        <f t="shared" si="41"/>
        <v>0</v>
      </c>
      <c r="G207" s="219">
        <f t="shared" si="42"/>
        <v>1</v>
      </c>
      <c r="H207" s="218">
        <f t="shared" si="43"/>
        <v>0</v>
      </c>
      <c r="I207" s="219">
        <f t="shared" si="44"/>
        <v>1</v>
      </c>
      <c r="J207" s="218">
        <f t="shared" si="45"/>
        <v>1</v>
      </c>
      <c r="K207" s="219"/>
      <c r="L207" s="221">
        <f t="shared" si="47"/>
        <v>203</v>
      </c>
      <c r="M207" s="221">
        <f t="shared" si="46"/>
        <v>507.5</v>
      </c>
    </row>
    <row r="208" spans="1:13" ht="12.75" customHeight="1">
      <c r="A208" s="223">
        <f t="shared" si="36"/>
        <v>542.5</v>
      </c>
      <c r="B208" s="218">
        <f t="shared" si="37"/>
        <v>2</v>
      </c>
      <c r="C208" s="219">
        <f t="shared" si="38"/>
        <v>0</v>
      </c>
      <c r="D208" s="218">
        <f t="shared" si="39"/>
        <v>0</v>
      </c>
      <c r="E208" s="219">
        <f t="shared" si="40"/>
        <v>7</v>
      </c>
      <c r="F208" s="218">
        <f t="shared" si="41"/>
        <v>1</v>
      </c>
      <c r="G208" s="219">
        <f t="shared" si="42"/>
        <v>0</v>
      </c>
      <c r="H208" s="218">
        <f t="shared" si="43"/>
        <v>0</v>
      </c>
      <c r="I208" s="219">
        <f t="shared" si="44"/>
        <v>0</v>
      </c>
      <c r="J208" s="218">
        <f t="shared" si="45"/>
        <v>0</v>
      </c>
      <c r="K208" s="219"/>
      <c r="L208" s="221">
        <f t="shared" si="47"/>
        <v>204</v>
      </c>
      <c r="M208" s="221">
        <f t="shared" si="46"/>
        <v>510</v>
      </c>
    </row>
    <row r="209" spans="1:13" ht="12.75" customHeight="1">
      <c r="A209" s="223">
        <f t="shared" si="36"/>
        <v>545</v>
      </c>
      <c r="B209" s="218">
        <f t="shared" si="37"/>
        <v>2</v>
      </c>
      <c r="C209" s="219">
        <f t="shared" si="38"/>
        <v>0</v>
      </c>
      <c r="D209" s="218">
        <f t="shared" si="39"/>
        <v>0</v>
      </c>
      <c r="E209" s="219">
        <f t="shared" si="40"/>
        <v>7</v>
      </c>
      <c r="F209" s="218">
        <f t="shared" si="41"/>
        <v>1</v>
      </c>
      <c r="G209" s="219">
        <f t="shared" si="42"/>
        <v>0</v>
      </c>
      <c r="H209" s="218">
        <f t="shared" si="43"/>
        <v>0</v>
      </c>
      <c r="I209" s="219">
        <f t="shared" si="44"/>
        <v>0</v>
      </c>
      <c r="J209" s="218">
        <f t="shared" si="45"/>
        <v>1</v>
      </c>
      <c r="K209" s="219"/>
      <c r="L209" s="221">
        <f t="shared" si="47"/>
        <v>205</v>
      </c>
      <c r="M209" s="221">
        <f t="shared" si="46"/>
        <v>512.5</v>
      </c>
    </row>
    <row r="210" spans="1:13" ht="12.75" customHeight="1">
      <c r="A210" s="223">
        <f t="shared" si="36"/>
        <v>547.5</v>
      </c>
      <c r="B210" s="218">
        <f t="shared" si="37"/>
        <v>2</v>
      </c>
      <c r="C210" s="219">
        <f t="shared" si="38"/>
        <v>0</v>
      </c>
      <c r="D210" s="218">
        <f t="shared" si="39"/>
        <v>0</v>
      </c>
      <c r="E210" s="219">
        <f t="shared" si="40"/>
        <v>7</v>
      </c>
      <c r="F210" s="218">
        <f t="shared" si="41"/>
        <v>1</v>
      </c>
      <c r="G210" s="219">
        <f t="shared" si="42"/>
        <v>0</v>
      </c>
      <c r="H210" s="218">
        <f t="shared" si="43"/>
        <v>0</v>
      </c>
      <c r="I210" s="219">
        <f t="shared" si="44"/>
        <v>1</v>
      </c>
      <c r="J210" s="218">
        <f t="shared" si="45"/>
        <v>0</v>
      </c>
      <c r="K210" s="219"/>
      <c r="L210" s="221">
        <f t="shared" si="47"/>
        <v>206</v>
      </c>
      <c r="M210" s="221">
        <f t="shared" si="46"/>
        <v>515</v>
      </c>
    </row>
    <row r="211" spans="1:13" ht="12.75" customHeight="1">
      <c r="A211" s="223">
        <f t="shared" si="36"/>
        <v>550</v>
      </c>
      <c r="B211" s="218">
        <f t="shared" si="37"/>
        <v>2</v>
      </c>
      <c r="C211" s="219">
        <f t="shared" si="38"/>
        <v>0</v>
      </c>
      <c r="D211" s="218">
        <f t="shared" si="39"/>
        <v>0</v>
      </c>
      <c r="E211" s="219">
        <f t="shared" si="40"/>
        <v>7</v>
      </c>
      <c r="F211" s="218">
        <f t="shared" si="41"/>
        <v>1</v>
      </c>
      <c r="G211" s="219">
        <f t="shared" si="42"/>
        <v>0</v>
      </c>
      <c r="H211" s="218">
        <f t="shared" si="43"/>
        <v>0</v>
      </c>
      <c r="I211" s="219">
        <f t="shared" si="44"/>
        <v>1</v>
      </c>
      <c r="J211" s="218">
        <f t="shared" si="45"/>
        <v>1</v>
      </c>
      <c r="K211" s="219"/>
      <c r="L211" s="221">
        <f t="shared" si="47"/>
        <v>207</v>
      </c>
      <c r="M211" s="221">
        <f t="shared" si="46"/>
        <v>517.5</v>
      </c>
    </row>
    <row r="212" spans="1:13" ht="12.75" customHeight="1">
      <c r="A212" s="223">
        <f t="shared" si="36"/>
        <v>552.5</v>
      </c>
      <c r="B212" s="218">
        <f t="shared" si="37"/>
        <v>2</v>
      </c>
      <c r="C212" s="219">
        <f t="shared" si="38"/>
        <v>0</v>
      </c>
      <c r="D212" s="218">
        <f t="shared" si="39"/>
        <v>0</v>
      </c>
      <c r="E212" s="219">
        <f t="shared" si="40"/>
        <v>8</v>
      </c>
      <c r="F212" s="218">
        <f t="shared" si="41"/>
        <v>0</v>
      </c>
      <c r="G212" s="219">
        <f t="shared" si="42"/>
        <v>0</v>
      </c>
      <c r="H212" s="218">
        <f t="shared" si="43"/>
        <v>0</v>
      </c>
      <c r="I212" s="219">
        <f t="shared" si="44"/>
        <v>0</v>
      </c>
      <c r="J212" s="218">
        <f t="shared" si="45"/>
        <v>0</v>
      </c>
      <c r="K212" s="219"/>
      <c r="L212" s="221">
        <f t="shared" si="47"/>
        <v>208</v>
      </c>
      <c r="M212" s="221">
        <f t="shared" si="46"/>
        <v>520</v>
      </c>
    </row>
    <row r="213" spans="1:13" ht="12.75" customHeight="1">
      <c r="A213" s="223">
        <f t="shared" si="36"/>
        <v>555</v>
      </c>
      <c r="B213" s="218">
        <f t="shared" si="37"/>
        <v>2</v>
      </c>
      <c r="C213" s="219">
        <f t="shared" si="38"/>
        <v>0</v>
      </c>
      <c r="D213" s="218">
        <f t="shared" si="39"/>
        <v>0</v>
      </c>
      <c r="E213" s="219">
        <f t="shared" si="40"/>
        <v>8</v>
      </c>
      <c r="F213" s="218">
        <f t="shared" si="41"/>
        <v>0</v>
      </c>
      <c r="G213" s="219">
        <f t="shared" si="42"/>
        <v>0</v>
      </c>
      <c r="H213" s="218">
        <f t="shared" si="43"/>
        <v>0</v>
      </c>
      <c r="I213" s="219">
        <f t="shared" si="44"/>
        <v>0</v>
      </c>
      <c r="J213" s="218">
        <f t="shared" si="45"/>
        <v>1</v>
      </c>
      <c r="K213" s="219"/>
      <c r="L213" s="221">
        <f t="shared" si="47"/>
        <v>209</v>
      </c>
      <c r="M213" s="221">
        <f t="shared" si="46"/>
        <v>522.5</v>
      </c>
    </row>
    <row r="214" spans="1:13" ht="12.75" customHeight="1">
      <c r="A214" s="223">
        <f t="shared" si="36"/>
        <v>557.5</v>
      </c>
      <c r="B214" s="218">
        <f t="shared" si="37"/>
        <v>2</v>
      </c>
      <c r="C214" s="219">
        <f t="shared" si="38"/>
        <v>0</v>
      </c>
      <c r="D214" s="218">
        <f t="shared" si="39"/>
        <v>0</v>
      </c>
      <c r="E214" s="219">
        <f t="shared" si="40"/>
        <v>8</v>
      </c>
      <c r="F214" s="218">
        <f t="shared" si="41"/>
        <v>0</v>
      </c>
      <c r="G214" s="219">
        <f t="shared" si="42"/>
        <v>0</v>
      </c>
      <c r="H214" s="218">
        <f t="shared" si="43"/>
        <v>0</v>
      </c>
      <c r="I214" s="219">
        <f t="shared" si="44"/>
        <v>1</v>
      </c>
      <c r="J214" s="218">
        <f t="shared" si="45"/>
        <v>0</v>
      </c>
      <c r="K214" s="219"/>
      <c r="L214" s="221">
        <f t="shared" si="47"/>
        <v>210</v>
      </c>
      <c r="M214" s="221">
        <f t="shared" si="46"/>
        <v>525</v>
      </c>
    </row>
    <row r="215" spans="1:13" ht="12.75" customHeight="1">
      <c r="A215" s="223">
        <f t="shared" si="36"/>
        <v>560</v>
      </c>
      <c r="B215" s="218">
        <f t="shared" si="37"/>
        <v>2</v>
      </c>
      <c r="C215" s="219">
        <f t="shared" si="38"/>
        <v>0</v>
      </c>
      <c r="D215" s="218">
        <f t="shared" si="39"/>
        <v>0</v>
      </c>
      <c r="E215" s="219">
        <f t="shared" si="40"/>
        <v>8</v>
      </c>
      <c r="F215" s="218">
        <f t="shared" si="41"/>
        <v>0</v>
      </c>
      <c r="G215" s="219">
        <f t="shared" si="42"/>
        <v>0</v>
      </c>
      <c r="H215" s="218">
        <f t="shared" si="43"/>
        <v>0</v>
      </c>
      <c r="I215" s="219">
        <f t="shared" si="44"/>
        <v>1</v>
      </c>
      <c r="J215" s="218">
        <f t="shared" si="45"/>
        <v>1</v>
      </c>
      <c r="K215" s="219"/>
      <c r="L215" s="221">
        <f t="shared" si="47"/>
        <v>211</v>
      </c>
      <c r="M215" s="221">
        <f t="shared" si="46"/>
        <v>527.5</v>
      </c>
    </row>
    <row r="216" spans="1:13" ht="12.75" customHeight="1">
      <c r="A216" s="223">
        <f t="shared" si="36"/>
        <v>562.5</v>
      </c>
      <c r="B216" s="218">
        <f t="shared" si="37"/>
        <v>2</v>
      </c>
      <c r="C216" s="219">
        <f t="shared" si="38"/>
        <v>0</v>
      </c>
      <c r="D216" s="218">
        <f t="shared" si="39"/>
        <v>0</v>
      </c>
      <c r="E216" s="219">
        <f t="shared" si="40"/>
        <v>8</v>
      </c>
      <c r="F216" s="218">
        <f t="shared" si="41"/>
        <v>0</v>
      </c>
      <c r="G216" s="219">
        <f t="shared" si="42"/>
        <v>0</v>
      </c>
      <c r="H216" s="218">
        <f t="shared" si="43"/>
        <v>1</v>
      </c>
      <c r="I216" s="219">
        <f t="shared" si="44"/>
        <v>0</v>
      </c>
      <c r="J216" s="218">
        <f t="shared" si="45"/>
        <v>0</v>
      </c>
      <c r="K216" s="219"/>
      <c r="L216" s="221">
        <f t="shared" si="47"/>
        <v>212</v>
      </c>
      <c r="M216" s="221">
        <f t="shared" si="46"/>
        <v>530</v>
      </c>
    </row>
    <row r="217" spans="1:13" ht="12.75" customHeight="1">
      <c r="A217" s="223">
        <f t="shared" si="36"/>
        <v>565</v>
      </c>
      <c r="B217" s="218">
        <f t="shared" si="37"/>
        <v>2</v>
      </c>
      <c r="C217" s="219">
        <f t="shared" si="38"/>
        <v>0</v>
      </c>
      <c r="D217" s="218">
        <f t="shared" si="39"/>
        <v>0</v>
      </c>
      <c r="E217" s="219">
        <f t="shared" si="40"/>
        <v>8</v>
      </c>
      <c r="F217" s="218">
        <f t="shared" si="41"/>
        <v>0</v>
      </c>
      <c r="G217" s="219">
        <f t="shared" si="42"/>
        <v>0</v>
      </c>
      <c r="H217" s="218">
        <f t="shared" si="43"/>
        <v>1</v>
      </c>
      <c r="I217" s="219">
        <f t="shared" si="44"/>
        <v>0</v>
      </c>
      <c r="J217" s="218">
        <f t="shared" si="45"/>
        <v>1</v>
      </c>
      <c r="K217" s="219"/>
      <c r="L217" s="221">
        <f t="shared" si="47"/>
        <v>213</v>
      </c>
      <c r="M217" s="221">
        <f t="shared" si="46"/>
        <v>532.5</v>
      </c>
    </row>
    <row r="218" spans="1:13" ht="12.75" customHeight="1">
      <c r="A218" s="223">
        <f t="shared" si="36"/>
        <v>567.5</v>
      </c>
      <c r="B218" s="218">
        <f t="shared" si="37"/>
        <v>2</v>
      </c>
      <c r="C218" s="219">
        <f t="shared" si="38"/>
        <v>0</v>
      </c>
      <c r="D218" s="218">
        <f t="shared" si="39"/>
        <v>0</v>
      </c>
      <c r="E218" s="219">
        <f t="shared" si="40"/>
        <v>8</v>
      </c>
      <c r="F218" s="218">
        <f t="shared" si="41"/>
        <v>0</v>
      </c>
      <c r="G218" s="219">
        <f t="shared" si="42"/>
        <v>0</v>
      </c>
      <c r="H218" s="218">
        <f t="shared" si="43"/>
        <v>1</v>
      </c>
      <c r="I218" s="219">
        <f t="shared" si="44"/>
        <v>1</v>
      </c>
      <c r="J218" s="218">
        <f t="shared" si="45"/>
        <v>0</v>
      </c>
      <c r="K218" s="219"/>
      <c r="L218" s="221">
        <f t="shared" si="47"/>
        <v>214</v>
      </c>
      <c r="M218" s="221">
        <f t="shared" si="46"/>
        <v>535</v>
      </c>
    </row>
    <row r="219" spans="1:13" ht="12.75" customHeight="1">
      <c r="A219" s="223">
        <f t="shared" si="36"/>
        <v>570</v>
      </c>
      <c r="B219" s="218">
        <f t="shared" si="37"/>
        <v>2</v>
      </c>
      <c r="C219" s="219">
        <f t="shared" si="38"/>
        <v>0</v>
      </c>
      <c r="D219" s="218">
        <f t="shared" si="39"/>
        <v>0</v>
      </c>
      <c r="E219" s="219">
        <f t="shared" si="40"/>
        <v>8</v>
      </c>
      <c r="F219" s="218">
        <f t="shared" si="41"/>
        <v>0</v>
      </c>
      <c r="G219" s="219">
        <f t="shared" si="42"/>
        <v>0</v>
      </c>
      <c r="H219" s="218">
        <f t="shared" si="43"/>
        <v>1</v>
      </c>
      <c r="I219" s="219">
        <f t="shared" si="44"/>
        <v>1</v>
      </c>
      <c r="J219" s="218">
        <f t="shared" si="45"/>
        <v>1</v>
      </c>
      <c r="K219" s="219"/>
      <c r="L219" s="221">
        <f t="shared" si="47"/>
        <v>215</v>
      </c>
      <c r="M219" s="221">
        <f t="shared" si="46"/>
        <v>537.5</v>
      </c>
    </row>
    <row r="220" spans="1:13" ht="12.75" customHeight="1">
      <c r="A220" s="223">
        <f t="shared" si="36"/>
        <v>572.5</v>
      </c>
      <c r="B220" s="218">
        <f t="shared" si="37"/>
        <v>2</v>
      </c>
      <c r="C220" s="219">
        <f t="shared" si="38"/>
        <v>0</v>
      </c>
      <c r="D220" s="218">
        <f t="shared" si="39"/>
        <v>0</v>
      </c>
      <c r="E220" s="219">
        <f t="shared" si="40"/>
        <v>8</v>
      </c>
      <c r="F220" s="218">
        <f t="shared" si="41"/>
        <v>0</v>
      </c>
      <c r="G220" s="219">
        <f t="shared" si="42"/>
        <v>1</v>
      </c>
      <c r="H220" s="218">
        <f t="shared" si="43"/>
        <v>0</v>
      </c>
      <c r="I220" s="219">
        <f t="shared" si="44"/>
        <v>0</v>
      </c>
      <c r="J220" s="218">
        <f t="shared" si="45"/>
        <v>0</v>
      </c>
      <c r="K220" s="219"/>
      <c r="L220" s="221">
        <f t="shared" si="47"/>
        <v>216</v>
      </c>
      <c r="M220" s="221">
        <f t="shared" si="46"/>
        <v>540</v>
      </c>
    </row>
    <row r="221" spans="1:13" ht="12.75" customHeight="1">
      <c r="A221" s="223">
        <f t="shared" si="36"/>
        <v>575</v>
      </c>
      <c r="B221" s="218">
        <f t="shared" si="37"/>
        <v>2</v>
      </c>
      <c r="C221" s="219">
        <f t="shared" si="38"/>
        <v>0</v>
      </c>
      <c r="D221" s="218">
        <f t="shared" si="39"/>
        <v>0</v>
      </c>
      <c r="E221" s="219">
        <f t="shared" si="40"/>
        <v>8</v>
      </c>
      <c r="F221" s="218">
        <f t="shared" si="41"/>
        <v>0</v>
      </c>
      <c r="G221" s="219">
        <f t="shared" si="42"/>
        <v>1</v>
      </c>
      <c r="H221" s="218">
        <f t="shared" si="43"/>
        <v>0</v>
      </c>
      <c r="I221" s="219">
        <f t="shared" si="44"/>
        <v>0</v>
      </c>
      <c r="J221" s="218">
        <f t="shared" si="45"/>
        <v>1</v>
      </c>
      <c r="K221" s="219"/>
      <c r="L221" s="221">
        <f t="shared" si="47"/>
        <v>217</v>
      </c>
      <c r="M221" s="221">
        <f t="shared" si="46"/>
        <v>542.5</v>
      </c>
    </row>
    <row r="222" spans="1:13" ht="12.75" customHeight="1">
      <c r="A222" s="223">
        <f t="shared" si="36"/>
        <v>577.5</v>
      </c>
      <c r="B222" s="218">
        <f t="shared" si="37"/>
        <v>2</v>
      </c>
      <c r="C222" s="219">
        <f t="shared" si="38"/>
        <v>0</v>
      </c>
      <c r="D222" s="218">
        <f t="shared" si="39"/>
        <v>0</v>
      </c>
      <c r="E222" s="219">
        <f t="shared" si="40"/>
        <v>8</v>
      </c>
      <c r="F222" s="218">
        <f t="shared" si="41"/>
        <v>0</v>
      </c>
      <c r="G222" s="219">
        <f t="shared" si="42"/>
        <v>1</v>
      </c>
      <c r="H222" s="218">
        <f t="shared" si="43"/>
        <v>0</v>
      </c>
      <c r="I222" s="219">
        <f t="shared" si="44"/>
        <v>1</v>
      </c>
      <c r="J222" s="218">
        <f t="shared" si="45"/>
        <v>0</v>
      </c>
      <c r="K222" s="219"/>
      <c r="L222" s="221">
        <f t="shared" si="47"/>
        <v>218</v>
      </c>
      <c r="M222" s="221">
        <f t="shared" si="46"/>
        <v>545</v>
      </c>
    </row>
    <row r="223" spans="1:13" ht="12.75" customHeight="1">
      <c r="A223" s="223">
        <f t="shared" si="36"/>
        <v>580</v>
      </c>
      <c r="B223" s="218">
        <f t="shared" si="37"/>
        <v>2</v>
      </c>
      <c r="C223" s="219">
        <f t="shared" si="38"/>
        <v>0</v>
      </c>
      <c r="D223" s="218">
        <f t="shared" si="39"/>
        <v>0</v>
      </c>
      <c r="E223" s="219">
        <f t="shared" si="40"/>
        <v>8</v>
      </c>
      <c r="F223" s="218">
        <f t="shared" si="41"/>
        <v>0</v>
      </c>
      <c r="G223" s="219">
        <f t="shared" si="42"/>
        <v>1</v>
      </c>
      <c r="H223" s="218">
        <f t="shared" si="43"/>
        <v>0</v>
      </c>
      <c r="I223" s="219">
        <f t="shared" si="44"/>
        <v>1</v>
      </c>
      <c r="J223" s="218">
        <f t="shared" si="45"/>
        <v>1</v>
      </c>
      <c r="K223" s="219"/>
      <c r="L223" s="221">
        <f t="shared" si="47"/>
        <v>219</v>
      </c>
      <c r="M223" s="221">
        <f t="shared" si="46"/>
        <v>547.5</v>
      </c>
    </row>
    <row r="224" spans="1:13" ht="12.75" customHeight="1">
      <c r="A224" s="223">
        <f t="shared" si="36"/>
        <v>582.5</v>
      </c>
      <c r="B224" s="218">
        <f t="shared" si="37"/>
        <v>2</v>
      </c>
      <c r="C224" s="219">
        <f t="shared" si="38"/>
        <v>0</v>
      </c>
      <c r="D224" s="218">
        <f t="shared" si="39"/>
        <v>0</v>
      </c>
      <c r="E224" s="219">
        <f t="shared" si="40"/>
        <v>8</v>
      </c>
      <c r="F224" s="218">
        <f t="shared" si="41"/>
        <v>1</v>
      </c>
      <c r="G224" s="219">
        <f t="shared" si="42"/>
        <v>0</v>
      </c>
      <c r="H224" s="218">
        <f t="shared" si="43"/>
        <v>0</v>
      </c>
      <c r="I224" s="219">
        <f t="shared" si="44"/>
        <v>0</v>
      </c>
      <c r="J224" s="218">
        <f t="shared" si="45"/>
        <v>0</v>
      </c>
      <c r="K224" s="219"/>
      <c r="L224" s="221">
        <f t="shared" si="47"/>
        <v>220</v>
      </c>
      <c r="M224" s="221">
        <f t="shared" si="46"/>
        <v>550</v>
      </c>
    </row>
    <row r="225" spans="1:13" ht="12.75" customHeight="1">
      <c r="A225" s="223">
        <f t="shared" si="36"/>
        <v>585</v>
      </c>
      <c r="B225" s="218">
        <f t="shared" si="37"/>
        <v>2</v>
      </c>
      <c r="C225" s="219">
        <f t="shared" si="38"/>
        <v>0</v>
      </c>
      <c r="D225" s="218">
        <f t="shared" si="39"/>
        <v>0</v>
      </c>
      <c r="E225" s="219">
        <f t="shared" si="40"/>
        <v>8</v>
      </c>
      <c r="F225" s="218">
        <f t="shared" si="41"/>
        <v>1</v>
      </c>
      <c r="G225" s="219">
        <f t="shared" si="42"/>
        <v>0</v>
      </c>
      <c r="H225" s="218">
        <f t="shared" si="43"/>
        <v>0</v>
      </c>
      <c r="I225" s="219">
        <f t="shared" si="44"/>
        <v>0</v>
      </c>
      <c r="J225" s="218">
        <f t="shared" si="45"/>
        <v>1</v>
      </c>
      <c r="K225" s="219"/>
      <c r="L225" s="221">
        <f t="shared" si="47"/>
        <v>221</v>
      </c>
      <c r="M225" s="221">
        <f t="shared" si="46"/>
        <v>552.5</v>
      </c>
    </row>
    <row r="226" spans="1:13" ht="12.75" customHeight="1">
      <c r="A226" s="223">
        <f t="shared" si="36"/>
        <v>587.5</v>
      </c>
      <c r="B226" s="218">
        <f t="shared" si="37"/>
        <v>2</v>
      </c>
      <c r="C226" s="219">
        <f t="shared" si="38"/>
        <v>0</v>
      </c>
      <c r="D226" s="218">
        <f t="shared" si="39"/>
        <v>0</v>
      </c>
      <c r="E226" s="219">
        <f t="shared" si="40"/>
        <v>8</v>
      </c>
      <c r="F226" s="218">
        <f t="shared" si="41"/>
        <v>1</v>
      </c>
      <c r="G226" s="219">
        <f t="shared" si="42"/>
        <v>0</v>
      </c>
      <c r="H226" s="218">
        <f t="shared" si="43"/>
        <v>0</v>
      </c>
      <c r="I226" s="219">
        <f t="shared" si="44"/>
        <v>1</v>
      </c>
      <c r="J226" s="218">
        <f t="shared" si="45"/>
        <v>0</v>
      </c>
      <c r="K226" s="219"/>
      <c r="L226" s="221">
        <f t="shared" si="47"/>
        <v>222</v>
      </c>
      <c r="M226" s="221">
        <f t="shared" si="46"/>
        <v>555</v>
      </c>
    </row>
    <row r="227" spans="1:13" ht="12.75" customHeight="1">
      <c r="A227" s="223">
        <f t="shared" si="36"/>
        <v>590</v>
      </c>
      <c r="B227" s="218">
        <f t="shared" si="37"/>
        <v>2</v>
      </c>
      <c r="C227" s="219">
        <f t="shared" si="38"/>
        <v>0</v>
      </c>
      <c r="D227" s="218">
        <f t="shared" si="39"/>
        <v>0</v>
      </c>
      <c r="E227" s="219">
        <f t="shared" si="40"/>
        <v>8</v>
      </c>
      <c r="F227" s="218">
        <f t="shared" si="41"/>
        <v>1</v>
      </c>
      <c r="G227" s="219">
        <f t="shared" si="42"/>
        <v>0</v>
      </c>
      <c r="H227" s="218">
        <f t="shared" si="43"/>
        <v>0</v>
      </c>
      <c r="I227" s="219">
        <f t="shared" si="44"/>
        <v>1</v>
      </c>
      <c r="J227" s="218">
        <f t="shared" si="45"/>
        <v>1</v>
      </c>
      <c r="K227" s="219"/>
      <c r="L227" s="221">
        <f t="shared" si="47"/>
        <v>223</v>
      </c>
      <c r="M227" s="221">
        <f t="shared" si="46"/>
        <v>557.5</v>
      </c>
    </row>
    <row r="228" spans="1:13" ht="12.75" customHeight="1">
      <c r="A228" s="223">
        <f t="shared" si="36"/>
        <v>592.5</v>
      </c>
      <c r="B228" s="218">
        <f t="shared" si="37"/>
        <v>2</v>
      </c>
      <c r="C228" s="219">
        <f t="shared" si="38"/>
        <v>0</v>
      </c>
      <c r="D228" s="218">
        <f t="shared" si="39"/>
        <v>0</v>
      </c>
      <c r="E228" s="219">
        <f t="shared" si="40"/>
        <v>8</v>
      </c>
      <c r="F228" s="218">
        <f t="shared" si="41"/>
        <v>1</v>
      </c>
      <c r="G228" s="219">
        <f t="shared" si="42"/>
        <v>0</v>
      </c>
      <c r="H228" s="218">
        <f t="shared" si="43"/>
        <v>1</v>
      </c>
      <c r="I228" s="219">
        <f t="shared" si="44"/>
        <v>0</v>
      </c>
      <c r="J228" s="218">
        <f t="shared" si="45"/>
        <v>0</v>
      </c>
      <c r="K228" s="219"/>
      <c r="L228" s="221">
        <f t="shared" si="47"/>
        <v>224</v>
      </c>
      <c r="M228" s="221">
        <f t="shared" si="46"/>
        <v>560</v>
      </c>
    </row>
    <row r="229" spans="1:13" ht="12.75" customHeight="1">
      <c r="A229" s="223">
        <f t="shared" si="36"/>
        <v>595</v>
      </c>
      <c r="B229" s="218">
        <f t="shared" si="37"/>
        <v>2</v>
      </c>
      <c r="C229" s="219">
        <f t="shared" si="38"/>
        <v>0</v>
      </c>
      <c r="D229" s="218">
        <f t="shared" si="39"/>
        <v>0</v>
      </c>
      <c r="E229" s="219">
        <f t="shared" si="40"/>
        <v>8</v>
      </c>
      <c r="F229" s="218">
        <f t="shared" si="41"/>
        <v>1</v>
      </c>
      <c r="G229" s="219">
        <f t="shared" si="42"/>
        <v>0</v>
      </c>
      <c r="H229" s="218">
        <f t="shared" si="43"/>
        <v>1</v>
      </c>
      <c r="I229" s="219">
        <f t="shared" si="44"/>
        <v>0</v>
      </c>
      <c r="J229" s="218">
        <f t="shared" si="45"/>
        <v>1</v>
      </c>
      <c r="K229" s="219"/>
      <c r="L229" s="221">
        <f t="shared" si="47"/>
        <v>225</v>
      </c>
      <c r="M229" s="221">
        <f t="shared" si="46"/>
        <v>562.5</v>
      </c>
    </row>
    <row r="230" spans="1:13" ht="12.75" customHeight="1">
      <c r="A230" s="223">
        <f t="shared" si="36"/>
        <v>597.5</v>
      </c>
      <c r="B230" s="218">
        <f t="shared" si="37"/>
        <v>2</v>
      </c>
      <c r="C230" s="219">
        <f t="shared" si="38"/>
        <v>0</v>
      </c>
      <c r="D230" s="218">
        <f t="shared" si="39"/>
        <v>0</v>
      </c>
      <c r="E230" s="219">
        <f t="shared" si="40"/>
        <v>8</v>
      </c>
      <c r="F230" s="218">
        <f t="shared" si="41"/>
        <v>1</v>
      </c>
      <c r="G230" s="219">
        <f t="shared" si="42"/>
        <v>0</v>
      </c>
      <c r="H230" s="218">
        <f t="shared" si="43"/>
        <v>1</v>
      </c>
      <c r="I230" s="219">
        <f t="shared" si="44"/>
        <v>1</v>
      </c>
      <c r="J230" s="218">
        <f t="shared" si="45"/>
        <v>0</v>
      </c>
      <c r="K230" s="219"/>
      <c r="L230" s="221">
        <f t="shared" si="47"/>
        <v>226</v>
      </c>
      <c r="M230" s="221">
        <f t="shared" si="46"/>
        <v>565</v>
      </c>
    </row>
    <row r="231" spans="1:13" ht="12.75" customHeight="1">
      <c r="A231" s="223">
        <f t="shared" si="36"/>
        <v>600</v>
      </c>
      <c r="B231" s="218">
        <f t="shared" si="37"/>
        <v>2</v>
      </c>
      <c r="C231" s="219">
        <f t="shared" si="38"/>
        <v>0</v>
      </c>
      <c r="D231" s="218">
        <f t="shared" si="39"/>
        <v>0</v>
      </c>
      <c r="E231" s="219">
        <f t="shared" si="40"/>
        <v>8</v>
      </c>
      <c r="F231" s="218">
        <f t="shared" si="41"/>
        <v>1</v>
      </c>
      <c r="G231" s="219">
        <f t="shared" si="42"/>
        <v>0</v>
      </c>
      <c r="H231" s="218">
        <f t="shared" si="43"/>
        <v>1</v>
      </c>
      <c r="I231" s="219">
        <f t="shared" si="44"/>
        <v>1</v>
      </c>
      <c r="J231" s="218">
        <f t="shared" si="45"/>
        <v>1</v>
      </c>
      <c r="K231" s="219"/>
      <c r="L231" s="221">
        <f t="shared" si="47"/>
        <v>227</v>
      </c>
      <c r="M231" s="221">
        <f t="shared" si="46"/>
        <v>567.5</v>
      </c>
    </row>
    <row r="232" spans="1:13" ht="12.75" customHeight="1">
      <c r="A232" s="223">
        <f t="shared" si="36"/>
        <v>602.5</v>
      </c>
      <c r="B232" s="218">
        <f t="shared" si="37"/>
        <v>2</v>
      </c>
      <c r="C232" s="219">
        <f t="shared" si="38"/>
        <v>0</v>
      </c>
      <c r="D232" s="218">
        <f t="shared" si="39"/>
        <v>0</v>
      </c>
      <c r="E232" s="219">
        <f t="shared" si="40"/>
        <v>8</v>
      </c>
      <c r="F232" s="218">
        <f t="shared" si="41"/>
        <v>1</v>
      </c>
      <c r="G232" s="219">
        <f t="shared" si="42"/>
        <v>1</v>
      </c>
      <c r="H232" s="218">
        <f t="shared" si="43"/>
        <v>0</v>
      </c>
      <c r="I232" s="219">
        <f t="shared" si="44"/>
        <v>0</v>
      </c>
      <c r="J232" s="218">
        <f t="shared" si="45"/>
        <v>0</v>
      </c>
      <c r="K232" s="219"/>
      <c r="L232" s="221">
        <f t="shared" si="47"/>
        <v>228</v>
      </c>
      <c r="M232" s="221">
        <f t="shared" si="46"/>
        <v>570</v>
      </c>
    </row>
    <row r="233" spans="1:13" ht="12.75" customHeight="1">
      <c r="A233" s="223">
        <f t="shared" si="36"/>
        <v>605</v>
      </c>
      <c r="B233" s="218">
        <f t="shared" si="37"/>
        <v>2</v>
      </c>
      <c r="C233" s="219">
        <f t="shared" si="38"/>
        <v>0</v>
      </c>
      <c r="D233" s="218">
        <f t="shared" si="39"/>
        <v>0</v>
      </c>
      <c r="E233" s="219">
        <f t="shared" si="40"/>
        <v>8</v>
      </c>
      <c r="F233" s="218">
        <f t="shared" si="41"/>
        <v>1</v>
      </c>
      <c r="G233" s="219">
        <f t="shared" si="42"/>
        <v>1</v>
      </c>
      <c r="H233" s="218">
        <f t="shared" si="43"/>
        <v>0</v>
      </c>
      <c r="I233" s="219">
        <f t="shared" si="44"/>
        <v>0</v>
      </c>
      <c r="J233" s="218">
        <f t="shared" si="45"/>
        <v>1</v>
      </c>
      <c r="K233" s="219"/>
      <c r="L233" s="221">
        <f t="shared" si="47"/>
        <v>229</v>
      </c>
      <c r="M233" s="221">
        <f t="shared" si="46"/>
        <v>572.5</v>
      </c>
    </row>
    <row r="234" spans="1:13" ht="12.75" customHeight="1">
      <c r="A234" s="223">
        <f t="shared" si="36"/>
        <v>607.5</v>
      </c>
      <c r="B234" s="218">
        <f t="shared" si="37"/>
        <v>2</v>
      </c>
      <c r="C234" s="219">
        <f t="shared" si="38"/>
        <v>0</v>
      </c>
      <c r="D234" s="218">
        <f t="shared" si="39"/>
        <v>0</v>
      </c>
      <c r="E234" s="219">
        <f t="shared" si="40"/>
        <v>8</v>
      </c>
      <c r="F234" s="218">
        <f t="shared" si="41"/>
        <v>1</v>
      </c>
      <c r="G234" s="219">
        <f t="shared" si="42"/>
        <v>1</v>
      </c>
      <c r="H234" s="218">
        <f t="shared" si="43"/>
        <v>0</v>
      </c>
      <c r="I234" s="219">
        <f t="shared" si="44"/>
        <v>1</v>
      </c>
      <c r="J234" s="218">
        <f t="shared" si="45"/>
        <v>0</v>
      </c>
      <c r="K234" s="219"/>
      <c r="L234" s="221">
        <f t="shared" si="47"/>
        <v>230</v>
      </c>
      <c r="M234" s="221">
        <f t="shared" si="46"/>
        <v>575</v>
      </c>
    </row>
    <row r="235" spans="1:13" ht="12.75" customHeight="1">
      <c r="A235" s="223">
        <f t="shared" si="36"/>
        <v>610</v>
      </c>
      <c r="B235" s="218">
        <f t="shared" si="37"/>
        <v>2</v>
      </c>
      <c r="C235" s="219">
        <f t="shared" si="38"/>
        <v>0</v>
      </c>
      <c r="D235" s="218">
        <f t="shared" si="39"/>
        <v>0</v>
      </c>
      <c r="E235" s="219">
        <f t="shared" si="40"/>
        <v>8</v>
      </c>
      <c r="F235" s="218">
        <f t="shared" si="41"/>
        <v>1</v>
      </c>
      <c r="G235" s="219">
        <f t="shared" si="42"/>
        <v>1</v>
      </c>
      <c r="H235" s="218">
        <f t="shared" si="43"/>
        <v>0</v>
      </c>
      <c r="I235" s="219">
        <f t="shared" si="44"/>
        <v>1</v>
      </c>
      <c r="J235" s="218">
        <f t="shared" si="45"/>
        <v>1</v>
      </c>
      <c r="K235" s="219"/>
      <c r="L235" s="221">
        <f t="shared" si="47"/>
        <v>231</v>
      </c>
      <c r="M235" s="221">
        <f t="shared" si="46"/>
        <v>577.5</v>
      </c>
    </row>
    <row r="236" spans="1:13" ht="12.75" customHeight="1">
      <c r="A236" s="223">
        <f t="shared" si="36"/>
        <v>612.5</v>
      </c>
      <c r="B236" s="218">
        <f t="shared" si="37"/>
        <v>2</v>
      </c>
      <c r="C236" s="219">
        <f t="shared" si="38"/>
        <v>0</v>
      </c>
      <c r="D236" s="218">
        <f t="shared" si="39"/>
        <v>0</v>
      </c>
      <c r="E236" s="219">
        <f t="shared" si="40"/>
        <v>8</v>
      </c>
      <c r="F236" s="218">
        <f t="shared" si="41"/>
        <v>1</v>
      </c>
      <c r="G236" s="219">
        <f t="shared" si="42"/>
        <v>1</v>
      </c>
      <c r="H236" s="218">
        <f t="shared" si="43"/>
        <v>1</v>
      </c>
      <c r="I236" s="219">
        <f t="shared" si="44"/>
        <v>0</v>
      </c>
      <c r="J236" s="218">
        <f t="shared" si="45"/>
        <v>0</v>
      </c>
      <c r="K236" s="219"/>
      <c r="L236" s="221">
        <f t="shared" si="47"/>
        <v>232</v>
      </c>
      <c r="M236" s="221">
        <f t="shared" si="46"/>
        <v>580</v>
      </c>
    </row>
    <row r="237" spans="1:13" ht="12.75" customHeight="1">
      <c r="A237" s="223">
        <f t="shared" si="36"/>
        <v>615</v>
      </c>
      <c r="B237" s="218">
        <f t="shared" si="37"/>
        <v>2</v>
      </c>
      <c r="C237" s="219">
        <f t="shared" si="38"/>
        <v>0</v>
      </c>
      <c r="D237" s="218">
        <f t="shared" si="39"/>
        <v>0</v>
      </c>
      <c r="E237" s="219">
        <f t="shared" si="40"/>
        <v>8</v>
      </c>
      <c r="F237" s="218">
        <f t="shared" si="41"/>
        <v>1</v>
      </c>
      <c r="G237" s="219">
        <f t="shared" si="42"/>
        <v>1</v>
      </c>
      <c r="H237" s="218">
        <f t="shared" si="43"/>
        <v>1</v>
      </c>
      <c r="I237" s="219">
        <f t="shared" si="44"/>
        <v>0</v>
      </c>
      <c r="J237" s="218">
        <f t="shared" si="45"/>
        <v>1</v>
      </c>
      <c r="K237" s="219"/>
      <c r="L237" s="221">
        <f t="shared" si="47"/>
        <v>233</v>
      </c>
      <c r="M237" s="221">
        <f t="shared" si="46"/>
        <v>582.5</v>
      </c>
    </row>
    <row r="238" spans="1:13" ht="12.75" customHeight="1">
      <c r="A238" s="223">
        <f t="shared" si="36"/>
        <v>617.5</v>
      </c>
      <c r="B238" s="218">
        <f t="shared" si="37"/>
        <v>2</v>
      </c>
      <c r="C238" s="219">
        <f t="shared" si="38"/>
        <v>0</v>
      </c>
      <c r="D238" s="218">
        <f t="shared" si="39"/>
        <v>0</v>
      </c>
      <c r="E238" s="219">
        <f t="shared" si="40"/>
        <v>8</v>
      </c>
      <c r="F238" s="218">
        <f t="shared" si="41"/>
        <v>1</v>
      </c>
      <c r="G238" s="219">
        <f t="shared" si="42"/>
        <v>1</v>
      </c>
      <c r="H238" s="218">
        <f t="shared" si="43"/>
        <v>1</v>
      </c>
      <c r="I238" s="219">
        <f t="shared" si="44"/>
        <v>1</v>
      </c>
      <c r="J238" s="218">
        <f t="shared" si="45"/>
        <v>0</v>
      </c>
      <c r="K238" s="219"/>
      <c r="L238" s="221">
        <f t="shared" si="47"/>
        <v>234</v>
      </c>
      <c r="M238" s="221">
        <f t="shared" si="46"/>
        <v>585</v>
      </c>
    </row>
    <row r="239" spans="1:13" ht="12.75" customHeight="1">
      <c r="A239" s="223">
        <f t="shared" si="36"/>
        <v>620</v>
      </c>
      <c r="B239" s="218">
        <f t="shared" si="37"/>
        <v>2</v>
      </c>
      <c r="C239" s="219">
        <f t="shared" si="38"/>
        <v>0</v>
      </c>
      <c r="D239" s="218">
        <f t="shared" si="39"/>
        <v>0</v>
      </c>
      <c r="E239" s="219">
        <f t="shared" si="40"/>
        <v>8</v>
      </c>
      <c r="F239" s="218">
        <f t="shared" si="41"/>
        <v>1</v>
      </c>
      <c r="G239" s="219">
        <f t="shared" si="42"/>
        <v>1</v>
      </c>
      <c r="H239" s="218">
        <f t="shared" si="43"/>
        <v>1</v>
      </c>
      <c r="I239" s="219">
        <f t="shared" si="44"/>
        <v>1</v>
      </c>
      <c r="J239" s="218">
        <f t="shared" si="45"/>
        <v>1</v>
      </c>
      <c r="K239" s="219"/>
      <c r="L239" s="221">
        <f t="shared" si="47"/>
        <v>235</v>
      </c>
      <c r="M239" s="221">
        <f t="shared" si="46"/>
        <v>587.5</v>
      </c>
    </row>
    <row r="240" spans="1:13" ht="12.75" customHeight="1">
      <c r="A240" s="223">
        <f t="shared" si="36"/>
        <v>622.5</v>
      </c>
      <c r="B240" s="218">
        <f t="shared" si="37"/>
        <v>2</v>
      </c>
      <c r="C240" s="219">
        <f t="shared" si="38"/>
        <v>0</v>
      </c>
      <c r="D240" s="218">
        <f t="shared" si="39"/>
        <v>0</v>
      </c>
      <c r="E240" s="219">
        <f t="shared" si="40"/>
        <v>8</v>
      </c>
      <c r="F240" s="218">
        <f t="shared" si="41"/>
        <v>1</v>
      </c>
      <c r="G240" s="219">
        <f t="shared" si="42"/>
        <v>1</v>
      </c>
      <c r="H240" s="218">
        <f t="shared" si="43"/>
        <v>2</v>
      </c>
      <c r="I240" s="219">
        <f t="shared" si="44"/>
        <v>0</v>
      </c>
      <c r="J240" s="218">
        <f t="shared" si="45"/>
        <v>0</v>
      </c>
      <c r="K240" s="219"/>
      <c r="L240" s="221">
        <f t="shared" si="47"/>
        <v>236</v>
      </c>
      <c r="M240" s="221">
        <f t="shared" si="46"/>
        <v>590</v>
      </c>
    </row>
    <row r="241" spans="1:13" ht="12.75" customHeight="1">
      <c r="A241" s="223">
        <f t="shared" si="36"/>
        <v>625</v>
      </c>
      <c r="B241" s="218">
        <f t="shared" si="37"/>
        <v>2</v>
      </c>
      <c r="C241" s="219">
        <f t="shared" si="38"/>
        <v>0</v>
      </c>
      <c r="D241" s="218">
        <f t="shared" si="39"/>
        <v>0</v>
      </c>
      <c r="E241" s="219">
        <f t="shared" si="40"/>
        <v>8</v>
      </c>
      <c r="F241" s="218">
        <f t="shared" si="41"/>
        <v>1</v>
      </c>
      <c r="G241" s="219">
        <f t="shared" si="42"/>
        <v>1</v>
      </c>
      <c r="H241" s="218">
        <f t="shared" si="43"/>
        <v>2</v>
      </c>
      <c r="I241" s="219">
        <f t="shared" si="44"/>
        <v>0</v>
      </c>
      <c r="J241" s="218">
        <f t="shared" si="45"/>
        <v>1</v>
      </c>
      <c r="K241" s="219"/>
      <c r="L241" s="221">
        <f t="shared" si="47"/>
        <v>237</v>
      </c>
      <c r="M241" s="221">
        <f t="shared" si="46"/>
        <v>592.5</v>
      </c>
    </row>
    <row r="242" spans="1:13" ht="12.75" customHeight="1">
      <c r="A242" s="223">
        <f t="shared" si="36"/>
        <v>627.5</v>
      </c>
      <c r="B242" s="218">
        <f t="shared" si="37"/>
        <v>2</v>
      </c>
      <c r="C242" s="219">
        <f t="shared" si="38"/>
        <v>0</v>
      </c>
      <c r="D242" s="218">
        <f t="shared" si="39"/>
        <v>0</v>
      </c>
      <c r="E242" s="219">
        <f t="shared" si="40"/>
        <v>8</v>
      </c>
      <c r="F242" s="218">
        <f t="shared" si="41"/>
        <v>1</v>
      </c>
      <c r="G242" s="219">
        <f t="shared" si="42"/>
        <v>1</v>
      </c>
      <c r="H242" s="218">
        <f t="shared" si="43"/>
        <v>2</v>
      </c>
      <c r="I242" s="219">
        <f t="shared" si="44"/>
        <v>1</v>
      </c>
      <c r="J242" s="218">
        <f t="shared" si="45"/>
        <v>0</v>
      </c>
      <c r="K242" s="219"/>
      <c r="L242" s="221">
        <f t="shared" si="47"/>
        <v>238</v>
      </c>
      <c r="M242" s="221">
        <f t="shared" si="46"/>
        <v>595</v>
      </c>
    </row>
    <row r="243" spans="1:13" ht="12.75" customHeight="1">
      <c r="A243" s="223">
        <f t="shared" si="36"/>
        <v>630</v>
      </c>
      <c r="B243" s="218">
        <f t="shared" si="37"/>
        <v>2</v>
      </c>
      <c r="C243" s="219">
        <f t="shared" si="38"/>
        <v>0</v>
      </c>
      <c r="D243" s="218">
        <f t="shared" si="39"/>
        <v>0</v>
      </c>
      <c r="E243" s="219">
        <f t="shared" si="40"/>
        <v>8</v>
      </c>
      <c r="F243" s="218">
        <f t="shared" si="41"/>
        <v>1</v>
      </c>
      <c r="G243" s="219">
        <f t="shared" si="42"/>
        <v>1</v>
      </c>
      <c r="H243" s="218">
        <f t="shared" si="43"/>
        <v>2</v>
      </c>
      <c r="I243" s="219">
        <f t="shared" si="44"/>
        <v>1</v>
      </c>
      <c r="J243" s="218">
        <f t="shared" si="45"/>
        <v>1</v>
      </c>
      <c r="K243" s="219"/>
      <c r="L243" s="221">
        <f t="shared" si="47"/>
        <v>239</v>
      </c>
      <c r="M243" s="221">
        <f t="shared" si="46"/>
        <v>597.5</v>
      </c>
    </row>
    <row r="244" spans="1:13" ht="12.75" customHeight="1">
      <c r="A244" s="223">
        <f t="shared" si="36"/>
        <v>0</v>
      </c>
      <c r="B244" s="218">
        <f t="shared" si="37"/>
        <v>0</v>
      </c>
      <c r="C244" s="219">
        <f t="shared" si="38"/>
        <v>0</v>
      </c>
      <c r="D244" s="218">
        <f t="shared" si="39"/>
        <v>0</v>
      </c>
      <c r="E244" s="219">
        <f t="shared" si="40"/>
        <v>0</v>
      </c>
      <c r="F244" s="218">
        <f t="shared" si="41"/>
        <v>0</v>
      </c>
      <c r="G244" s="219">
        <f t="shared" si="42"/>
        <v>0</v>
      </c>
      <c r="H244" s="218">
        <f t="shared" si="43"/>
        <v>0</v>
      </c>
      <c r="I244" s="219">
        <f t="shared" si="44"/>
        <v>0</v>
      </c>
      <c r="J244" s="218">
        <f t="shared" si="45"/>
        <v>0</v>
      </c>
      <c r="K244" s="219"/>
      <c r="L244" s="221">
        <f t="shared" si="47"/>
        <v>240</v>
      </c>
      <c r="M244" s="221">
        <f t="shared" si="46"/>
        <v>600</v>
      </c>
    </row>
    <row r="245" spans="1:13" ht="12.75" customHeight="1">
      <c r="A245" s="223">
        <f t="shared" si="36"/>
        <v>0</v>
      </c>
      <c r="B245" s="218">
        <f t="shared" si="37"/>
        <v>0</v>
      </c>
      <c r="C245" s="219">
        <f t="shared" si="38"/>
        <v>0</v>
      </c>
      <c r="D245" s="218">
        <f t="shared" si="39"/>
        <v>0</v>
      </c>
      <c r="E245" s="219">
        <f t="shared" si="40"/>
        <v>0</v>
      </c>
      <c r="F245" s="218">
        <f t="shared" si="41"/>
        <v>0</v>
      </c>
      <c r="G245" s="219">
        <f t="shared" si="42"/>
        <v>0</v>
      </c>
      <c r="H245" s="218">
        <f t="shared" si="43"/>
        <v>0</v>
      </c>
      <c r="I245" s="219">
        <f t="shared" si="44"/>
        <v>0</v>
      </c>
      <c r="J245" s="218">
        <f t="shared" si="45"/>
        <v>0</v>
      </c>
      <c r="K245" s="219"/>
      <c r="L245" s="221">
        <f t="shared" si="47"/>
        <v>241</v>
      </c>
      <c r="M245" s="221">
        <f t="shared" si="46"/>
        <v>602.5</v>
      </c>
    </row>
    <row r="246" spans="1:13" ht="12.75" customHeight="1">
      <c r="A246" s="223">
        <f t="shared" si="36"/>
        <v>0</v>
      </c>
      <c r="B246" s="218">
        <f t="shared" si="37"/>
        <v>0</v>
      </c>
      <c r="C246" s="219">
        <f t="shared" si="38"/>
        <v>0</v>
      </c>
      <c r="D246" s="218">
        <f t="shared" si="39"/>
        <v>0</v>
      </c>
      <c r="E246" s="219">
        <f t="shared" si="40"/>
        <v>0</v>
      </c>
      <c r="F246" s="218">
        <f t="shared" si="41"/>
        <v>0</v>
      </c>
      <c r="G246" s="219">
        <f t="shared" si="42"/>
        <v>0</v>
      </c>
      <c r="H246" s="218">
        <f t="shared" si="43"/>
        <v>0</v>
      </c>
      <c r="I246" s="219">
        <f t="shared" si="44"/>
        <v>0</v>
      </c>
      <c r="J246" s="218">
        <f t="shared" si="45"/>
        <v>0</v>
      </c>
      <c r="K246" s="219"/>
      <c r="L246" s="221">
        <f t="shared" si="47"/>
        <v>242</v>
      </c>
      <c r="M246" s="221">
        <f t="shared" si="46"/>
        <v>605</v>
      </c>
    </row>
    <row r="247" spans="1:13" ht="12.75" customHeight="1">
      <c r="A247" s="223">
        <f t="shared" si="36"/>
        <v>0</v>
      </c>
      <c r="B247" s="218">
        <f t="shared" si="37"/>
        <v>0</v>
      </c>
      <c r="C247" s="219">
        <f t="shared" si="38"/>
        <v>0</v>
      </c>
      <c r="D247" s="218">
        <f t="shared" si="39"/>
        <v>0</v>
      </c>
      <c r="E247" s="219">
        <f t="shared" si="40"/>
        <v>0</v>
      </c>
      <c r="F247" s="218">
        <f t="shared" si="41"/>
        <v>0</v>
      </c>
      <c r="G247" s="219">
        <f t="shared" si="42"/>
        <v>0</v>
      </c>
      <c r="H247" s="218">
        <f t="shared" si="43"/>
        <v>0</v>
      </c>
      <c r="I247" s="219">
        <f t="shared" si="44"/>
        <v>0</v>
      </c>
      <c r="J247" s="218">
        <f t="shared" si="45"/>
        <v>0</v>
      </c>
      <c r="K247" s="219"/>
      <c r="L247" s="221">
        <f t="shared" si="47"/>
        <v>243</v>
      </c>
      <c r="M247" s="221">
        <f t="shared" si="46"/>
        <v>607.5</v>
      </c>
    </row>
    <row r="248" spans="1:13" ht="12.75" customHeight="1">
      <c r="A248" s="223">
        <f t="shared" si="36"/>
        <v>0</v>
      </c>
      <c r="B248" s="218">
        <f t="shared" si="37"/>
        <v>0</v>
      </c>
      <c r="C248" s="219">
        <f t="shared" si="38"/>
        <v>0</v>
      </c>
      <c r="D248" s="218">
        <f t="shared" si="39"/>
        <v>0</v>
      </c>
      <c r="E248" s="219">
        <f t="shared" si="40"/>
        <v>0</v>
      </c>
      <c r="F248" s="218">
        <f t="shared" si="41"/>
        <v>0</v>
      </c>
      <c r="G248" s="219">
        <f t="shared" si="42"/>
        <v>0</v>
      </c>
      <c r="H248" s="218">
        <f t="shared" si="43"/>
        <v>0</v>
      </c>
      <c r="I248" s="219">
        <f t="shared" si="44"/>
        <v>0</v>
      </c>
      <c r="J248" s="218">
        <f t="shared" si="45"/>
        <v>0</v>
      </c>
      <c r="K248" s="219"/>
      <c r="L248" s="221">
        <f t="shared" si="47"/>
        <v>244</v>
      </c>
      <c r="M248" s="221">
        <f t="shared" si="46"/>
        <v>610</v>
      </c>
    </row>
    <row r="249" spans="1:13" ht="12.75" customHeight="1">
      <c r="A249" s="223">
        <f t="shared" si="36"/>
        <v>0</v>
      </c>
      <c r="B249" s="218">
        <f t="shared" si="37"/>
        <v>0</v>
      </c>
      <c r="C249" s="219">
        <f t="shared" si="38"/>
        <v>0</v>
      </c>
      <c r="D249" s="218">
        <f t="shared" si="39"/>
        <v>0</v>
      </c>
      <c r="E249" s="219">
        <f t="shared" si="40"/>
        <v>0</v>
      </c>
      <c r="F249" s="218">
        <f t="shared" si="41"/>
        <v>0</v>
      </c>
      <c r="G249" s="219">
        <f t="shared" si="42"/>
        <v>0</v>
      </c>
      <c r="H249" s="218">
        <f t="shared" si="43"/>
        <v>0</v>
      </c>
      <c r="I249" s="219">
        <f t="shared" si="44"/>
        <v>0</v>
      </c>
      <c r="J249" s="218">
        <f t="shared" si="45"/>
        <v>0</v>
      </c>
      <c r="K249" s="219"/>
      <c r="L249" s="221">
        <f t="shared" si="47"/>
        <v>245</v>
      </c>
      <c r="M249" s="221">
        <f t="shared" si="46"/>
        <v>612.5</v>
      </c>
    </row>
    <row r="250" spans="1:13" ht="12.75" customHeight="1">
      <c r="A250" s="223">
        <f t="shared" si="36"/>
        <v>0</v>
      </c>
      <c r="B250" s="218">
        <f t="shared" si="37"/>
        <v>0</v>
      </c>
      <c r="C250" s="219">
        <f t="shared" si="38"/>
        <v>0</v>
      </c>
      <c r="D250" s="218">
        <f t="shared" si="39"/>
        <v>0</v>
      </c>
      <c r="E250" s="219">
        <f t="shared" si="40"/>
        <v>0</v>
      </c>
      <c r="F250" s="218">
        <f t="shared" si="41"/>
        <v>0</v>
      </c>
      <c r="G250" s="219">
        <f t="shared" si="42"/>
        <v>0</v>
      </c>
      <c r="H250" s="218">
        <f t="shared" si="43"/>
        <v>0</v>
      </c>
      <c r="I250" s="219">
        <f t="shared" si="44"/>
        <v>0</v>
      </c>
      <c r="J250" s="218">
        <f t="shared" si="45"/>
        <v>0</v>
      </c>
      <c r="K250" s="219"/>
      <c r="L250" s="221">
        <f t="shared" si="47"/>
        <v>246</v>
      </c>
      <c r="M250" s="221">
        <f t="shared" si="46"/>
        <v>615</v>
      </c>
    </row>
    <row r="251" spans="1:13" ht="12.75" customHeight="1">
      <c r="A251" s="223">
        <f t="shared" si="36"/>
        <v>0</v>
      </c>
      <c r="B251" s="218">
        <f t="shared" si="37"/>
        <v>0</v>
      </c>
      <c r="C251" s="219">
        <f t="shared" si="38"/>
        <v>0</v>
      </c>
      <c r="D251" s="218">
        <f t="shared" si="39"/>
        <v>0</v>
      </c>
      <c r="E251" s="219">
        <f t="shared" si="40"/>
        <v>0</v>
      </c>
      <c r="F251" s="218">
        <f t="shared" si="41"/>
        <v>0</v>
      </c>
      <c r="G251" s="219">
        <f t="shared" si="42"/>
        <v>0</v>
      </c>
      <c r="H251" s="218">
        <f t="shared" si="43"/>
        <v>0</v>
      </c>
      <c r="I251" s="219">
        <f t="shared" si="44"/>
        <v>0</v>
      </c>
      <c r="J251" s="218">
        <f t="shared" si="45"/>
        <v>0</v>
      </c>
      <c r="K251" s="219"/>
      <c r="L251" s="221">
        <f t="shared" si="47"/>
        <v>247</v>
      </c>
      <c r="M251" s="221">
        <f t="shared" si="46"/>
        <v>617.5</v>
      </c>
    </row>
    <row r="252" spans="1:13" ht="12.75" customHeight="1">
      <c r="A252" s="223">
        <f t="shared" si="36"/>
        <v>0</v>
      </c>
      <c r="B252" s="218">
        <f t="shared" si="37"/>
        <v>0</v>
      </c>
      <c r="C252" s="219">
        <f t="shared" si="38"/>
        <v>0</v>
      </c>
      <c r="D252" s="218">
        <f t="shared" si="39"/>
        <v>0</v>
      </c>
      <c r="E252" s="219">
        <f t="shared" si="40"/>
        <v>0</v>
      </c>
      <c r="F252" s="218">
        <f t="shared" si="41"/>
        <v>0</v>
      </c>
      <c r="G252" s="219">
        <f t="shared" si="42"/>
        <v>0</v>
      </c>
      <c r="H252" s="218">
        <f t="shared" si="43"/>
        <v>0</v>
      </c>
      <c r="I252" s="219">
        <f t="shared" si="44"/>
        <v>0</v>
      </c>
      <c r="J252" s="218">
        <f t="shared" si="45"/>
        <v>0</v>
      </c>
      <c r="K252" s="219"/>
      <c r="L252" s="221">
        <f t="shared" si="47"/>
        <v>248</v>
      </c>
      <c r="M252" s="221">
        <f t="shared" si="46"/>
        <v>620</v>
      </c>
    </row>
    <row r="253" spans="1:13" ht="12.75" customHeight="1">
      <c r="A253" s="223">
        <f t="shared" si="36"/>
        <v>0</v>
      </c>
      <c r="B253" s="218">
        <f t="shared" si="37"/>
        <v>0</v>
      </c>
      <c r="C253" s="219">
        <f t="shared" si="38"/>
        <v>0</v>
      </c>
      <c r="D253" s="218">
        <f t="shared" si="39"/>
        <v>0</v>
      </c>
      <c r="E253" s="219">
        <f t="shared" si="40"/>
        <v>0</v>
      </c>
      <c r="F253" s="218">
        <f t="shared" si="41"/>
        <v>0</v>
      </c>
      <c r="G253" s="219">
        <f t="shared" si="42"/>
        <v>0</v>
      </c>
      <c r="H253" s="218">
        <f t="shared" si="43"/>
        <v>0</v>
      </c>
      <c r="I253" s="219">
        <f t="shared" si="44"/>
        <v>0</v>
      </c>
      <c r="J253" s="218">
        <f t="shared" si="45"/>
        <v>0</v>
      </c>
      <c r="K253" s="219"/>
      <c r="L253" s="221">
        <f t="shared" si="47"/>
        <v>249</v>
      </c>
      <c r="M253" s="221">
        <f t="shared" si="46"/>
        <v>622.5</v>
      </c>
    </row>
    <row r="254" spans="1:13" ht="12.75" customHeight="1">
      <c r="A254" s="223">
        <f t="shared" si="36"/>
        <v>0</v>
      </c>
      <c r="B254" s="218">
        <f t="shared" si="37"/>
        <v>0</v>
      </c>
      <c r="C254" s="219">
        <f t="shared" si="38"/>
        <v>0</v>
      </c>
      <c r="D254" s="218">
        <f t="shared" si="39"/>
        <v>0</v>
      </c>
      <c r="E254" s="219">
        <f t="shared" si="40"/>
        <v>0</v>
      </c>
      <c r="F254" s="218">
        <f t="shared" si="41"/>
        <v>0</v>
      </c>
      <c r="G254" s="219">
        <f t="shared" si="42"/>
        <v>0</v>
      </c>
      <c r="H254" s="218">
        <f t="shared" si="43"/>
        <v>0</v>
      </c>
      <c r="I254" s="219">
        <f t="shared" si="44"/>
        <v>0</v>
      </c>
      <c r="J254" s="218">
        <f t="shared" si="45"/>
        <v>0</v>
      </c>
      <c r="K254" s="219"/>
      <c r="L254" s="221">
        <f t="shared" si="47"/>
        <v>250</v>
      </c>
      <c r="M254" s="221">
        <f t="shared" si="46"/>
        <v>625</v>
      </c>
    </row>
    <row r="255" spans="1:13" ht="12.75" customHeight="1">
      <c r="A255" s="223">
        <f t="shared" si="36"/>
        <v>0</v>
      </c>
      <c r="B255" s="218">
        <f t="shared" si="37"/>
        <v>0</v>
      </c>
      <c r="C255" s="219">
        <f t="shared" si="38"/>
        <v>0</v>
      </c>
      <c r="D255" s="218">
        <f t="shared" si="39"/>
        <v>0</v>
      </c>
      <c r="E255" s="219">
        <f t="shared" si="40"/>
        <v>0</v>
      </c>
      <c r="F255" s="218">
        <f t="shared" si="41"/>
        <v>0</v>
      </c>
      <c r="G255" s="219">
        <f t="shared" si="42"/>
        <v>0</v>
      </c>
      <c r="H255" s="218">
        <f t="shared" si="43"/>
        <v>0</v>
      </c>
      <c r="I255" s="219">
        <f t="shared" si="44"/>
        <v>0</v>
      </c>
      <c r="J255" s="218">
        <f t="shared" si="45"/>
        <v>0</v>
      </c>
      <c r="K255" s="219"/>
      <c r="L255" s="221">
        <f t="shared" si="47"/>
        <v>251</v>
      </c>
      <c r="M255" s="221">
        <f t="shared" si="46"/>
        <v>627.5</v>
      </c>
    </row>
    <row r="256" spans="1:13" ht="12.75" customHeight="1">
      <c r="A256" s="223">
        <f t="shared" si="36"/>
        <v>0</v>
      </c>
      <c r="B256" s="218">
        <f t="shared" si="37"/>
        <v>0</v>
      </c>
      <c r="C256" s="219">
        <f t="shared" si="38"/>
        <v>0</v>
      </c>
      <c r="D256" s="218">
        <f t="shared" si="39"/>
        <v>0</v>
      </c>
      <c r="E256" s="219">
        <f t="shared" si="40"/>
        <v>0</v>
      </c>
      <c r="F256" s="218">
        <f t="shared" si="41"/>
        <v>0</v>
      </c>
      <c r="G256" s="219">
        <f t="shared" si="42"/>
        <v>0</v>
      </c>
      <c r="H256" s="218">
        <f t="shared" si="43"/>
        <v>0</v>
      </c>
      <c r="I256" s="219">
        <f t="shared" si="44"/>
        <v>0</v>
      </c>
      <c r="J256" s="218">
        <f t="shared" si="45"/>
        <v>0</v>
      </c>
      <c r="K256" s="219"/>
      <c r="L256" s="221">
        <f t="shared" si="47"/>
        <v>252</v>
      </c>
      <c r="M256" s="221">
        <f t="shared" si="46"/>
        <v>630</v>
      </c>
    </row>
    <row r="257" spans="1:13" ht="12.75" customHeight="1">
      <c r="A257" s="223">
        <f t="shared" si="36"/>
        <v>0</v>
      </c>
      <c r="B257" s="218">
        <f t="shared" si="37"/>
        <v>0</v>
      </c>
      <c r="C257" s="219">
        <f t="shared" si="38"/>
        <v>0</v>
      </c>
      <c r="D257" s="218">
        <f t="shared" si="39"/>
        <v>0</v>
      </c>
      <c r="E257" s="219">
        <f t="shared" si="40"/>
        <v>0</v>
      </c>
      <c r="F257" s="218">
        <f t="shared" si="41"/>
        <v>0</v>
      </c>
      <c r="G257" s="219">
        <f t="shared" si="42"/>
        <v>0</v>
      </c>
      <c r="H257" s="218">
        <f t="shared" si="43"/>
        <v>0</v>
      </c>
      <c r="I257" s="219">
        <f t="shared" si="44"/>
        <v>0</v>
      </c>
      <c r="J257" s="218">
        <f t="shared" si="45"/>
        <v>0</v>
      </c>
      <c r="K257" s="219"/>
      <c r="L257" s="221">
        <f t="shared" si="47"/>
        <v>253</v>
      </c>
      <c r="M257" s="221">
        <f t="shared" si="46"/>
        <v>632.5</v>
      </c>
    </row>
    <row r="258" spans="1:13" ht="12.75" customHeight="1">
      <c r="A258" s="223">
        <f t="shared" si="36"/>
        <v>0</v>
      </c>
      <c r="B258" s="218">
        <f t="shared" si="37"/>
        <v>0</v>
      </c>
      <c r="C258" s="219">
        <f t="shared" si="38"/>
        <v>0</v>
      </c>
      <c r="D258" s="218">
        <f t="shared" si="39"/>
        <v>0</v>
      </c>
      <c r="E258" s="219">
        <f t="shared" si="40"/>
        <v>0</v>
      </c>
      <c r="F258" s="218">
        <f t="shared" si="41"/>
        <v>0</v>
      </c>
      <c r="G258" s="219">
        <f t="shared" si="42"/>
        <v>0</v>
      </c>
      <c r="H258" s="218">
        <f t="shared" si="43"/>
        <v>0</v>
      </c>
      <c r="I258" s="219">
        <f t="shared" si="44"/>
        <v>0</v>
      </c>
      <c r="J258" s="218">
        <f t="shared" si="45"/>
        <v>0</v>
      </c>
      <c r="K258" s="219"/>
      <c r="L258" s="221">
        <f t="shared" si="47"/>
        <v>254</v>
      </c>
      <c r="M258" s="221">
        <f t="shared" si="46"/>
        <v>635</v>
      </c>
    </row>
    <row r="259" spans="1:13" ht="12.75" customHeight="1">
      <c r="A259" s="223">
        <f t="shared" si="36"/>
        <v>0</v>
      </c>
      <c r="B259" s="218">
        <f t="shared" si="37"/>
        <v>0</v>
      </c>
      <c r="C259" s="219">
        <f t="shared" si="38"/>
        <v>0</v>
      </c>
      <c r="D259" s="218">
        <f t="shared" si="39"/>
        <v>0</v>
      </c>
      <c r="E259" s="219">
        <f t="shared" si="40"/>
        <v>0</v>
      </c>
      <c r="F259" s="218">
        <f t="shared" si="41"/>
        <v>0</v>
      </c>
      <c r="G259" s="219">
        <f t="shared" si="42"/>
        <v>0</v>
      </c>
      <c r="H259" s="218">
        <f t="shared" si="43"/>
        <v>0</v>
      </c>
      <c r="I259" s="219">
        <f t="shared" si="44"/>
        <v>0</v>
      </c>
      <c r="J259" s="218">
        <f t="shared" si="45"/>
        <v>0</v>
      </c>
      <c r="K259" s="219"/>
      <c r="L259" s="221">
        <f t="shared" si="47"/>
        <v>255</v>
      </c>
      <c r="M259" s="221">
        <f t="shared" si="46"/>
        <v>637.5</v>
      </c>
    </row>
    <row r="260" spans="1:13" ht="12.75" customHeight="1">
      <c r="A260" s="223">
        <f t="shared" si="36"/>
        <v>0</v>
      </c>
      <c r="B260" s="218">
        <f t="shared" si="37"/>
        <v>0</v>
      </c>
      <c r="C260" s="219">
        <f t="shared" si="38"/>
        <v>0</v>
      </c>
      <c r="D260" s="218">
        <f t="shared" si="39"/>
        <v>0</v>
      </c>
      <c r="E260" s="219">
        <f t="shared" si="40"/>
        <v>0</v>
      </c>
      <c r="F260" s="218">
        <f t="shared" si="41"/>
        <v>0</v>
      </c>
      <c r="G260" s="219">
        <f t="shared" si="42"/>
        <v>0</v>
      </c>
      <c r="H260" s="218">
        <f t="shared" si="43"/>
        <v>0</v>
      </c>
      <c r="I260" s="219">
        <f t="shared" si="44"/>
        <v>0</v>
      </c>
      <c r="J260" s="218">
        <f t="shared" si="45"/>
        <v>0</v>
      </c>
      <c r="K260" s="219"/>
      <c r="L260" s="221">
        <f t="shared" si="47"/>
        <v>256</v>
      </c>
      <c r="M260" s="221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9.00390625" style="70" customWidth="1"/>
    <col min="2" max="2" width="7.28125" style="70" customWidth="1"/>
    <col min="3" max="3" width="25.28125" style="70" customWidth="1"/>
    <col min="4" max="4" width="5.57421875" style="70" customWidth="1"/>
    <col min="5" max="5" width="6.140625" style="70" customWidth="1"/>
    <col min="6" max="6" width="7.28125" style="70" customWidth="1"/>
    <col min="7" max="8" width="9.140625" style="70" hidden="1" customWidth="1"/>
    <col min="9" max="9" width="4.421875" style="70" customWidth="1"/>
    <col min="10" max="10" width="4.421875" style="239" customWidth="1"/>
    <col min="11" max="11" width="8.00390625" style="70" customWidth="1"/>
    <col min="12" max="15" width="9.140625" style="70" hidden="1" customWidth="1"/>
    <col min="16" max="16" width="4.421875" style="239" customWidth="1"/>
    <col min="17" max="17" width="8.00390625" style="70" customWidth="1"/>
    <col min="18" max="22" width="8.00390625" style="70" hidden="1" customWidth="1"/>
    <col min="23" max="23" width="8.00390625" style="70" customWidth="1"/>
    <col min="24" max="33" width="9.140625" style="70" hidden="1" customWidth="1"/>
    <col min="34" max="34" width="9.140625" style="70" customWidth="1"/>
    <col min="35" max="35" width="14.00390625" style="70" customWidth="1"/>
    <col min="36" max="38" width="9.140625" style="17" hidden="1" customWidth="1"/>
    <col min="39" max="39" width="9.140625" style="18" customWidth="1"/>
    <col min="40" max="45" width="9.140625" style="18" hidden="1" customWidth="1"/>
    <col min="46" max="50" width="0" style="18" hidden="1" customWidth="1"/>
    <col min="51" max="51" width="9.140625" style="18" hidden="1" customWidth="1"/>
    <col min="52" max="79" width="0" style="18" hidden="1" customWidth="1"/>
    <col min="80" max="80" width="9.140625" style="18" customWidth="1"/>
    <col min="81" max="81" width="0" style="18" hidden="1" customWidth="1"/>
    <col min="82" max="85" width="9.140625" style="18" customWidth="1"/>
    <col min="86" max="120" width="0" style="18" hidden="1" customWidth="1"/>
    <col min="121" max="16384" width="9.140625" style="18" customWidth="1"/>
  </cols>
  <sheetData>
    <row r="1" spans="1:81" s="156" customFormat="1" ht="38.25" customHeight="1">
      <c r="A1" s="70"/>
      <c r="B1" s="70"/>
      <c r="C1" s="70"/>
      <c r="D1" s="70"/>
      <c r="E1" s="70"/>
      <c r="F1" s="70"/>
      <c r="G1" s="70"/>
      <c r="H1" s="70"/>
      <c r="I1" s="70"/>
      <c r="J1" s="239"/>
      <c r="K1" s="70"/>
      <c r="L1" s="70"/>
      <c r="M1" s="70"/>
      <c r="N1" s="70"/>
      <c r="O1" s="70"/>
      <c r="P1" s="239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155"/>
      <c r="AK1" s="155"/>
      <c r="AL1" s="155"/>
      <c r="AY1" s="23" t="str">
        <f>CONCATENATE("Setup!O7:O",COUNTA(Setup!O:O)+4)</f>
        <v>Setup!O7:O22</v>
      </c>
      <c r="BB1" s="156" t="s">
        <v>63</v>
      </c>
      <c r="BC1" s="156" t="s">
        <v>64</v>
      </c>
      <c r="BD1" s="156" t="s">
        <v>65</v>
      </c>
      <c r="BE1" s="156" t="s">
        <v>66</v>
      </c>
      <c r="BF1" s="156" t="s">
        <v>67</v>
      </c>
      <c r="CC1" s="156">
        <v>17</v>
      </c>
    </row>
    <row r="2" spans="1:103" s="228" customFormat="1" ht="26.25" thickBot="1">
      <c r="A2" s="229"/>
      <c r="B2" s="229" t="s">
        <v>152</v>
      </c>
      <c r="C2" s="229" t="s">
        <v>0</v>
      </c>
      <c r="D2" s="229" t="s">
        <v>1</v>
      </c>
      <c r="E2" s="229" t="s">
        <v>29</v>
      </c>
      <c r="F2" s="229" t="str">
        <f>Setup!K6</f>
        <v>BWt (Lb)</v>
      </c>
      <c r="G2" s="229" t="s">
        <v>148</v>
      </c>
      <c r="H2" s="229" t="s">
        <v>139</v>
      </c>
      <c r="I2" s="229" t="s">
        <v>2</v>
      </c>
      <c r="J2" s="240" t="s">
        <v>26</v>
      </c>
      <c r="K2" s="229" t="s">
        <v>22</v>
      </c>
      <c r="L2" s="229" t="s">
        <v>23</v>
      </c>
      <c r="M2" s="229" t="s">
        <v>24</v>
      </c>
      <c r="N2" s="229" t="s">
        <v>25</v>
      </c>
      <c r="O2" s="229" t="s">
        <v>11</v>
      </c>
      <c r="P2" s="240" t="s">
        <v>27</v>
      </c>
      <c r="Q2" s="229" t="s">
        <v>149</v>
      </c>
      <c r="R2" s="229" t="s">
        <v>13</v>
      </c>
      <c r="S2" s="229" t="s">
        <v>14</v>
      </c>
      <c r="T2" s="229" t="s">
        <v>28</v>
      </c>
      <c r="U2" s="229" t="s">
        <v>15</v>
      </c>
      <c r="V2" s="229" t="s">
        <v>16</v>
      </c>
      <c r="W2" s="229" t="s">
        <v>17</v>
      </c>
      <c r="X2" s="229" t="s">
        <v>18</v>
      </c>
      <c r="Y2" s="229" t="s">
        <v>19</v>
      </c>
      <c r="Z2" s="229" t="s">
        <v>20</v>
      </c>
      <c r="AA2" s="229" t="s">
        <v>21</v>
      </c>
      <c r="AB2" s="229"/>
      <c r="AC2" s="229" t="s">
        <v>135</v>
      </c>
      <c r="AD2" s="229" t="s">
        <v>140</v>
      </c>
      <c r="AE2" s="229" t="s">
        <v>145</v>
      </c>
      <c r="AF2" s="229" t="s">
        <v>31</v>
      </c>
      <c r="AG2" s="229" t="s">
        <v>38</v>
      </c>
      <c r="AH2" s="229" t="s">
        <v>45</v>
      </c>
      <c r="AI2" s="229" t="s">
        <v>151</v>
      </c>
      <c r="AJ2" s="227" t="s">
        <v>147</v>
      </c>
      <c r="AK2" s="227" t="s">
        <v>37</v>
      </c>
      <c r="AL2" s="227" t="s">
        <v>39</v>
      </c>
      <c r="AP2" s="228" t="s">
        <v>143</v>
      </c>
      <c r="AQ2" s="228" t="s">
        <v>144</v>
      </c>
      <c r="AR2" s="228">
        <v>-1</v>
      </c>
      <c r="CC2" s="228">
        <v>17</v>
      </c>
      <c r="CH2" s="228" t="s">
        <v>125</v>
      </c>
      <c r="CI2" s="228" t="s">
        <v>22</v>
      </c>
      <c r="CJ2" s="228" t="s">
        <v>23</v>
      </c>
      <c r="CK2" s="228" t="s">
        <v>24</v>
      </c>
      <c r="CL2" s="228" t="s">
        <v>25</v>
      </c>
      <c r="CM2" s="228" t="s">
        <v>11</v>
      </c>
      <c r="CN2" s="228" t="s">
        <v>27</v>
      </c>
      <c r="CO2" s="228" t="s">
        <v>12</v>
      </c>
      <c r="CP2" s="228" t="s">
        <v>13</v>
      </c>
      <c r="CQ2" s="228" t="s">
        <v>14</v>
      </c>
      <c r="CR2" s="228" t="s">
        <v>28</v>
      </c>
      <c r="CS2" s="228" t="s">
        <v>15</v>
      </c>
      <c r="CT2" s="228" t="s">
        <v>16</v>
      </c>
      <c r="CU2" s="228" t="s">
        <v>17</v>
      </c>
      <c r="CV2" s="228" t="s">
        <v>18</v>
      </c>
      <c r="CW2" s="228" t="s">
        <v>19</v>
      </c>
      <c r="CX2" s="228" t="s">
        <v>20</v>
      </c>
      <c r="CY2" s="228" t="s">
        <v>21</v>
      </c>
    </row>
    <row r="3" spans="2:23" ht="12.75">
      <c r="B3" s="70" t="s">
        <v>33</v>
      </c>
      <c r="C3" s="70" t="s">
        <v>232</v>
      </c>
      <c r="D3" s="70">
        <v>56</v>
      </c>
      <c r="E3" s="70" t="s">
        <v>200</v>
      </c>
      <c r="F3" s="70">
        <v>102</v>
      </c>
      <c r="J3" s="239" t="s">
        <v>266</v>
      </c>
      <c r="K3" s="70">
        <v>42.5</v>
      </c>
      <c r="Q3" s="70">
        <v>35</v>
      </c>
      <c r="W3" s="70">
        <v>57.5</v>
      </c>
    </row>
    <row r="4" spans="2:23" ht="12.75">
      <c r="B4" s="70" t="s">
        <v>33</v>
      </c>
      <c r="C4" s="70" t="s">
        <v>233</v>
      </c>
      <c r="D4" s="70">
        <v>72</v>
      </c>
      <c r="E4" s="70" t="s">
        <v>230</v>
      </c>
      <c r="F4" s="70">
        <v>146</v>
      </c>
      <c r="J4" s="239" t="s">
        <v>267</v>
      </c>
      <c r="K4" s="70">
        <v>85</v>
      </c>
      <c r="Q4" s="70">
        <v>95</v>
      </c>
      <c r="W4" s="70">
        <v>165</v>
      </c>
    </row>
    <row r="5" spans="2:23" ht="12.75">
      <c r="B5" s="70" t="s">
        <v>33</v>
      </c>
      <c r="C5" s="70" t="s">
        <v>234</v>
      </c>
      <c r="D5" s="70">
        <v>42</v>
      </c>
      <c r="E5" s="70" t="s">
        <v>205</v>
      </c>
      <c r="F5" s="70">
        <v>196</v>
      </c>
      <c r="J5" s="239" t="s">
        <v>268</v>
      </c>
      <c r="K5" s="70">
        <v>97.5</v>
      </c>
      <c r="Q5" s="70">
        <v>102.5</v>
      </c>
      <c r="W5" s="70">
        <v>102.5</v>
      </c>
    </row>
    <row r="6" spans="2:23" ht="12.75">
      <c r="B6" s="70" t="s">
        <v>33</v>
      </c>
      <c r="C6" s="70" t="s">
        <v>235</v>
      </c>
      <c r="D6" s="70">
        <v>41</v>
      </c>
      <c r="E6" s="70" t="s">
        <v>205</v>
      </c>
      <c r="F6" s="70">
        <v>181.75</v>
      </c>
      <c r="J6" s="239" t="s">
        <v>269</v>
      </c>
      <c r="K6" s="70">
        <v>112.5</v>
      </c>
      <c r="Q6" s="70">
        <v>102.5</v>
      </c>
      <c r="W6" s="70">
        <v>150</v>
      </c>
    </row>
    <row r="7" spans="2:23" ht="12.75">
      <c r="B7" s="70" t="s">
        <v>33</v>
      </c>
      <c r="C7" s="70" t="s">
        <v>236</v>
      </c>
      <c r="D7" s="70">
        <v>42</v>
      </c>
      <c r="E7" s="70" t="s">
        <v>202</v>
      </c>
      <c r="F7" s="70">
        <v>130</v>
      </c>
      <c r="K7" s="70">
        <v>112.5</v>
      </c>
      <c r="Q7" s="70">
        <v>67.5</v>
      </c>
      <c r="W7" s="70">
        <v>125</v>
      </c>
    </row>
    <row r="8" spans="2:23" ht="12.75">
      <c r="B8" s="70" t="s">
        <v>33</v>
      </c>
      <c r="C8" s="70" t="s">
        <v>237</v>
      </c>
      <c r="D8" s="70">
        <v>22</v>
      </c>
      <c r="E8" s="70" t="s">
        <v>203</v>
      </c>
      <c r="F8" s="70">
        <v>158.75</v>
      </c>
      <c r="K8" s="70">
        <v>125</v>
      </c>
      <c r="Q8" s="70">
        <v>85</v>
      </c>
      <c r="W8" s="70">
        <v>195</v>
      </c>
    </row>
    <row r="9" spans="2:23" ht="12.75">
      <c r="B9" s="70" t="s">
        <v>33</v>
      </c>
      <c r="C9" s="70" t="s">
        <v>238</v>
      </c>
      <c r="D9" s="70">
        <v>23</v>
      </c>
      <c r="E9" s="70" t="s">
        <v>203</v>
      </c>
      <c r="F9" s="70">
        <v>123</v>
      </c>
      <c r="K9" s="70">
        <v>132.5</v>
      </c>
      <c r="Q9" s="70">
        <v>60</v>
      </c>
      <c r="W9" s="70">
        <v>147.5</v>
      </c>
    </row>
    <row r="10" spans="2:23" ht="12.75">
      <c r="B10" s="70" t="s">
        <v>33</v>
      </c>
      <c r="C10" s="70" t="s">
        <v>239</v>
      </c>
      <c r="D10" s="70">
        <v>36</v>
      </c>
      <c r="E10" s="70" t="s">
        <v>204</v>
      </c>
      <c r="F10" s="70">
        <v>178</v>
      </c>
      <c r="K10" s="70">
        <v>152.5</v>
      </c>
      <c r="Q10" s="70">
        <v>155</v>
      </c>
      <c r="W10" s="70">
        <v>200</v>
      </c>
    </row>
    <row r="11" spans="2:23" ht="12.75">
      <c r="B11" s="70" t="s">
        <v>33</v>
      </c>
      <c r="C11" s="70" t="s">
        <v>240</v>
      </c>
      <c r="D11" s="70">
        <v>22</v>
      </c>
      <c r="E11" s="70" t="s">
        <v>203</v>
      </c>
      <c r="F11" s="70">
        <v>181.25</v>
      </c>
      <c r="K11" s="70">
        <v>182.5</v>
      </c>
      <c r="Q11" s="70">
        <v>132.5</v>
      </c>
      <c r="W11" s="70">
        <v>205</v>
      </c>
    </row>
    <row r="12" spans="2:23" ht="12.75">
      <c r="B12" s="70" t="s">
        <v>33</v>
      </c>
      <c r="C12" s="70" t="s">
        <v>241</v>
      </c>
      <c r="D12" s="70">
        <v>26</v>
      </c>
      <c r="E12" s="70" t="s">
        <v>213</v>
      </c>
      <c r="F12" s="70">
        <v>198</v>
      </c>
      <c r="K12" s="70">
        <v>260</v>
      </c>
      <c r="Q12" s="70">
        <v>215</v>
      </c>
      <c r="W12" s="70">
        <v>240</v>
      </c>
    </row>
    <row r="13" spans="2:23" ht="12.75">
      <c r="B13" s="70" t="s">
        <v>33</v>
      </c>
      <c r="C13" s="70" t="s">
        <v>242</v>
      </c>
      <c r="D13" s="70">
        <v>22</v>
      </c>
      <c r="E13" s="70" t="s">
        <v>203</v>
      </c>
      <c r="F13" s="70">
        <v>186</v>
      </c>
      <c r="K13" s="70">
        <v>265</v>
      </c>
      <c r="Q13" s="70">
        <v>177.5</v>
      </c>
      <c r="W13" s="70">
        <v>260</v>
      </c>
    </row>
    <row r="14" spans="2:23" ht="12.75">
      <c r="B14" s="70" t="s">
        <v>35</v>
      </c>
      <c r="C14" s="70" t="s">
        <v>243</v>
      </c>
      <c r="D14" s="70">
        <v>53</v>
      </c>
      <c r="E14" s="70" t="s">
        <v>201</v>
      </c>
      <c r="F14" s="70">
        <v>147</v>
      </c>
      <c r="Q14" s="70">
        <v>70</v>
      </c>
      <c r="W14" s="70">
        <v>100</v>
      </c>
    </row>
    <row r="15" spans="2:83" ht="12.75">
      <c r="B15" s="70" t="s">
        <v>35</v>
      </c>
      <c r="C15" s="70" t="s">
        <v>244</v>
      </c>
      <c r="D15" s="70">
        <v>17</v>
      </c>
      <c r="E15" s="70" t="s">
        <v>209</v>
      </c>
      <c r="F15" s="70">
        <v>193</v>
      </c>
      <c r="Q15" s="70">
        <v>115</v>
      </c>
      <c r="CE15" s="18">
        <v>124.6</v>
      </c>
    </row>
    <row r="16" spans="2:83" ht="12.75">
      <c r="B16" s="70" t="s">
        <v>35</v>
      </c>
      <c r="C16" s="70" t="s">
        <v>245</v>
      </c>
      <c r="D16" s="70">
        <v>60</v>
      </c>
      <c r="E16" s="70" t="s">
        <v>211</v>
      </c>
      <c r="F16" s="70">
        <v>148</v>
      </c>
      <c r="Q16" s="70">
        <v>0</v>
      </c>
      <c r="CE16" s="18">
        <f>CE15*2.2</f>
        <v>274.12</v>
      </c>
    </row>
    <row r="17" spans="2:17" ht="12.75">
      <c r="B17" s="70" t="s">
        <v>35</v>
      </c>
      <c r="C17" s="70" t="s">
        <v>246</v>
      </c>
      <c r="D17" s="70">
        <v>35</v>
      </c>
      <c r="E17" s="70" t="s">
        <v>204</v>
      </c>
      <c r="F17" s="70">
        <v>181</v>
      </c>
      <c r="Q17" s="70">
        <v>125</v>
      </c>
    </row>
    <row r="18" spans="2:17" ht="12.75">
      <c r="B18" s="70" t="s">
        <v>35</v>
      </c>
      <c r="C18" s="70" t="s">
        <v>247</v>
      </c>
      <c r="D18" s="70">
        <v>17</v>
      </c>
      <c r="E18" s="70" t="s">
        <v>209</v>
      </c>
      <c r="F18" s="70">
        <v>250</v>
      </c>
      <c r="Q18" s="70">
        <v>130</v>
      </c>
    </row>
    <row r="19" spans="2:23" ht="12.75">
      <c r="B19" s="70" t="s">
        <v>35</v>
      </c>
      <c r="C19" s="70" t="s">
        <v>248</v>
      </c>
      <c r="D19" s="70">
        <v>42</v>
      </c>
      <c r="E19" s="70" t="s">
        <v>205</v>
      </c>
      <c r="F19" s="70">
        <v>259.25</v>
      </c>
      <c r="Q19" s="70">
        <v>140</v>
      </c>
      <c r="W19" s="70">
        <v>185</v>
      </c>
    </row>
    <row r="20" spans="2:23" ht="12.75">
      <c r="B20" s="70" t="s">
        <v>35</v>
      </c>
      <c r="C20" s="70" t="s">
        <v>249</v>
      </c>
      <c r="D20" s="70">
        <v>50</v>
      </c>
      <c r="E20" s="70" t="s">
        <v>207</v>
      </c>
      <c r="F20" s="70">
        <v>229</v>
      </c>
      <c r="Q20" s="70">
        <v>155</v>
      </c>
      <c r="W20" s="70">
        <v>205</v>
      </c>
    </row>
    <row r="21" spans="2:17" ht="12.75">
      <c r="B21" s="70" t="s">
        <v>35</v>
      </c>
      <c r="C21" s="70" t="s">
        <v>250</v>
      </c>
      <c r="D21" s="70">
        <v>41</v>
      </c>
      <c r="E21" s="70" t="s">
        <v>205</v>
      </c>
      <c r="F21" s="70">
        <v>219</v>
      </c>
      <c r="Q21" s="70">
        <v>157.5</v>
      </c>
    </row>
    <row r="22" spans="2:17" ht="12.75">
      <c r="B22" s="70" t="s">
        <v>35</v>
      </c>
      <c r="C22" s="70" t="s">
        <v>251</v>
      </c>
      <c r="D22" s="70">
        <v>45</v>
      </c>
      <c r="E22" s="70" t="s">
        <v>206</v>
      </c>
      <c r="F22" s="70">
        <v>198</v>
      </c>
      <c r="Q22" s="70">
        <v>160</v>
      </c>
    </row>
    <row r="23" spans="2:17" ht="12.75">
      <c r="B23" s="70" t="s">
        <v>35</v>
      </c>
      <c r="C23" s="70" t="s">
        <v>252</v>
      </c>
      <c r="D23" s="70">
        <v>47</v>
      </c>
      <c r="E23" s="70" t="s">
        <v>206</v>
      </c>
      <c r="F23" s="70">
        <v>235</v>
      </c>
      <c r="Q23" s="70">
        <v>165</v>
      </c>
    </row>
    <row r="24" spans="2:17" ht="12.75">
      <c r="B24" s="70" t="s">
        <v>35</v>
      </c>
      <c r="C24" s="70" t="s">
        <v>253</v>
      </c>
      <c r="D24" s="70">
        <v>42</v>
      </c>
      <c r="E24" s="70" t="s">
        <v>205</v>
      </c>
      <c r="F24" s="70">
        <v>241.75</v>
      </c>
      <c r="Q24" s="70">
        <v>165</v>
      </c>
    </row>
    <row r="25" spans="2:17" ht="12.75">
      <c r="B25" s="70" t="s">
        <v>35</v>
      </c>
      <c r="C25" s="70" t="s">
        <v>254</v>
      </c>
      <c r="D25" s="70">
        <v>45</v>
      </c>
      <c r="E25" s="70" t="s">
        <v>206</v>
      </c>
      <c r="F25" s="70">
        <v>272.25</v>
      </c>
      <c r="Q25" s="70">
        <v>195</v>
      </c>
    </row>
    <row r="26" spans="2:17" ht="12.75">
      <c r="B26" s="70" t="s">
        <v>35</v>
      </c>
      <c r="C26" s="70" t="s">
        <v>255</v>
      </c>
      <c r="D26" s="70">
        <v>58</v>
      </c>
      <c r="E26" s="70" t="s">
        <v>208</v>
      </c>
      <c r="F26" s="70">
        <v>238.5</v>
      </c>
      <c r="Q26" s="70">
        <v>197.5</v>
      </c>
    </row>
    <row r="27" spans="2:23" ht="12.75">
      <c r="B27" s="70" t="s">
        <v>34</v>
      </c>
      <c r="C27" s="70" t="s">
        <v>256</v>
      </c>
      <c r="D27" s="70">
        <v>23</v>
      </c>
      <c r="E27" s="70" t="s">
        <v>203</v>
      </c>
      <c r="F27" s="70">
        <v>208</v>
      </c>
      <c r="K27" s="70">
        <v>165</v>
      </c>
      <c r="Q27" s="70">
        <v>125</v>
      </c>
      <c r="W27" s="70">
        <v>200</v>
      </c>
    </row>
    <row r="28" spans="2:23" ht="12.75">
      <c r="B28" s="70" t="s">
        <v>34</v>
      </c>
      <c r="C28" s="70" t="s">
        <v>257</v>
      </c>
      <c r="D28" s="70">
        <v>38</v>
      </c>
      <c r="E28" s="70" t="s">
        <v>204</v>
      </c>
      <c r="F28" s="70">
        <v>242</v>
      </c>
      <c r="K28" s="70">
        <v>185</v>
      </c>
      <c r="Q28" s="70">
        <v>147.5</v>
      </c>
      <c r="W28" s="70">
        <v>225</v>
      </c>
    </row>
    <row r="29" spans="2:23" ht="12.75">
      <c r="B29" s="70" t="s">
        <v>34</v>
      </c>
      <c r="C29" s="70" t="s">
        <v>258</v>
      </c>
      <c r="D29" s="70">
        <v>21</v>
      </c>
      <c r="E29" s="70" t="s">
        <v>203</v>
      </c>
      <c r="F29" s="70">
        <v>260</v>
      </c>
      <c r="K29" s="70">
        <v>215</v>
      </c>
      <c r="Q29" s="70">
        <v>140</v>
      </c>
      <c r="W29" s="70">
        <v>215</v>
      </c>
    </row>
    <row r="30" spans="2:23" ht="12.75">
      <c r="B30" s="70" t="s">
        <v>34</v>
      </c>
      <c r="C30" s="70" t="s">
        <v>259</v>
      </c>
      <c r="D30" s="70">
        <v>23</v>
      </c>
      <c r="E30" s="70" t="s">
        <v>203</v>
      </c>
      <c r="F30" s="70">
        <v>242</v>
      </c>
      <c r="K30" s="70">
        <v>250</v>
      </c>
      <c r="Q30" s="70">
        <v>190</v>
      </c>
      <c r="W30" s="70">
        <v>295</v>
      </c>
    </row>
    <row r="31" spans="2:23" ht="12.75">
      <c r="B31" s="70" t="s">
        <v>34</v>
      </c>
      <c r="C31" s="70" t="s">
        <v>260</v>
      </c>
      <c r="D31" s="70">
        <v>31</v>
      </c>
      <c r="E31" s="70" t="s">
        <v>213</v>
      </c>
      <c r="F31" s="70">
        <v>233</v>
      </c>
      <c r="K31" s="70">
        <v>292.5</v>
      </c>
      <c r="Q31" s="70">
        <v>202.5</v>
      </c>
      <c r="W31" s="70">
        <v>265</v>
      </c>
    </row>
    <row r="32" spans="2:23" ht="12.75">
      <c r="B32" s="70" t="s">
        <v>34</v>
      </c>
      <c r="C32" s="70" t="s">
        <v>261</v>
      </c>
      <c r="D32" s="70">
        <v>43</v>
      </c>
      <c r="E32" s="70" t="s">
        <v>213</v>
      </c>
      <c r="F32" s="70">
        <v>242</v>
      </c>
      <c r="K32" s="70">
        <v>295</v>
      </c>
      <c r="Q32" s="70">
        <v>205</v>
      </c>
      <c r="W32" s="70">
        <v>90</v>
      </c>
    </row>
    <row r="33" spans="2:23" ht="12.75">
      <c r="B33" s="70" t="s">
        <v>34</v>
      </c>
      <c r="C33" s="70" t="s">
        <v>262</v>
      </c>
      <c r="D33" s="70">
        <v>21</v>
      </c>
      <c r="E33" s="70" t="s">
        <v>213</v>
      </c>
      <c r="F33" s="70">
        <v>218</v>
      </c>
      <c r="K33" s="70">
        <v>320</v>
      </c>
      <c r="Q33" s="70">
        <v>210</v>
      </c>
      <c r="W33" s="70">
        <v>240</v>
      </c>
    </row>
    <row r="34" spans="2:23" ht="12.75">
      <c r="B34" s="70" t="s">
        <v>34</v>
      </c>
      <c r="C34" s="70" t="s">
        <v>263</v>
      </c>
      <c r="D34" s="70">
        <v>22</v>
      </c>
      <c r="E34" s="70" t="s">
        <v>213</v>
      </c>
      <c r="F34" s="70">
        <v>270</v>
      </c>
      <c r="K34" s="70">
        <v>320</v>
      </c>
      <c r="Q34" s="70">
        <v>255</v>
      </c>
      <c r="W34" s="70">
        <v>282.5</v>
      </c>
    </row>
    <row r="35" spans="2:23" ht="12.75">
      <c r="B35" s="70" t="s">
        <v>34</v>
      </c>
      <c r="C35" s="70" t="s">
        <v>264</v>
      </c>
      <c r="D35" s="70">
        <v>38</v>
      </c>
      <c r="E35" s="70" t="s">
        <v>213</v>
      </c>
      <c r="F35" s="70">
        <v>274</v>
      </c>
      <c r="K35" s="70">
        <v>435</v>
      </c>
      <c r="Q35" s="70">
        <v>300</v>
      </c>
      <c r="W35" s="70">
        <v>312.5</v>
      </c>
    </row>
    <row r="36" spans="2:23" ht="12.75">
      <c r="B36" s="70" t="s">
        <v>34</v>
      </c>
      <c r="C36" s="70" t="s">
        <v>265</v>
      </c>
      <c r="D36" s="70">
        <v>39</v>
      </c>
      <c r="E36" s="70" t="s">
        <v>213</v>
      </c>
      <c r="F36" s="70">
        <v>345</v>
      </c>
      <c r="K36" s="70">
        <v>445</v>
      </c>
      <c r="Q36" s="70">
        <v>320</v>
      </c>
      <c r="W36" s="70">
        <v>320</v>
      </c>
    </row>
  </sheetData>
  <sheetProtection/>
  <conditionalFormatting sqref="A2:AI65536">
    <cfRule type="expression" priority="1" dxfId="18" stopIfTrue="1">
      <formula>AND(ROW(A2)=$CC$1,COLUMN(A2)=$CC$2)</formula>
    </cfRule>
    <cfRule type="expression" priority="2" dxfId="150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48"/>
  <sheetViews>
    <sheetView showGridLines="0" zoomScalePageLayoutView="0" workbookViewId="0" topLeftCell="A1">
      <pane xSplit="9" ySplit="8" topLeftCell="K2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43" sqref="A43:IV43"/>
    </sheetView>
  </sheetViews>
  <sheetFormatPr defaultColWidth="9.140625" defaultRowHeight="12.75"/>
  <cols>
    <col min="1" max="1" width="13.421875" style="36" hidden="1" customWidth="1"/>
    <col min="2" max="2" width="3.57421875" style="35" customWidth="1"/>
    <col min="3" max="3" width="18.57421875" style="35" customWidth="1"/>
    <col min="4" max="6" width="6.00390625" style="35" customWidth="1"/>
    <col min="7" max="7" width="6.140625" style="35" customWidth="1"/>
    <col min="8" max="8" width="7.7109375" style="35" customWidth="1"/>
    <col min="9" max="9" width="4.57421875" style="35" customWidth="1"/>
    <col min="10" max="10" width="5.57421875" style="43" customWidth="1"/>
    <col min="11" max="12" width="7.140625" style="35" customWidth="1"/>
    <col min="13" max="13" width="7.00390625" style="35" customWidth="1"/>
    <col min="14" max="14" width="7.140625" style="35" hidden="1" customWidth="1"/>
    <col min="15" max="15" width="7.140625" style="35" customWidth="1"/>
    <col min="16" max="16" width="4.7109375" style="238" customWidth="1"/>
    <col min="17" max="19" width="7.140625" style="35" customWidth="1"/>
    <col min="20" max="20" width="7.140625" style="35" hidden="1" customWidth="1"/>
    <col min="21" max="25" width="7.140625" style="35" customWidth="1"/>
    <col min="26" max="26" width="7.140625" style="35" hidden="1" customWidth="1"/>
    <col min="27" max="27" width="7.140625" style="35" customWidth="1"/>
    <col min="28" max="28" width="8.7109375" style="35" customWidth="1"/>
    <col min="29" max="30" width="7.8515625" style="35" customWidth="1"/>
    <col min="31" max="31" width="5.140625" style="35" customWidth="1"/>
    <col min="32" max="32" width="11.140625" style="35" customWidth="1"/>
    <col min="33" max="33" width="4.8515625" style="36" customWidth="1"/>
    <col min="34" max="34" width="11.8515625" style="69" customWidth="1"/>
    <col min="35" max="35" width="10.7109375" style="1" customWidth="1"/>
    <col min="36" max="36" width="6.57421875" style="43" hidden="1" customWidth="1"/>
    <col min="37" max="38" width="9.140625" style="36" hidden="1" customWidth="1"/>
    <col min="39" max="39" width="8.28125" style="35" hidden="1" customWidth="1"/>
    <col min="40" max="40" width="8.00390625" style="35" hidden="1" customWidth="1"/>
    <col min="41" max="42" width="7.140625" style="35" hidden="1" customWidth="1"/>
    <col min="43" max="43" width="7.57421875" style="35" hidden="1" customWidth="1"/>
    <col min="44" max="44" width="18.57421875" style="199" hidden="1" customWidth="1"/>
    <col min="45" max="45" width="7.140625" style="35" hidden="1" customWidth="1"/>
    <col min="46" max="47" width="8.140625" style="35" hidden="1" customWidth="1"/>
    <col min="48" max="48" width="9.140625" style="36" hidden="1" customWidth="1"/>
    <col min="49" max="49" width="9.140625" style="195" hidden="1" customWidth="1"/>
    <col min="50" max="50" width="9.140625" style="36" hidden="1" customWidth="1"/>
    <col min="51" max="51" width="18.57421875" style="199" hidden="1" customWidth="1"/>
    <col min="52" max="52" width="9.140625" style="32" hidden="1" customWidth="1"/>
    <col min="53" max="53" width="12.8515625" style="32" hidden="1" customWidth="1"/>
    <col min="54" max="65" width="9.140625" style="32" hidden="1" customWidth="1"/>
    <col min="66" max="66" width="9.140625" style="44" hidden="1" customWidth="1"/>
    <col min="67" max="105" width="9.140625" style="36" hidden="1" customWidth="1"/>
    <col min="106" max="16384" width="9.140625" style="36" customWidth="1"/>
  </cols>
  <sheetData>
    <row r="1" spans="1:69" s="22" customFormat="1" ht="24.75" customHeight="1" hidden="1" thickBot="1">
      <c r="A1" s="20">
        <f ca="1">COUNTIF(INDIRECT(AG1),RIGHT(B8,1))</f>
        <v>17</v>
      </c>
      <c r="B1" s="340" t="s">
        <v>78</v>
      </c>
      <c r="C1" s="345"/>
      <c r="D1" s="345"/>
      <c r="E1" s="341"/>
      <c r="F1" s="340" t="s">
        <v>29</v>
      </c>
      <c r="G1" s="341"/>
      <c r="H1" s="340" t="s">
        <v>42</v>
      </c>
      <c r="I1" s="341"/>
      <c r="J1" s="45">
        <f>IF(ISERROR(A2),1,0)</f>
        <v>0</v>
      </c>
      <c r="K1" s="21"/>
      <c r="L1" s="21"/>
      <c r="M1" s="21"/>
      <c r="N1" s="21"/>
      <c r="O1" s="21"/>
      <c r="P1" s="233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18" t="str">
        <f>CONCATENATE("$b$9:$b$",$AF$7)</f>
        <v>$b$9:$b$48</v>
      </c>
      <c r="AH1" s="21"/>
      <c r="AI1" s="125" t="str">
        <f>CONCATENATE("Setup!O7:O",COUNTA(Setup!O:O)+4)</f>
        <v>Setup!O7:O22</v>
      </c>
      <c r="AJ1" s="21"/>
      <c r="AM1" s="21"/>
      <c r="AN1" s="21"/>
      <c r="AQ1" s="21"/>
      <c r="AR1" s="196"/>
      <c r="AS1" s="21"/>
      <c r="AT1" s="21"/>
      <c r="AU1" s="21"/>
      <c r="AW1" s="191"/>
      <c r="AY1" s="196"/>
      <c r="AZ1" s="126" t="s">
        <v>69</v>
      </c>
      <c r="BA1" s="125" t="str">
        <f>VLOOKUP($AZ$1,$AZ$2:$BM$6,2,FALSE)</f>
        <v>$BB$1:$BM$1</v>
      </c>
      <c r="BB1" s="125" t="str">
        <f>VLOOKUP($AZ$1,$AZ$2:$BM$6,3,FALSE)</f>
        <v> Squat  1</v>
      </c>
      <c r="BC1" s="125" t="str">
        <f>VLOOKUP($AZ$1,$AZ$2:$BM$6,4,FALSE)</f>
        <v> Squat  2</v>
      </c>
      <c r="BD1" s="125" t="str">
        <f>VLOOKUP($AZ$1,$AZ$2:$BM$6,5,FALSE)</f>
        <v> Squat  3</v>
      </c>
      <c r="BE1" s="125" t="str">
        <f>VLOOKUP($AZ$1,$AZ$2:$BM$6,6,FALSE)</f>
        <v> Squat  4</v>
      </c>
      <c r="BF1" s="125" t="str">
        <f>VLOOKUP($AZ$1,$AZ$2:$BM$6,7,FALSE)</f>
        <v>Bench 1</v>
      </c>
      <c r="BG1" s="125" t="str">
        <f>VLOOKUP($AZ$1,$AZ$2:$BM$6,8,FALSE)</f>
        <v>Bench 2</v>
      </c>
      <c r="BH1" s="125" t="str">
        <f>VLOOKUP($AZ$1,$AZ$2:$BM$6,9,FALSE)</f>
        <v>Bench 3</v>
      </c>
      <c r="BI1" s="125" t="str">
        <f>VLOOKUP($AZ$1,$AZ$2:$BM$6,10,FALSE)</f>
        <v>Bench 4</v>
      </c>
      <c r="BJ1" s="125" t="str">
        <f>VLOOKUP($AZ$1,$AZ$2:$BM$6,11,FALSE)</f>
        <v>Deadlift 1</v>
      </c>
      <c r="BK1" s="125" t="str">
        <f>VLOOKUP($AZ$1,$AZ$2:$BM$6,12,FALSE)</f>
        <v>Deadlift 2</v>
      </c>
      <c r="BL1" s="125" t="str">
        <f>VLOOKUP($AZ$1,$AZ$2:$BM$6,13,FALSE)</f>
        <v>Deadlift 3</v>
      </c>
      <c r="BM1" s="125" t="str">
        <f>VLOOKUP($AZ$1,$AZ$2:$BM$6,14,FALSE)</f>
        <v>Deadlift 4</v>
      </c>
      <c r="BN1" s="23"/>
      <c r="BP1" s="27" t="s">
        <v>33</v>
      </c>
      <c r="BQ1" s="27">
        <f>IF(BP1=RIGHT($B$8,1),0,BQ8+1)</f>
        <v>6</v>
      </c>
    </row>
    <row r="2" spans="1:176" s="31" customFormat="1" ht="31.5" customHeight="1" thickBot="1">
      <c r="A2" s="24" t="str">
        <f ca="1">CONCATENATE(CHOOSE(MATCH(B3,K8:Z8,0),"K","L","M","N","O","P","Q","R","S","T","U","V","W","X","Y","Z"),MATCH(B2,INDIRECT(A7),0)+9,)</f>
        <v>Y17</v>
      </c>
      <c r="B2" s="353" t="s">
        <v>244</v>
      </c>
      <c r="C2" s="354"/>
      <c r="D2" s="354"/>
      <c r="E2" s="355"/>
      <c r="F2" s="342" t="str">
        <f ca="1">INDIRECT(CONCATENATE("E",A4))</f>
        <v>M-T</v>
      </c>
      <c r="G2" s="343"/>
      <c r="H2" s="25">
        <f ca="1">IF(INDIRECT(CONCATENATE("G",A4))="SHW","SHW",ROUND(INDIRECT(CONCATENATE("G",A4)),1))</f>
        <v>198</v>
      </c>
      <c r="I2" s="91" t="str">
        <f>IF(H2="SHW","",IF(G8="WtCls (Kg)","Kg","Lb"))</f>
        <v>Lb</v>
      </c>
      <c r="J2" s="30"/>
      <c r="K2" s="26"/>
      <c r="L2" s="26"/>
      <c r="M2" s="26"/>
      <c r="N2" s="27"/>
      <c r="O2" s="28"/>
      <c r="P2" s="234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46"/>
      <c r="AF2" s="116"/>
      <c r="AG2" s="116"/>
      <c r="AH2" s="117"/>
      <c r="AI2" s="30"/>
      <c r="AJ2" s="27"/>
      <c r="AK2" s="30"/>
      <c r="AL2" s="30"/>
      <c r="AM2" s="27"/>
      <c r="AN2" s="27"/>
      <c r="AQ2" s="27"/>
      <c r="AR2" s="197"/>
      <c r="AS2" s="27"/>
      <c r="AT2" s="27"/>
      <c r="AU2" s="27"/>
      <c r="AV2" s="30"/>
      <c r="AW2" s="192"/>
      <c r="AX2" s="30"/>
      <c r="AY2" s="197"/>
      <c r="AZ2" s="129" t="s">
        <v>15</v>
      </c>
      <c r="BA2" s="129" t="s">
        <v>70</v>
      </c>
      <c r="BB2" s="122" t="s">
        <v>12</v>
      </c>
      <c r="BC2" s="122" t="s">
        <v>13</v>
      </c>
      <c r="BD2" s="122" t="s">
        <v>14</v>
      </c>
      <c r="BE2" s="122" t="s">
        <v>158</v>
      </c>
      <c r="BF2" s="130"/>
      <c r="BG2" s="122"/>
      <c r="BH2" s="122"/>
      <c r="BI2" s="122"/>
      <c r="BJ2" s="122"/>
      <c r="BK2" s="122"/>
      <c r="BL2" s="122"/>
      <c r="BM2" s="122"/>
      <c r="BN2" s="30"/>
      <c r="BO2" s="30"/>
      <c r="BP2" s="27" t="s">
        <v>34</v>
      </c>
      <c r="BQ2" s="27">
        <f>IF(BP2=RIGHT($B$8,1),0,BQ1+1)</f>
        <v>7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</row>
    <row r="3" spans="1:176" ht="25.5" customHeight="1" thickBot="1">
      <c r="A3" s="34">
        <f>MATCH(B3,K8:Z8,0)+10</f>
        <v>25</v>
      </c>
      <c r="B3" s="349" t="s">
        <v>19</v>
      </c>
      <c r="C3" s="350"/>
      <c r="D3" s="348">
        <f ca="1">INDIRECT(A2)</f>
        <v>0</v>
      </c>
      <c r="E3" s="344"/>
      <c r="F3" s="344"/>
      <c r="G3" s="108" t="str">
        <f>Setup!H4</f>
        <v>Kg</v>
      </c>
      <c r="H3" s="29">
        <f>ABS(D3)</f>
        <v>0</v>
      </c>
      <c r="I3" s="92">
        <f>-1*H3</f>
        <v>0</v>
      </c>
      <c r="J3" s="27"/>
      <c r="K3" s="27"/>
      <c r="L3" s="27"/>
      <c r="M3" s="27"/>
      <c r="N3" s="27"/>
      <c r="O3" s="28"/>
      <c r="P3" s="235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47"/>
      <c r="AF3" s="117"/>
      <c r="AG3" s="116"/>
      <c r="AH3" s="117"/>
      <c r="AI3" s="67"/>
      <c r="AJ3" s="27"/>
      <c r="AK3" s="30"/>
      <c r="AL3" s="30"/>
      <c r="AM3" s="27"/>
      <c r="AN3" s="27"/>
      <c r="AQ3" s="27"/>
      <c r="AR3" s="197"/>
      <c r="AS3" s="27"/>
      <c r="AT3" s="27"/>
      <c r="AU3" s="27"/>
      <c r="AV3" s="30"/>
      <c r="AW3" s="192"/>
      <c r="AX3" s="30"/>
      <c r="AY3" s="197"/>
      <c r="AZ3" s="129" t="s">
        <v>21</v>
      </c>
      <c r="BA3" s="129" t="s">
        <v>70</v>
      </c>
      <c r="BB3" s="122" t="s">
        <v>17</v>
      </c>
      <c r="BC3" s="122" t="s">
        <v>18</v>
      </c>
      <c r="BD3" s="122" t="s">
        <v>19</v>
      </c>
      <c r="BE3" s="122" t="s">
        <v>20</v>
      </c>
      <c r="BF3" s="122"/>
      <c r="BG3" s="122"/>
      <c r="BH3" s="122"/>
      <c r="BI3" s="122"/>
      <c r="BJ3" s="122"/>
      <c r="BK3" s="122"/>
      <c r="BL3" s="122"/>
      <c r="BM3" s="122"/>
      <c r="BN3" s="122"/>
      <c r="BO3" s="30"/>
      <c r="BP3" s="27" t="s">
        <v>35</v>
      </c>
      <c r="BQ3" s="27">
        <f aca="true" t="shared" si="0" ref="BQ3:BQ8">IF(BP3=RIGHT($B$8,1),0,BQ2+1)</f>
        <v>0</v>
      </c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</row>
    <row r="4" spans="1:176" s="38" customFormat="1" ht="25.5" customHeight="1" thickBot="1">
      <c r="A4" s="37">
        <f ca="1">MATCH(B2,INDIRECT(A7),0)+9</f>
        <v>17</v>
      </c>
      <c r="B4" s="351" t="str">
        <f ca="1">IF(LEFT(B3,1)="D",CONCATENATE("Place - ",INDIRECT(CONCATENATE("AV",A4))),CONCATENATE("Rack - ",IF(LEFT(B3,2)=" S",INDIRECT(CONCATENATE("J",A4)),INDIRECT(CONCATENATE("P",A4)))))</f>
        <v>Place - 1</v>
      </c>
      <c r="C4" s="352"/>
      <c r="D4" s="344">
        <f>IF(G4="Lb",2.2046*D3,D3/2.2046)</f>
        <v>0</v>
      </c>
      <c r="E4" s="344"/>
      <c r="F4" s="344"/>
      <c r="G4" s="112" t="str">
        <f>IF(G3="Kg","Lb","Kg")</f>
        <v>Lb</v>
      </c>
      <c r="H4" s="113" t="s">
        <v>272</v>
      </c>
      <c r="I4" s="114"/>
      <c r="J4" s="30"/>
      <c r="K4" s="27"/>
      <c r="L4" s="27"/>
      <c r="M4" s="27"/>
      <c r="N4" s="27"/>
      <c r="O4" s="27"/>
      <c r="P4" s="235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47"/>
      <c r="AF4" s="116"/>
      <c r="AG4" s="116"/>
      <c r="AH4" s="117"/>
      <c r="AI4" s="30"/>
      <c r="AJ4" s="27"/>
      <c r="AK4" s="30"/>
      <c r="AL4" s="30"/>
      <c r="AM4" s="27"/>
      <c r="AN4" s="27"/>
      <c r="AQ4" s="27"/>
      <c r="AR4" s="197"/>
      <c r="AS4" s="27"/>
      <c r="AT4" s="27"/>
      <c r="AU4" s="27"/>
      <c r="AV4" s="30"/>
      <c r="AW4" s="192"/>
      <c r="AX4" s="30"/>
      <c r="AY4" s="197"/>
      <c r="AZ4" s="129" t="s">
        <v>11</v>
      </c>
      <c r="BA4" s="129" t="s">
        <v>70</v>
      </c>
      <c r="BB4" s="122" t="s">
        <v>22</v>
      </c>
      <c r="BC4" s="122" t="s">
        <v>23</v>
      </c>
      <c r="BD4" s="122" t="s">
        <v>24</v>
      </c>
      <c r="BE4" s="122" t="s">
        <v>25</v>
      </c>
      <c r="BF4" s="122"/>
      <c r="BG4" s="122"/>
      <c r="BH4" s="122"/>
      <c r="BI4" s="122"/>
      <c r="BJ4" s="122"/>
      <c r="BK4" s="122"/>
      <c r="BL4" s="122"/>
      <c r="BM4" s="122"/>
      <c r="BN4" s="30"/>
      <c r="BO4" s="30"/>
      <c r="BP4" s="131" t="s">
        <v>36</v>
      </c>
      <c r="BQ4" s="27">
        <f t="shared" si="0"/>
        <v>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</row>
    <row r="5" spans="1:69" s="30" customFormat="1" ht="21" customHeight="1">
      <c r="A5" s="39" t="str">
        <f>CONCATENATE(IF(AND($A$3&gt;10,$A$3&lt;15),"O",IF(AND($A$3&gt;16,$A$3&lt;21),"U","AA")),$A$4)</f>
        <v>AA17</v>
      </c>
      <c r="B5" s="109"/>
      <c r="C5" s="110"/>
      <c r="D5" s="110"/>
      <c r="E5" s="110"/>
      <c r="F5" s="110"/>
      <c r="G5" s="110"/>
      <c r="H5" s="110"/>
      <c r="I5" s="111"/>
      <c r="J5" s="68"/>
      <c r="K5" s="27"/>
      <c r="L5" s="27"/>
      <c r="M5" s="27"/>
      <c r="N5" s="27"/>
      <c r="O5" s="27"/>
      <c r="P5" s="235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47"/>
      <c r="AF5" s="116"/>
      <c r="AG5" s="116"/>
      <c r="AH5" s="117"/>
      <c r="AJ5" s="27"/>
      <c r="AM5" s="27"/>
      <c r="AN5" s="27"/>
      <c r="AQ5" s="27"/>
      <c r="AR5" s="197"/>
      <c r="AS5" s="27"/>
      <c r="AT5" s="27"/>
      <c r="AU5" s="27"/>
      <c r="AW5" s="192"/>
      <c r="AY5" s="197"/>
      <c r="AZ5" s="129" t="s">
        <v>69</v>
      </c>
      <c r="BA5" s="129" t="s">
        <v>71</v>
      </c>
      <c r="BB5" s="122" t="s">
        <v>22</v>
      </c>
      <c r="BC5" s="122" t="s">
        <v>23</v>
      </c>
      <c r="BD5" s="122" t="s">
        <v>24</v>
      </c>
      <c r="BE5" s="122" t="s">
        <v>25</v>
      </c>
      <c r="BF5" s="122" t="s">
        <v>12</v>
      </c>
      <c r="BG5" s="122" t="s">
        <v>13</v>
      </c>
      <c r="BH5" s="122" t="s">
        <v>14</v>
      </c>
      <c r="BI5" s="122" t="s">
        <v>158</v>
      </c>
      <c r="BJ5" s="122" t="s">
        <v>17</v>
      </c>
      <c r="BK5" s="122" t="s">
        <v>18</v>
      </c>
      <c r="BL5" s="122" t="s">
        <v>19</v>
      </c>
      <c r="BM5" s="122" t="s">
        <v>20</v>
      </c>
      <c r="BP5" s="27" t="s">
        <v>167</v>
      </c>
      <c r="BQ5" s="27">
        <f t="shared" si="0"/>
        <v>2</v>
      </c>
    </row>
    <row r="6" spans="1:69" s="30" customFormat="1" ht="21" customHeight="1" thickBot="1">
      <c r="A6" s="39" t="str">
        <f>CONCATENATE(IF(AND($A$3&gt;10,$A$3&lt;15),"O",IF(AND($A$3&gt;16,$A$3&lt;21),"U","AA")),1)</f>
        <v>AA1</v>
      </c>
      <c r="B6" s="93"/>
      <c r="C6" s="94"/>
      <c r="D6" s="94"/>
      <c r="E6" s="94"/>
      <c r="F6" s="94"/>
      <c r="G6" s="94"/>
      <c r="H6" s="338" t="s">
        <v>159</v>
      </c>
      <c r="I6" s="339"/>
      <c r="K6" s="27"/>
      <c r="L6" s="27"/>
      <c r="M6" s="27"/>
      <c r="N6" s="27"/>
      <c r="O6" s="27"/>
      <c r="P6" s="235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47"/>
      <c r="AF6" s="117">
        <f>A1+10</f>
        <v>27</v>
      </c>
      <c r="AG6" s="122"/>
      <c r="AH6" s="117"/>
      <c r="AJ6" s="27"/>
      <c r="AM6" s="27"/>
      <c r="AN6" s="27"/>
      <c r="AO6" s="27"/>
      <c r="AP6" s="27"/>
      <c r="AQ6" s="27"/>
      <c r="AR6" s="197"/>
      <c r="AS6" s="27"/>
      <c r="AT6" s="27"/>
      <c r="AU6" s="27"/>
      <c r="AW6" s="192"/>
      <c r="AY6" s="197"/>
      <c r="AZ6" s="129" t="s">
        <v>68</v>
      </c>
      <c r="BA6" s="129" t="s">
        <v>72</v>
      </c>
      <c r="BB6" s="122" t="s">
        <v>12</v>
      </c>
      <c r="BC6" s="122" t="s">
        <v>13</v>
      </c>
      <c r="BD6" s="122" t="s">
        <v>14</v>
      </c>
      <c r="BE6" s="122" t="s">
        <v>158</v>
      </c>
      <c r="BF6" s="122" t="s">
        <v>17</v>
      </c>
      <c r="BG6" s="122" t="s">
        <v>18</v>
      </c>
      <c r="BH6" s="122" t="s">
        <v>19</v>
      </c>
      <c r="BI6" s="122" t="s">
        <v>20</v>
      </c>
      <c r="BJ6" s="130"/>
      <c r="BK6" s="122"/>
      <c r="BL6" s="122"/>
      <c r="BM6" s="122"/>
      <c r="BP6" s="27" t="s">
        <v>168</v>
      </c>
      <c r="BQ6" s="27">
        <f t="shared" si="0"/>
        <v>3</v>
      </c>
    </row>
    <row r="7" spans="1:69" s="30" customFormat="1" ht="21" customHeight="1" hidden="1" thickBot="1">
      <c r="A7" s="40" t="str">
        <f>CONCATENATE("$C$10:$C$",A1+9)</f>
        <v>$C$10:$C$26</v>
      </c>
      <c r="B7" s="95"/>
      <c r="C7" s="95"/>
      <c r="D7" s="95"/>
      <c r="E7" s="95"/>
      <c r="F7" s="95"/>
      <c r="G7" s="95"/>
      <c r="H7" s="95"/>
      <c r="I7" s="95"/>
      <c r="J7" s="28"/>
      <c r="K7" s="27"/>
      <c r="L7" s="27"/>
      <c r="M7" s="27"/>
      <c r="N7" s="27"/>
      <c r="O7" s="27"/>
      <c r="P7" s="23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17">
        <v>48</v>
      </c>
      <c r="AG7" s="118" t="str">
        <f>CONCATENATE("$AG$9:$AG$",$AF$7)</f>
        <v>$AG$9:$AG$48</v>
      </c>
      <c r="AH7" s="117"/>
      <c r="AI7" s="31"/>
      <c r="AJ7" s="27" t="str">
        <f>IF($AB$8="PL Total","PL",IF($AB$8="Push Pull Total","PP",IF($AB$8="Best Squat","SQ",IF($AB$8="Best Bench","BP","DL"))))</f>
        <v>PL</v>
      </c>
      <c r="AM7" s="27"/>
      <c r="AN7" s="27"/>
      <c r="AO7" s="27"/>
      <c r="AP7" s="27"/>
      <c r="AQ7" s="27"/>
      <c r="AR7" s="197"/>
      <c r="AS7" s="27" t="str">
        <f>CONCATENATE("AR10:AR",AF7)</f>
        <v>AR10:AR48</v>
      </c>
      <c r="AT7" s="27"/>
      <c r="AU7" s="27" t="str">
        <f>CONCATENATE("AT10:AT",AF7)</f>
        <v>AT10:AT48</v>
      </c>
      <c r="AW7" s="192"/>
      <c r="AY7" s="197"/>
      <c r="AZ7" s="127"/>
      <c r="BA7" s="127"/>
      <c r="BB7" s="128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P7" s="27" t="s">
        <v>169</v>
      </c>
      <c r="BQ7" s="27">
        <f t="shared" si="0"/>
        <v>4</v>
      </c>
    </row>
    <row r="8" spans="1:124" s="103" customFormat="1" ht="28.5" customHeight="1" thickBot="1">
      <c r="A8" s="97" t="s">
        <v>32</v>
      </c>
      <c r="B8" s="98" t="s">
        <v>271</v>
      </c>
      <c r="C8" s="99" t="s">
        <v>0</v>
      </c>
      <c r="D8" s="100" t="s">
        <v>1</v>
      </c>
      <c r="E8" s="101" t="s">
        <v>29</v>
      </c>
      <c r="F8" s="101" t="str">
        <f>Setup!K6</f>
        <v>BWt (Lb)</v>
      </c>
      <c r="G8" s="101" t="str">
        <f>IF(F8="BWt (Kg)","WtCls (Kg)","WtCls (Lb)")</f>
        <v>WtCls (Lb)</v>
      </c>
      <c r="H8" s="107" t="str">
        <f>Setup!K30</f>
        <v>Wilks</v>
      </c>
      <c r="I8" s="101" t="s">
        <v>2</v>
      </c>
      <c r="J8" s="100" t="s">
        <v>26</v>
      </c>
      <c r="K8" s="102" t="s">
        <v>22</v>
      </c>
      <c r="L8" s="102" t="s">
        <v>23</v>
      </c>
      <c r="M8" s="102" t="s">
        <v>24</v>
      </c>
      <c r="N8" s="102" t="s">
        <v>25</v>
      </c>
      <c r="O8" s="101" t="s">
        <v>11</v>
      </c>
      <c r="P8" s="236" t="s">
        <v>27</v>
      </c>
      <c r="Q8" s="102" t="s">
        <v>12</v>
      </c>
      <c r="R8" s="102" t="s">
        <v>13</v>
      </c>
      <c r="S8" s="102" t="s">
        <v>14</v>
      </c>
      <c r="T8" s="102" t="s">
        <v>158</v>
      </c>
      <c r="U8" s="101" t="s">
        <v>15</v>
      </c>
      <c r="V8" s="101" t="s">
        <v>16</v>
      </c>
      <c r="W8" s="102" t="s">
        <v>17</v>
      </c>
      <c r="X8" s="102" t="s">
        <v>18</v>
      </c>
      <c r="Y8" s="102" t="s">
        <v>19</v>
      </c>
      <c r="Z8" s="102" t="s">
        <v>20</v>
      </c>
      <c r="AA8" s="102" t="s">
        <v>21</v>
      </c>
      <c r="AB8" s="119" t="s">
        <v>69</v>
      </c>
      <c r="AC8" s="101" t="s">
        <v>135</v>
      </c>
      <c r="AD8" s="101" t="s">
        <v>140</v>
      </c>
      <c r="AE8" s="101" t="s">
        <v>183</v>
      </c>
      <c r="AF8" s="101" t="s">
        <v>31</v>
      </c>
      <c r="AG8" s="101" t="s">
        <v>184</v>
      </c>
      <c r="AH8" s="123" t="s">
        <v>45</v>
      </c>
      <c r="AI8" s="123" t="s">
        <v>146</v>
      </c>
      <c r="AJ8" s="123" t="s">
        <v>147</v>
      </c>
      <c r="AK8" s="123" t="s">
        <v>37</v>
      </c>
      <c r="AL8" s="123" t="s">
        <v>39</v>
      </c>
      <c r="AM8" s="123" t="s">
        <v>69</v>
      </c>
      <c r="AN8" s="138" t="s">
        <v>68</v>
      </c>
      <c r="AO8" s="123" t="s">
        <v>157</v>
      </c>
      <c r="AP8" s="123"/>
      <c r="AQ8" s="123" t="s">
        <v>156</v>
      </c>
      <c r="AR8" s="198" t="s">
        <v>143</v>
      </c>
      <c r="AS8" s="123" t="s">
        <v>144</v>
      </c>
      <c r="AT8" s="123" t="s">
        <v>185</v>
      </c>
      <c r="AU8" s="123" t="s">
        <v>186</v>
      </c>
      <c r="AV8" s="123" t="s">
        <v>187</v>
      </c>
      <c r="AW8" s="193" t="s">
        <v>193</v>
      </c>
      <c r="AX8" s="103" t="s">
        <v>194</v>
      </c>
      <c r="AY8" s="198" t="s">
        <v>198</v>
      </c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31" t="s">
        <v>170</v>
      </c>
      <c r="BQ8" s="27">
        <f t="shared" si="0"/>
        <v>5</v>
      </c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 t="s">
        <v>125</v>
      </c>
      <c r="CK8" s="123" t="s">
        <v>22</v>
      </c>
      <c r="CL8" s="123" t="s">
        <v>23</v>
      </c>
      <c r="CM8" s="123" t="s">
        <v>24</v>
      </c>
      <c r="CN8" s="123" t="s">
        <v>25</v>
      </c>
      <c r="CO8" s="123" t="s">
        <v>11</v>
      </c>
      <c r="CP8" s="123" t="s">
        <v>27</v>
      </c>
      <c r="CQ8" s="123" t="s">
        <v>12</v>
      </c>
      <c r="CR8" s="123" t="s">
        <v>13</v>
      </c>
      <c r="CS8" s="123" t="s">
        <v>14</v>
      </c>
      <c r="CT8" s="123" t="s">
        <v>28</v>
      </c>
      <c r="CU8" s="123" t="s">
        <v>15</v>
      </c>
      <c r="CV8" s="123" t="s">
        <v>16</v>
      </c>
      <c r="CW8" s="123" t="s">
        <v>17</v>
      </c>
      <c r="CX8" s="123" t="s">
        <v>18</v>
      </c>
      <c r="CY8" s="123" t="s">
        <v>19</v>
      </c>
      <c r="CZ8" s="123" t="s">
        <v>20</v>
      </c>
      <c r="DA8" s="123" t="s">
        <v>21</v>
      </c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</row>
    <row r="9" spans="1:104" s="31" customFormat="1" ht="12.75" hidden="1">
      <c r="A9" s="36">
        <f>IF(K9,ABS(K9)+0.0001*I9,"")</f>
      </c>
      <c r="B9" s="19"/>
      <c r="C9" s="232"/>
      <c r="D9" s="19"/>
      <c r="E9" s="19"/>
      <c r="F9" s="19"/>
      <c r="G9" s="42">
        <f>IF(OR(E9="",F9=""),"",IF(LEFT(E9,1)="M",VLOOKUP(F9,Setup!$J$9:$K$23,2,TRUE),VLOOKUP(F9,Setup!$L$9:$M$23,2,TRUE)))</f>
      </c>
      <c r="H9" s="42">
        <f>IF(F9="",0,VLOOKUP(AL9,DATA!$L$2:$N$1910,IF(LEFT(E9,1)="F",3,2)))</f>
        <v>0</v>
      </c>
      <c r="I9" s="19"/>
      <c r="J9" s="19"/>
      <c r="K9" s="133"/>
      <c r="L9" s="133"/>
      <c r="M9" s="133"/>
      <c r="N9" s="133"/>
      <c r="O9" s="134">
        <f aca="true" t="shared" si="1" ref="O9:O48">IF(MAX(CK9:CM9)&gt;0,MAX(ABS(K9)*CK9,ABS(L9)*CL9,CM9*ABS(M9)),0)</f>
        <v>0</v>
      </c>
      <c r="P9" s="237"/>
      <c r="Q9" s="133"/>
      <c r="R9" s="133"/>
      <c r="S9" s="133"/>
      <c r="T9" s="133"/>
      <c r="U9" s="134">
        <f aca="true" t="shared" si="2" ref="U9:U48">IF(MAX(CQ9:CS9)&gt;0,MAX(ABS(Q9)*CQ9,ABS(R9)*CR9,CS9*ABS(S9)),0)</f>
        <v>0</v>
      </c>
      <c r="V9" s="135">
        <f aca="true" t="shared" si="3" ref="V9:V48">IF(OR(O9=0,U9=0),0,O9+U9)</f>
        <v>0</v>
      </c>
      <c r="W9" s="133"/>
      <c r="X9" s="133"/>
      <c r="Y9" s="133"/>
      <c r="Z9" s="133"/>
      <c r="AA9" s="134">
        <f aca="true" t="shared" si="4" ref="AA9:AA48">IF(MAX(CW9:CY9)&gt;0,MAX(ABS(W9)*CW9,ABS(X9)*CX9,CY9*ABS(Y9)),0)</f>
        <v>0</v>
      </c>
      <c r="AB9" s="135">
        <f aca="true" t="shared" si="5" ref="AB9:AB48">AJ9*IF($AB$8="PL Total",AM9,IF($AB$8="Push Pull Total",AN9,IF($AB$8="Best Squat",O9,IF($AB$8="Best Bench",U9,AA9))))</f>
        <v>0</v>
      </c>
      <c r="AC9" s="136">
        <f aca="true" t="shared" si="6" ref="AC9:AC48">IF(OR(F9="",AB9=0),0,AB9*H9)</f>
        <v>0</v>
      </c>
      <c r="AD9" s="136">
        <f>IF(OR(AB9=0,D9="",AND(D9&lt;40,D9&gt;22)),0,VLOOKUP($D9,DATA!$A$2:$B$53,2,TRUE)*AC9)</f>
        <v>0</v>
      </c>
      <c r="AE9" s="210">
        <f ca="1">IF(E9="","",OFFSET(Setup!$Q$1,MATCH(E9,Setup!O:O,0)-1,0))</f>
      </c>
      <c r="AF9" s="134">
        <f aca="true" t="shared" si="7" ref="AF9:AF48">IF(OR(AB9=0,AR9=0),0,CONCATENATE(AV9,"-",E9,IF(AE9=1,"-",""),IF(AE9=1,IF(G9="SHW",G9,ROUND(G9,1)),"")))</f>
        <v>0</v>
      </c>
      <c r="AG9" s="42">
        <f>IF(OR(AB9=0),0,VLOOKUP(AV9,Setup!$S$6:$T$15,2,TRUE))</f>
        <v>0</v>
      </c>
      <c r="AH9" s="137"/>
      <c r="AI9" s="132"/>
      <c r="AJ9" s="124">
        <f aca="true" t="shared" si="8" ref="AJ9:AJ48">IF(ISERROR(FIND($AJ$7,AI9)),0,1)</f>
        <v>0</v>
      </c>
      <c r="AK9" s="42">
        <f aca="true" t="shared" si="9" ref="AK9:AK48">IF(B9="","",VLOOKUP(B9,$BP$1:$BQ$8,2,FALSE))</f>
      </c>
      <c r="AL9" s="29">
        <f aca="true" t="shared" si="10" ref="AL9:AL48">ROUND(IF($F$8="BWt (Kg)",F9,F9/2.2046),1)</f>
        <v>0</v>
      </c>
      <c r="AM9" s="29">
        <f aca="true" t="shared" si="11" ref="AM9:AM48">IF(OR(O9=0,U9=0,AA9=0),0,O9+U9+AA9)</f>
        <v>0</v>
      </c>
      <c r="AN9" s="29">
        <f aca="true" t="shared" si="12" ref="AN9:AN48">IF(OR(U9=0,AA9=0),0,U9+AA9)</f>
        <v>0</v>
      </c>
      <c r="AO9" s="41">
        <f aca="true" t="shared" si="13" ref="AO9:AO48">IF(E9="","",LEFT(E9,1))</f>
      </c>
      <c r="AP9" s="41"/>
      <c r="AQ9" s="31">
        <f aca="true" t="shared" si="14" ref="AQ9:AQ48">IF(OR(ISERROR(E9),F9="",ISERROR(G9),AB9=0),0,1)</f>
        <v>0</v>
      </c>
      <c r="AR9" s="230">
        <f aca="true" t="shared" si="15" ref="AR9:AR48">IF(OR(ISERROR(AY9),ISERROR(AX9)),0,AY9)</f>
        <v>0</v>
      </c>
      <c r="AS9" s="41" t="e">
        <f aca="true" ca="1" t="shared" si="16" ref="AS9:AS48">RANK(AR9,INDIRECT($AS$7))</f>
        <v>#N/A</v>
      </c>
      <c r="AT9" s="190">
        <f aca="true" t="shared" si="17" ref="AT9:AT48">INT(AR9/1000000)</f>
        <v>0</v>
      </c>
      <c r="AU9" s="115" t="e">
        <f aca="true" ca="1" t="shared" si="18" ref="AU9:AU48">RANK(AT9,INDIRECT($AU$7))</f>
        <v>#N/A</v>
      </c>
      <c r="AV9" s="211" t="e">
        <f aca="true" t="shared" si="19" ref="AV9:AV48">AS9-AU9+1</f>
        <v>#N/A</v>
      </c>
      <c r="AW9" s="194">
        <f aca="true" t="shared" si="20" ref="AW9:AW48">F9</f>
        <v>0</v>
      </c>
      <c r="AX9" s="29">
        <f aca="true" t="shared" si="21" ref="AX9:AX48">RANK(AW9,AW$1:AW$65536)</f>
        <v>40</v>
      </c>
      <c r="AY9" s="23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42"/>
      <c r="BA9" s="42"/>
      <c r="BB9" s="42"/>
      <c r="BC9" s="42"/>
      <c r="BD9" s="42"/>
      <c r="BE9" s="42"/>
      <c r="BF9" s="42"/>
      <c r="BG9" s="42"/>
      <c r="BH9" s="96"/>
      <c r="BI9" s="96"/>
      <c r="BJ9" s="96"/>
      <c r="BK9" s="96"/>
      <c r="BL9" s="96"/>
      <c r="BM9" s="96"/>
      <c r="BN9" s="33"/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</row>
    <row r="10" spans="1:104" s="31" customFormat="1" ht="12.75">
      <c r="A10" s="36">
        <f aca="true" t="shared" si="22" ref="A10:A26">IF(Y10,ABS(Y10+0.0001*I10),"")</f>
        <v>120</v>
      </c>
      <c r="B10" s="19" t="s">
        <v>35</v>
      </c>
      <c r="C10" s="232" t="s">
        <v>243</v>
      </c>
      <c r="D10" s="19">
        <v>53</v>
      </c>
      <c r="E10" s="19" t="s">
        <v>201</v>
      </c>
      <c r="F10" s="19">
        <v>147</v>
      </c>
      <c r="G10" s="42">
        <v>148</v>
      </c>
      <c r="H10" s="42">
        <f>IF(F10="",0,VLOOKUP(AL10,DATA!$L$2:$N$1910,IF(LEFT(E10,1)="F",3,2)))</f>
        <v>1.0294</v>
      </c>
      <c r="I10" s="19"/>
      <c r="J10" s="19"/>
      <c r="K10" s="133"/>
      <c r="L10" s="133"/>
      <c r="M10" s="133"/>
      <c r="N10" s="133"/>
      <c r="O10" s="134">
        <f t="shared" si="1"/>
        <v>0</v>
      </c>
      <c r="P10" s="237"/>
      <c r="Q10" s="241">
        <v>70</v>
      </c>
      <c r="R10" s="241">
        <v>75</v>
      </c>
      <c r="S10" s="241">
        <v>80</v>
      </c>
      <c r="T10" s="133"/>
      <c r="U10" s="134">
        <f t="shared" si="2"/>
        <v>80</v>
      </c>
      <c r="V10" s="135">
        <f t="shared" si="3"/>
        <v>0</v>
      </c>
      <c r="W10" s="241">
        <v>100</v>
      </c>
      <c r="X10" s="241">
        <v>110</v>
      </c>
      <c r="Y10" s="241">
        <v>120</v>
      </c>
      <c r="Z10" s="133"/>
      <c r="AA10" s="134">
        <f t="shared" si="4"/>
        <v>120</v>
      </c>
      <c r="AB10" s="135">
        <f t="shared" si="5"/>
        <v>0</v>
      </c>
      <c r="AC10" s="136">
        <f t="shared" si="6"/>
        <v>0</v>
      </c>
      <c r="AD10" s="136">
        <f>IF(OR(AB10=0,D10="",AND(D10&lt;40,D10&gt;22)),0,VLOOKUP($D10,DATA!$A$2:$B$53,2,TRUE)*AC10)</f>
        <v>0</v>
      </c>
      <c r="AE10" s="210">
        <f ca="1">IF(E10="","",OFFSET(Setup!$Q$1,MATCH(E10,Setup!O:O,0)-1,0))</f>
        <v>2</v>
      </c>
      <c r="AF10" s="134">
        <f t="shared" si="7"/>
        <v>0</v>
      </c>
      <c r="AG10" s="42">
        <f>IF(OR(AB10=0),0,VLOOKUP(AV10,Setup!$S$6:$T$15,2,TRUE))</f>
        <v>0</v>
      </c>
      <c r="AH10" s="137" t="s">
        <v>307</v>
      </c>
      <c r="AI10" s="132" t="s">
        <v>199</v>
      </c>
      <c r="AJ10" s="124">
        <f t="shared" si="8"/>
        <v>0</v>
      </c>
      <c r="AK10" s="42">
        <f t="shared" si="9"/>
        <v>0</v>
      </c>
      <c r="AL10" s="29">
        <f t="shared" si="10"/>
        <v>66.7</v>
      </c>
      <c r="AM10" s="29">
        <f t="shared" si="11"/>
        <v>0</v>
      </c>
      <c r="AN10" s="29">
        <f t="shared" si="12"/>
        <v>200</v>
      </c>
      <c r="AO10" s="41" t="str">
        <f t="shared" si="13"/>
        <v>F</v>
      </c>
      <c r="AP10" s="41"/>
      <c r="AQ10" s="31">
        <f t="shared" si="14"/>
        <v>0</v>
      </c>
      <c r="AR10" s="230">
        <f t="shared" si="15"/>
        <v>300000000</v>
      </c>
      <c r="AS10" s="41">
        <f ca="1" t="shared" si="16"/>
        <v>38</v>
      </c>
      <c r="AT10" s="190">
        <f t="shared" si="17"/>
        <v>300</v>
      </c>
      <c r="AU10" s="115">
        <f ca="1" t="shared" si="18"/>
        <v>38</v>
      </c>
      <c r="AV10" s="211">
        <f t="shared" si="19"/>
        <v>1</v>
      </c>
      <c r="AW10" s="194">
        <f t="shared" si="20"/>
        <v>147</v>
      </c>
      <c r="AX10" s="29">
        <f t="shared" si="21"/>
        <v>34</v>
      </c>
      <c r="AY10" s="23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300000000</v>
      </c>
      <c r="AZ10" s="42"/>
      <c r="BA10" s="42"/>
      <c r="BB10" s="42"/>
      <c r="BC10" s="42"/>
      <c r="BD10" s="42"/>
      <c r="BE10" s="42"/>
      <c r="BF10" s="42"/>
      <c r="BG10" s="42"/>
      <c r="BH10" s="96"/>
      <c r="BI10" s="96"/>
      <c r="BJ10" s="96"/>
      <c r="BK10" s="96"/>
      <c r="BL10" s="96"/>
      <c r="BM10" s="96"/>
      <c r="BN10" s="33"/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1</v>
      </c>
      <c r="CR10" s="31">
        <v>1</v>
      </c>
      <c r="CS10" s="31">
        <v>1</v>
      </c>
      <c r="CT10" s="31">
        <v>0</v>
      </c>
      <c r="CU10" s="31">
        <v>0</v>
      </c>
      <c r="CV10" s="31">
        <v>0</v>
      </c>
      <c r="CW10" s="31">
        <v>1</v>
      </c>
      <c r="CX10" s="31">
        <v>1</v>
      </c>
      <c r="CY10" s="31">
        <v>1</v>
      </c>
      <c r="CZ10" s="31">
        <v>0</v>
      </c>
    </row>
    <row r="11" spans="1:104" s="31" customFormat="1" ht="12.75">
      <c r="A11" s="36">
        <f t="shared" si="22"/>
        <v>130</v>
      </c>
      <c r="B11" s="29" t="s">
        <v>35</v>
      </c>
      <c r="C11" s="29" t="s">
        <v>273</v>
      </c>
      <c r="D11" s="29">
        <v>15</v>
      </c>
      <c r="E11" s="29" t="s">
        <v>209</v>
      </c>
      <c r="F11" s="29">
        <v>145</v>
      </c>
      <c r="G11" s="42">
        <f>IF(OR(E11="",F11=""),"",IF(LEFT(E11,1)="M",VLOOKUP(F11,Setup!$J$9:$K$23,2,TRUE),VLOOKUP(F11,Setup!$L$9:$M$23,2,TRUE)))</f>
        <v>148</v>
      </c>
      <c r="H11" s="42">
        <f>IF(F11="",0,VLOOKUP(AL11,DATA!$L$2:$N$1910,IF(LEFT(E11,1)="F",3,2)))</f>
        <v>0.7872</v>
      </c>
      <c r="I11" s="29"/>
      <c r="J11" s="29"/>
      <c r="K11" s="29"/>
      <c r="L11" s="29"/>
      <c r="M11" s="29"/>
      <c r="N11" s="29"/>
      <c r="O11" s="134">
        <f t="shared" si="1"/>
        <v>0</v>
      </c>
      <c r="P11" s="247"/>
      <c r="Q11" s="29"/>
      <c r="R11" s="29"/>
      <c r="S11" s="29"/>
      <c r="T11" s="29"/>
      <c r="U11" s="134">
        <f t="shared" si="2"/>
        <v>0</v>
      </c>
      <c r="V11" s="135">
        <f t="shared" si="3"/>
        <v>0</v>
      </c>
      <c r="W11" s="251">
        <v>107.5</v>
      </c>
      <c r="X11" s="251">
        <v>125</v>
      </c>
      <c r="Y11" s="251">
        <v>130</v>
      </c>
      <c r="Z11" s="29"/>
      <c r="AA11" s="134">
        <f t="shared" si="4"/>
        <v>130</v>
      </c>
      <c r="AB11" s="135">
        <f t="shared" si="5"/>
        <v>0</v>
      </c>
      <c r="AC11" s="136">
        <f t="shared" si="6"/>
        <v>0</v>
      </c>
      <c r="AD11" s="136">
        <f>IF(OR(AB11=0,D11="",AND(D11&lt;40,D11&gt;22)),0,VLOOKUP($D11,DATA!$A$2:$B$53,2,TRUE)*AC11)</f>
        <v>0</v>
      </c>
      <c r="AE11" s="210">
        <f ca="1">IF(E11="","",OFFSET(Setup!$Q$1,MATCH(E11,Setup!O:O,0)-1,0))</f>
        <v>2</v>
      </c>
      <c r="AF11" s="134">
        <f t="shared" si="7"/>
        <v>0</v>
      </c>
      <c r="AG11" s="42">
        <f>IF(OR(AB11=0),0,VLOOKUP(AV11,Setup!$S$6:$T$15,2,TRUE))</f>
        <v>0</v>
      </c>
      <c r="AH11" s="249"/>
      <c r="AI11" s="1" t="s">
        <v>212</v>
      </c>
      <c r="AJ11" s="124">
        <f t="shared" si="8"/>
        <v>0</v>
      </c>
      <c r="AK11" s="42">
        <f t="shared" si="9"/>
        <v>0</v>
      </c>
      <c r="AL11" s="29">
        <f t="shared" si="10"/>
        <v>65.8</v>
      </c>
      <c r="AM11" s="29">
        <f t="shared" si="11"/>
        <v>0</v>
      </c>
      <c r="AN11" s="29">
        <f t="shared" si="12"/>
        <v>0</v>
      </c>
      <c r="AO11" s="41" t="str">
        <f t="shared" si="13"/>
        <v>M</v>
      </c>
      <c r="AP11" s="29"/>
      <c r="AQ11" s="31">
        <f t="shared" si="14"/>
        <v>0</v>
      </c>
      <c r="AR11" s="230">
        <f t="shared" si="15"/>
        <v>1100000000</v>
      </c>
      <c r="AS11" s="41">
        <f ca="1" t="shared" si="16"/>
        <v>12</v>
      </c>
      <c r="AT11" s="190">
        <f t="shared" si="17"/>
        <v>1100</v>
      </c>
      <c r="AU11" s="115">
        <f ca="1" t="shared" si="18"/>
        <v>12</v>
      </c>
      <c r="AV11" s="211">
        <f t="shared" si="19"/>
        <v>1</v>
      </c>
      <c r="AW11" s="194">
        <f t="shared" si="20"/>
        <v>145</v>
      </c>
      <c r="AX11" s="29">
        <f t="shared" si="21"/>
        <v>36</v>
      </c>
      <c r="AY11" s="23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1100000000</v>
      </c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33"/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1</v>
      </c>
      <c r="CX11" s="31">
        <v>1</v>
      </c>
      <c r="CY11" s="31">
        <v>1</v>
      </c>
      <c r="CZ11" s="31">
        <v>0</v>
      </c>
    </row>
    <row r="12" spans="1:104" s="31" customFormat="1" ht="12.75">
      <c r="A12" s="36">
        <f t="shared" si="22"/>
        <v>195</v>
      </c>
      <c r="B12" s="29" t="s">
        <v>35</v>
      </c>
      <c r="C12" s="29" t="s">
        <v>276</v>
      </c>
      <c r="D12" s="29">
        <v>58</v>
      </c>
      <c r="E12" s="29" t="s">
        <v>208</v>
      </c>
      <c r="F12" s="29">
        <v>242</v>
      </c>
      <c r="G12" s="42">
        <f>IF(OR(E12="",F12=""),"",IF(LEFT(E12,1)="M",VLOOKUP(F12,Setup!$J$9:$K$23,2,TRUE),VLOOKUP(F12,Setup!$L$9:$M$23,2,TRUE)))</f>
        <v>242</v>
      </c>
      <c r="H12" s="42">
        <f>IF(F12="",0,VLOOKUP(AL12,DATA!$L$2:$N$1910,IF(LEFT(E12,1)="F",3,2)))</f>
        <v>0.5888</v>
      </c>
      <c r="I12" s="29"/>
      <c r="J12" s="29"/>
      <c r="K12" s="29"/>
      <c r="L12" s="29"/>
      <c r="M12" s="29"/>
      <c r="N12" s="29"/>
      <c r="O12" s="134">
        <f t="shared" si="1"/>
        <v>0</v>
      </c>
      <c r="P12" s="247"/>
      <c r="Q12" s="29"/>
      <c r="R12" s="29"/>
      <c r="S12" s="29"/>
      <c r="T12" s="29"/>
      <c r="U12" s="134">
        <f t="shared" si="2"/>
        <v>0</v>
      </c>
      <c r="V12" s="135">
        <f t="shared" si="3"/>
        <v>0</v>
      </c>
      <c r="W12" s="251">
        <v>185</v>
      </c>
      <c r="X12" s="41">
        <v>-195</v>
      </c>
      <c r="Y12" s="41">
        <v>-195</v>
      </c>
      <c r="Z12" s="29"/>
      <c r="AA12" s="134">
        <f t="shared" si="4"/>
        <v>185</v>
      </c>
      <c r="AB12" s="135">
        <f t="shared" si="5"/>
        <v>0</v>
      </c>
      <c r="AC12" s="136">
        <f t="shared" si="6"/>
        <v>0</v>
      </c>
      <c r="AD12" s="136">
        <f>IF(OR(AB12=0,D12="",AND(D12&lt;40,D12&gt;22)),0,VLOOKUP($D12,DATA!$A$2:$B$53,2,TRUE)*AC12)</f>
        <v>0</v>
      </c>
      <c r="AE12" s="210">
        <f ca="1">IF(E12="","",OFFSET(Setup!$Q$1,MATCH(E12,Setup!O:O,0)-1,0))</f>
        <v>2</v>
      </c>
      <c r="AF12" s="134">
        <f t="shared" si="7"/>
        <v>0</v>
      </c>
      <c r="AG12" s="42">
        <f>IF(OR(AB12=0),0,VLOOKUP(AV12,Setup!$S$6:$T$15,2,TRUE))</f>
        <v>0</v>
      </c>
      <c r="AH12" s="249"/>
      <c r="AI12" s="1" t="s">
        <v>212</v>
      </c>
      <c r="AJ12" s="124">
        <f t="shared" si="8"/>
        <v>0</v>
      </c>
      <c r="AK12" s="42">
        <f t="shared" si="9"/>
        <v>0</v>
      </c>
      <c r="AL12" s="29">
        <f t="shared" si="10"/>
        <v>109.8</v>
      </c>
      <c r="AM12" s="29">
        <f t="shared" si="11"/>
        <v>0</v>
      </c>
      <c r="AN12" s="29">
        <f t="shared" si="12"/>
        <v>0</v>
      </c>
      <c r="AO12" s="41" t="str">
        <f t="shared" si="13"/>
        <v>M</v>
      </c>
      <c r="AP12" s="29"/>
      <c r="AQ12" s="31">
        <f t="shared" si="14"/>
        <v>0</v>
      </c>
      <c r="AR12" s="230">
        <f t="shared" si="15"/>
        <v>1000000000</v>
      </c>
      <c r="AS12" s="41">
        <f ca="1" t="shared" si="16"/>
        <v>15</v>
      </c>
      <c r="AT12" s="190">
        <f t="shared" si="17"/>
        <v>1000</v>
      </c>
      <c r="AU12" s="115">
        <f ca="1" t="shared" si="18"/>
        <v>15</v>
      </c>
      <c r="AV12" s="211">
        <f t="shared" si="19"/>
        <v>1</v>
      </c>
      <c r="AW12" s="194">
        <f t="shared" si="20"/>
        <v>242</v>
      </c>
      <c r="AX12" s="29">
        <f t="shared" si="21"/>
        <v>10</v>
      </c>
      <c r="AY12" s="23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1000000000</v>
      </c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33"/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1</v>
      </c>
      <c r="CX12" s="31">
        <v>-1</v>
      </c>
      <c r="CY12" s="31">
        <v>-1</v>
      </c>
      <c r="CZ12" s="31">
        <v>0</v>
      </c>
    </row>
    <row r="13" spans="1:104" s="31" customFormat="1" ht="12.75">
      <c r="A13" s="36">
        <f t="shared" si="22"/>
        <v>230</v>
      </c>
      <c r="B13" s="19" t="s">
        <v>35</v>
      </c>
      <c r="C13" s="232" t="s">
        <v>248</v>
      </c>
      <c r="D13" s="19">
        <v>42</v>
      </c>
      <c r="E13" s="19" t="s">
        <v>205</v>
      </c>
      <c r="F13" s="19">
        <v>259.25</v>
      </c>
      <c r="G13" s="42">
        <f>IF(OR(E13="",F13=""),"",IF(LEFT(E13,1)="M",VLOOKUP(F13,Setup!$J$9:$K$23,2,TRUE),VLOOKUP(F13,Setup!$L$9:$M$23,2,TRUE)))</f>
        <v>275</v>
      </c>
      <c r="H13" s="42">
        <f>IF(F13="",0,VLOOKUP(AL13,DATA!$L$2:$N$1910,IF(LEFT(E13,1)="F",3,2)))</f>
        <v>0.5777</v>
      </c>
      <c r="I13" s="19"/>
      <c r="J13" s="19"/>
      <c r="K13" s="133"/>
      <c r="L13" s="133"/>
      <c r="M13" s="133"/>
      <c r="N13" s="133"/>
      <c r="O13" s="134">
        <f t="shared" si="1"/>
        <v>0</v>
      </c>
      <c r="P13" s="237"/>
      <c r="Q13" s="241">
        <v>140</v>
      </c>
      <c r="R13" s="241">
        <v>155</v>
      </c>
      <c r="S13" s="241">
        <v>165</v>
      </c>
      <c r="T13" s="133"/>
      <c r="U13" s="134">
        <f t="shared" si="2"/>
        <v>165</v>
      </c>
      <c r="V13" s="135">
        <f t="shared" si="3"/>
        <v>0</v>
      </c>
      <c r="W13" s="241">
        <v>185</v>
      </c>
      <c r="X13" s="241">
        <v>205</v>
      </c>
      <c r="Y13" s="241">
        <v>230</v>
      </c>
      <c r="Z13" s="133"/>
      <c r="AA13" s="134">
        <f t="shared" si="4"/>
        <v>230</v>
      </c>
      <c r="AB13" s="135">
        <f t="shared" si="5"/>
        <v>0</v>
      </c>
      <c r="AC13" s="136">
        <f t="shared" si="6"/>
        <v>0</v>
      </c>
      <c r="AD13" s="136">
        <f>IF(OR(AB13=0,D13="",AND(D13&lt;40,D13&gt;22)),0,VLOOKUP($D13,DATA!$A$2:$B$53,2,TRUE)*AC13)</f>
        <v>0</v>
      </c>
      <c r="AE13" s="210">
        <f ca="1">IF(E13="","",OFFSET(Setup!$Q$1,MATCH(E13,Setup!O:O,0)-1,0))</f>
        <v>2</v>
      </c>
      <c r="AF13" s="134">
        <f t="shared" si="7"/>
        <v>0</v>
      </c>
      <c r="AG13" s="42">
        <f>IF(OR(AB13=0),0,VLOOKUP(AV13,Setup!$S$6:$T$15,2,TRUE))</f>
        <v>0</v>
      </c>
      <c r="AH13" s="137"/>
      <c r="AI13" s="132" t="s">
        <v>199</v>
      </c>
      <c r="AJ13" s="124">
        <f t="shared" si="8"/>
        <v>0</v>
      </c>
      <c r="AK13" s="42">
        <f t="shared" si="9"/>
        <v>0</v>
      </c>
      <c r="AL13" s="29">
        <f t="shared" si="10"/>
        <v>117.6</v>
      </c>
      <c r="AM13" s="29">
        <f t="shared" si="11"/>
        <v>0</v>
      </c>
      <c r="AN13" s="29">
        <f t="shared" si="12"/>
        <v>395</v>
      </c>
      <c r="AO13" s="41" t="str">
        <f t="shared" si="13"/>
        <v>M</v>
      </c>
      <c r="AP13" s="41"/>
      <c r="AQ13" s="31">
        <f t="shared" si="14"/>
        <v>0</v>
      </c>
      <c r="AR13" s="230">
        <f t="shared" si="15"/>
        <v>700000000</v>
      </c>
      <c r="AS13" s="41">
        <f ca="1" t="shared" si="16"/>
        <v>24</v>
      </c>
      <c r="AT13" s="190">
        <f t="shared" si="17"/>
        <v>700</v>
      </c>
      <c r="AU13" s="115">
        <f ca="1" t="shared" si="18"/>
        <v>22</v>
      </c>
      <c r="AV13" s="211">
        <f t="shared" si="19"/>
        <v>3</v>
      </c>
      <c r="AW13" s="194">
        <f t="shared" si="20"/>
        <v>259.25</v>
      </c>
      <c r="AX13" s="29">
        <f t="shared" si="21"/>
        <v>8</v>
      </c>
      <c r="AY13" s="23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700000000</v>
      </c>
      <c r="AZ13" s="42"/>
      <c r="BA13" s="42"/>
      <c r="BB13" s="42"/>
      <c r="BC13" s="42"/>
      <c r="BD13" s="42"/>
      <c r="BE13" s="42"/>
      <c r="BF13" s="42"/>
      <c r="BG13" s="42"/>
      <c r="BH13" s="96"/>
      <c r="BI13" s="96"/>
      <c r="BJ13" s="96"/>
      <c r="BK13" s="96"/>
      <c r="BL13" s="96"/>
      <c r="BM13" s="96"/>
      <c r="BN13" s="33"/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1</v>
      </c>
      <c r="CR13" s="31">
        <v>1</v>
      </c>
      <c r="CS13" s="31">
        <v>1</v>
      </c>
      <c r="CT13" s="31">
        <v>0</v>
      </c>
      <c r="CU13" s="31">
        <v>0</v>
      </c>
      <c r="CV13" s="31">
        <v>0</v>
      </c>
      <c r="CW13" s="31">
        <v>1</v>
      </c>
      <c r="CX13" s="31">
        <v>1</v>
      </c>
      <c r="CY13" s="31">
        <v>1</v>
      </c>
      <c r="CZ13" s="31">
        <v>0</v>
      </c>
    </row>
    <row r="14" spans="1:104" s="31" customFormat="1" ht="12.75">
      <c r="A14" s="36">
        <f t="shared" si="22"/>
        <v>250</v>
      </c>
      <c r="B14" s="29" t="s">
        <v>35</v>
      </c>
      <c r="C14" s="29" t="s">
        <v>274</v>
      </c>
      <c r="D14" s="29">
        <v>54</v>
      </c>
      <c r="E14" s="29" t="s">
        <v>207</v>
      </c>
      <c r="F14" s="29">
        <v>273</v>
      </c>
      <c r="G14" s="42">
        <f>IF(OR(E14="",F14=""),"",IF(LEFT(E14,1)="M",VLOOKUP(F14,Setup!$J$9:$K$23,2,TRUE),VLOOKUP(F14,Setup!$L$9:$M$23,2,TRUE)))</f>
        <v>275</v>
      </c>
      <c r="H14" s="42">
        <f>IF(F14="",0,VLOOKUP(AL14,DATA!$L$2:$N$1910,IF(LEFT(E14,1)="F",3,2)))</f>
        <v>0.571</v>
      </c>
      <c r="I14" s="29"/>
      <c r="J14" s="29"/>
      <c r="K14" s="29"/>
      <c r="L14" s="29"/>
      <c r="M14" s="29"/>
      <c r="N14" s="29"/>
      <c r="O14" s="134">
        <f t="shared" si="1"/>
        <v>0</v>
      </c>
      <c r="P14" s="247"/>
      <c r="Q14" s="29"/>
      <c r="R14" s="29"/>
      <c r="S14" s="29"/>
      <c r="T14" s="29"/>
      <c r="U14" s="134">
        <f t="shared" si="2"/>
        <v>0</v>
      </c>
      <c r="V14" s="135">
        <f t="shared" si="3"/>
        <v>0</v>
      </c>
      <c r="W14" s="251">
        <v>227.5</v>
      </c>
      <c r="X14" s="41">
        <v>-250</v>
      </c>
      <c r="Y14" s="41">
        <v>-250</v>
      </c>
      <c r="Z14" s="29"/>
      <c r="AA14" s="134">
        <f t="shared" si="4"/>
        <v>227.5</v>
      </c>
      <c r="AB14" s="135">
        <f t="shared" si="5"/>
        <v>0</v>
      </c>
      <c r="AC14" s="136">
        <f t="shared" si="6"/>
        <v>0</v>
      </c>
      <c r="AD14" s="136">
        <f>IF(OR(AB14=0,D14="",AND(D14&lt;40,D14&gt;22)),0,VLOOKUP($D14,DATA!$A$2:$B$53,2,TRUE)*AC14)</f>
        <v>0</v>
      </c>
      <c r="AE14" s="210">
        <f ca="1">IF(E14="","",OFFSET(Setup!$Q$1,MATCH(E14,Setup!O:O,0)-1,0))</f>
        <v>2</v>
      </c>
      <c r="AF14" s="134">
        <f t="shared" si="7"/>
        <v>0</v>
      </c>
      <c r="AG14" s="42">
        <f>IF(OR(AB14=0),0,VLOOKUP(AV14,Setup!$S$6:$T$15,2,TRUE))</f>
        <v>0</v>
      </c>
      <c r="AH14" s="249"/>
      <c r="AI14" s="1" t="s">
        <v>212</v>
      </c>
      <c r="AJ14" s="124">
        <f t="shared" si="8"/>
        <v>0</v>
      </c>
      <c r="AK14" s="42">
        <f t="shared" si="9"/>
        <v>0</v>
      </c>
      <c r="AL14" s="29">
        <f t="shared" si="10"/>
        <v>123.8</v>
      </c>
      <c r="AM14" s="29">
        <f t="shared" si="11"/>
        <v>0</v>
      </c>
      <c r="AN14" s="29">
        <f t="shared" si="12"/>
        <v>0</v>
      </c>
      <c r="AO14" s="41" t="str">
        <f t="shared" si="13"/>
        <v>M</v>
      </c>
      <c r="AP14" s="29"/>
      <c r="AQ14" s="31">
        <f t="shared" si="14"/>
        <v>0</v>
      </c>
      <c r="AR14" s="230">
        <f t="shared" si="15"/>
        <v>900000000</v>
      </c>
      <c r="AS14" s="41">
        <f ca="1" t="shared" si="16"/>
        <v>17</v>
      </c>
      <c r="AT14" s="190">
        <f t="shared" si="17"/>
        <v>900</v>
      </c>
      <c r="AU14" s="115">
        <f ca="1" t="shared" si="18"/>
        <v>17</v>
      </c>
      <c r="AV14" s="211">
        <f t="shared" si="19"/>
        <v>1</v>
      </c>
      <c r="AW14" s="194">
        <f t="shared" si="20"/>
        <v>273</v>
      </c>
      <c r="AX14" s="29">
        <f t="shared" si="21"/>
        <v>4</v>
      </c>
      <c r="AY14" s="23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900000000</v>
      </c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33"/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1</v>
      </c>
      <c r="CX14" s="31">
        <v>-1</v>
      </c>
      <c r="CY14" s="31">
        <v>-1</v>
      </c>
      <c r="CZ14" s="31">
        <v>0</v>
      </c>
    </row>
    <row r="15" spans="1:104" s="31" customFormat="1" ht="12.75">
      <c r="A15" s="36">
        <f t="shared" si="22"/>
      </c>
      <c r="B15" s="19" t="s">
        <v>35</v>
      </c>
      <c r="C15" s="232" t="s">
        <v>249</v>
      </c>
      <c r="D15" s="19">
        <v>50</v>
      </c>
      <c r="E15" s="19" t="s">
        <v>207</v>
      </c>
      <c r="F15" s="19">
        <v>229</v>
      </c>
      <c r="G15" s="42">
        <f>IF(OR(E15="",F15=""),"",IF(LEFT(E15,1)="M",VLOOKUP(F15,Setup!$J$9:$K$23,2,TRUE),VLOOKUP(F15,Setup!$L$9:$M$23,2,TRUE)))</f>
        <v>242</v>
      </c>
      <c r="H15" s="42">
        <f>IF(F15="",0,VLOOKUP(AL15,DATA!$L$2:$N$1910,IF(LEFT(E15,1)="F",3,2)))</f>
        <v>0.5998</v>
      </c>
      <c r="I15" s="19"/>
      <c r="J15" s="19"/>
      <c r="K15" s="133"/>
      <c r="L15" s="133"/>
      <c r="M15" s="133"/>
      <c r="N15" s="133"/>
      <c r="O15" s="134">
        <f t="shared" si="1"/>
        <v>0</v>
      </c>
      <c r="P15" s="237"/>
      <c r="Q15" s="241">
        <v>155</v>
      </c>
      <c r="R15" s="241">
        <v>165</v>
      </c>
      <c r="S15" s="133">
        <v>-167.5</v>
      </c>
      <c r="T15" s="133"/>
      <c r="U15" s="134">
        <f t="shared" si="2"/>
        <v>165</v>
      </c>
      <c r="V15" s="135">
        <f t="shared" si="3"/>
        <v>0</v>
      </c>
      <c r="W15" s="241">
        <v>205</v>
      </c>
      <c r="X15" s="241">
        <v>227.5</v>
      </c>
      <c r="Y15" s="133">
        <v>0</v>
      </c>
      <c r="Z15" s="133"/>
      <c r="AA15" s="134">
        <f t="shared" si="4"/>
        <v>227.5</v>
      </c>
      <c r="AB15" s="135">
        <f t="shared" si="5"/>
        <v>0</v>
      </c>
      <c r="AC15" s="136">
        <f t="shared" si="6"/>
        <v>0</v>
      </c>
      <c r="AD15" s="136">
        <f>IF(OR(AB15=0,D15="",AND(D15&lt;40,D15&gt;22)),0,VLOOKUP($D15,DATA!$A$2:$B$53,2,TRUE)*AC15)</f>
        <v>0</v>
      </c>
      <c r="AE15" s="210">
        <f ca="1">IF(E15="","",OFFSET(Setup!$Q$1,MATCH(E15,Setup!O:O,0)-1,0))</f>
        <v>2</v>
      </c>
      <c r="AF15" s="134">
        <f t="shared" si="7"/>
        <v>0</v>
      </c>
      <c r="AG15" s="42">
        <f>IF(OR(AB15=0),0,VLOOKUP(AV15,Setup!$S$6:$T$15,2,TRUE))</f>
        <v>0</v>
      </c>
      <c r="AH15" s="137"/>
      <c r="AI15" s="132" t="s">
        <v>199</v>
      </c>
      <c r="AJ15" s="124">
        <f t="shared" si="8"/>
        <v>0</v>
      </c>
      <c r="AK15" s="42">
        <f t="shared" si="9"/>
        <v>0</v>
      </c>
      <c r="AL15" s="29">
        <f t="shared" si="10"/>
        <v>103.9</v>
      </c>
      <c r="AM15" s="29">
        <f t="shared" si="11"/>
        <v>0</v>
      </c>
      <c r="AN15" s="29">
        <f t="shared" si="12"/>
        <v>392.5</v>
      </c>
      <c r="AO15" s="41" t="str">
        <f t="shared" si="13"/>
        <v>M</v>
      </c>
      <c r="AP15" s="41"/>
      <c r="AQ15" s="31">
        <f t="shared" si="14"/>
        <v>0</v>
      </c>
      <c r="AR15" s="230">
        <f t="shared" si="15"/>
        <v>900000000</v>
      </c>
      <c r="AS15" s="41">
        <f ca="1" t="shared" si="16"/>
        <v>17</v>
      </c>
      <c r="AT15" s="190">
        <f t="shared" si="17"/>
        <v>900</v>
      </c>
      <c r="AU15" s="115">
        <f ca="1" t="shared" si="18"/>
        <v>17</v>
      </c>
      <c r="AV15" s="211">
        <f t="shared" si="19"/>
        <v>1</v>
      </c>
      <c r="AW15" s="194">
        <f t="shared" si="20"/>
        <v>229</v>
      </c>
      <c r="AX15" s="29">
        <f t="shared" si="21"/>
        <v>18</v>
      </c>
      <c r="AY15" s="23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900000000</v>
      </c>
      <c r="AZ15" s="42"/>
      <c r="BA15" s="42"/>
      <c r="BB15" s="42"/>
      <c r="BC15" s="42"/>
      <c r="BD15" s="42"/>
      <c r="BE15" s="42"/>
      <c r="BF15" s="42"/>
      <c r="BG15" s="42"/>
      <c r="BH15" s="96"/>
      <c r="BI15" s="96"/>
      <c r="BJ15" s="96"/>
      <c r="BK15" s="96"/>
      <c r="BL15" s="96"/>
      <c r="BM15" s="96"/>
      <c r="BN15" s="33"/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1</v>
      </c>
      <c r="CR15" s="31">
        <v>1</v>
      </c>
      <c r="CS15" s="31">
        <v>-1</v>
      </c>
      <c r="CT15" s="31">
        <v>0</v>
      </c>
      <c r="CU15" s="31">
        <v>0</v>
      </c>
      <c r="CV15" s="31">
        <v>0</v>
      </c>
      <c r="CW15" s="31">
        <v>1</v>
      </c>
      <c r="CX15" s="31">
        <v>1</v>
      </c>
      <c r="CY15" s="31">
        <v>0</v>
      </c>
      <c r="CZ15" s="31">
        <v>0</v>
      </c>
    </row>
    <row r="16" spans="1:104" s="31" customFormat="1" ht="12.75">
      <c r="A16" s="36">
        <f t="shared" si="22"/>
      </c>
      <c r="B16" s="29" t="s">
        <v>35</v>
      </c>
      <c r="C16" s="29" t="s">
        <v>275</v>
      </c>
      <c r="D16" s="29">
        <v>64</v>
      </c>
      <c r="E16" s="29" t="s">
        <v>211</v>
      </c>
      <c r="F16" s="29">
        <v>205</v>
      </c>
      <c r="G16" s="42">
        <f>IF(OR(E16="",F16=""),"",IF(LEFT(E16,1)="M",VLOOKUP(F16,Setup!$J$9:$K$23,2,TRUE),VLOOKUP(F16,Setup!$L$9:$M$23,2,TRUE)))</f>
        <v>220</v>
      </c>
      <c r="H16" s="42">
        <f>IF(F16="",0,VLOOKUP(AL16,DATA!$L$2:$N$1910,IF(LEFT(E16,1)="F",3,2)))</f>
        <v>0.6282</v>
      </c>
      <c r="I16" s="29"/>
      <c r="J16" s="29"/>
      <c r="K16" s="29"/>
      <c r="L16" s="29"/>
      <c r="M16" s="29"/>
      <c r="N16" s="29"/>
      <c r="O16" s="134">
        <f t="shared" si="1"/>
        <v>0</v>
      </c>
      <c r="P16" s="247"/>
      <c r="Q16" s="29"/>
      <c r="R16" s="29"/>
      <c r="S16" s="29"/>
      <c r="T16" s="29"/>
      <c r="U16" s="134">
        <f t="shared" si="2"/>
        <v>0</v>
      </c>
      <c r="V16" s="135">
        <f t="shared" si="3"/>
        <v>0</v>
      </c>
      <c r="W16" s="251">
        <v>257.5</v>
      </c>
      <c r="X16" s="41">
        <v>-277.5</v>
      </c>
      <c r="Y16" s="41">
        <v>0</v>
      </c>
      <c r="Z16" s="29"/>
      <c r="AA16" s="134">
        <f t="shared" si="4"/>
        <v>257.5</v>
      </c>
      <c r="AB16" s="135">
        <f t="shared" si="5"/>
        <v>0</v>
      </c>
      <c r="AC16" s="136">
        <f t="shared" si="6"/>
        <v>0</v>
      </c>
      <c r="AD16" s="136">
        <f>IF(OR(AB16=0,D16="",AND(D16&lt;40,D16&gt;22)),0,VLOOKUP($D16,DATA!$A$2:$B$53,2,TRUE)*AC16)</f>
        <v>0</v>
      </c>
      <c r="AE16" s="210">
        <f ca="1">IF(E16="","",OFFSET(Setup!$Q$1,MATCH(E16,Setup!O:O,0)-1,0))</f>
        <v>2</v>
      </c>
      <c r="AF16" s="134">
        <f t="shared" si="7"/>
        <v>0</v>
      </c>
      <c r="AG16" s="42">
        <f>IF(OR(AB16=0),0,VLOOKUP(AV16,Setup!$S$6:$T$15,2,TRUE))</f>
        <v>0</v>
      </c>
      <c r="AH16" s="249"/>
      <c r="AI16" s="1" t="s">
        <v>212</v>
      </c>
      <c r="AJ16" s="124">
        <f t="shared" si="8"/>
        <v>0</v>
      </c>
      <c r="AK16" s="42">
        <f t="shared" si="9"/>
        <v>0</v>
      </c>
      <c r="AL16" s="29">
        <f t="shared" si="10"/>
        <v>93</v>
      </c>
      <c r="AM16" s="29">
        <f t="shared" si="11"/>
        <v>0</v>
      </c>
      <c r="AN16" s="29">
        <f t="shared" si="12"/>
        <v>0</v>
      </c>
      <c r="AO16" s="41" t="str">
        <f t="shared" si="13"/>
        <v>M</v>
      </c>
      <c r="AP16" s="29"/>
      <c r="AQ16" s="31">
        <f t="shared" si="14"/>
        <v>0</v>
      </c>
      <c r="AR16" s="230">
        <f t="shared" si="15"/>
        <v>1200000000</v>
      </c>
      <c r="AS16" s="41">
        <f ca="1" t="shared" si="16"/>
        <v>10</v>
      </c>
      <c r="AT16" s="190">
        <f t="shared" si="17"/>
        <v>1200</v>
      </c>
      <c r="AU16" s="115">
        <f ca="1" t="shared" si="18"/>
        <v>10</v>
      </c>
      <c r="AV16" s="211">
        <f t="shared" si="19"/>
        <v>1</v>
      </c>
      <c r="AW16" s="194">
        <f t="shared" si="20"/>
        <v>205</v>
      </c>
      <c r="AX16" s="29">
        <f t="shared" si="21"/>
        <v>22</v>
      </c>
      <c r="AY16" s="23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1200000000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33"/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1</v>
      </c>
      <c r="CX16" s="31">
        <v>-1</v>
      </c>
      <c r="CY16" s="31">
        <v>0</v>
      </c>
      <c r="CZ16" s="31">
        <v>0</v>
      </c>
    </row>
    <row r="17" spans="1:104" s="31" customFormat="1" ht="12.75">
      <c r="A17" s="36">
        <f t="shared" si="22"/>
      </c>
      <c r="B17" s="19" t="s">
        <v>35</v>
      </c>
      <c r="C17" s="232" t="s">
        <v>244</v>
      </c>
      <c r="D17" s="19">
        <v>17</v>
      </c>
      <c r="E17" s="19" t="s">
        <v>209</v>
      </c>
      <c r="F17" s="19">
        <v>193</v>
      </c>
      <c r="G17" s="42">
        <f>IF(OR(E17="",F17=""),"",IF(LEFT(E17,1)="M",VLOOKUP(F17,Setup!$J$9:$K$23,2,TRUE),VLOOKUP(F17,Setup!$L$9:$M$23,2,TRUE)))</f>
        <v>198</v>
      </c>
      <c r="H17" s="42">
        <f>IF(F17="",0,VLOOKUP(AL17,DATA!$L$2:$N$1910,IF(LEFT(E17,1)="F",3,2)))</f>
        <v>0.6479</v>
      </c>
      <c r="I17" s="19"/>
      <c r="J17" s="19"/>
      <c r="K17" s="133"/>
      <c r="L17" s="133"/>
      <c r="M17" s="133"/>
      <c r="N17" s="133"/>
      <c r="O17" s="134">
        <f t="shared" si="1"/>
        <v>0</v>
      </c>
      <c r="P17" s="237"/>
      <c r="Q17" s="133">
        <v>-115</v>
      </c>
      <c r="R17" s="241">
        <v>115</v>
      </c>
      <c r="S17" s="241">
        <v>125</v>
      </c>
      <c r="T17" s="133"/>
      <c r="U17" s="134">
        <f t="shared" si="2"/>
        <v>125</v>
      </c>
      <c r="V17" s="135">
        <f t="shared" si="3"/>
        <v>0</v>
      </c>
      <c r="W17" s="133"/>
      <c r="X17" s="133"/>
      <c r="Y17" s="133"/>
      <c r="Z17" s="133"/>
      <c r="AA17" s="134">
        <f t="shared" si="4"/>
        <v>0</v>
      </c>
      <c r="AB17" s="135">
        <f t="shared" si="5"/>
        <v>0</v>
      </c>
      <c r="AC17" s="136">
        <f t="shared" si="6"/>
        <v>0</v>
      </c>
      <c r="AD17" s="136">
        <f>IF(OR(AB17=0,D17="",AND(D17&lt;40,D17&gt;22)),0,VLOOKUP($D17,DATA!$A$2:$B$53,2,TRUE)*AC17)</f>
        <v>0</v>
      </c>
      <c r="AE17" s="210">
        <f ca="1">IF(E17="","",OFFSET(Setup!$Q$1,MATCH(E17,Setup!O:O,0)-1,0))</f>
        <v>2</v>
      </c>
      <c r="AF17" s="134">
        <f t="shared" si="7"/>
        <v>0</v>
      </c>
      <c r="AG17" s="42">
        <f>IF(OR(AB17=0),0,VLOOKUP(AV17,Setup!$S$6:$T$15,2,TRUE))</f>
        <v>0</v>
      </c>
      <c r="AH17" s="137"/>
      <c r="AI17" s="132" t="s">
        <v>195</v>
      </c>
      <c r="AJ17" s="124">
        <f t="shared" si="8"/>
        <v>0</v>
      </c>
      <c r="AK17" s="42">
        <f t="shared" si="9"/>
        <v>0</v>
      </c>
      <c r="AL17" s="29">
        <f t="shared" si="10"/>
        <v>87.5</v>
      </c>
      <c r="AM17" s="29">
        <f t="shared" si="11"/>
        <v>0</v>
      </c>
      <c r="AN17" s="29">
        <f t="shared" si="12"/>
        <v>0</v>
      </c>
      <c r="AO17" s="41" t="str">
        <f t="shared" si="13"/>
        <v>M</v>
      </c>
      <c r="AP17" s="41"/>
      <c r="AQ17" s="31">
        <f t="shared" si="14"/>
        <v>0</v>
      </c>
      <c r="AR17" s="230">
        <f t="shared" si="15"/>
        <v>1100000000</v>
      </c>
      <c r="AS17" s="41">
        <f ca="1" t="shared" si="16"/>
        <v>12</v>
      </c>
      <c r="AT17" s="190">
        <f t="shared" si="17"/>
        <v>1100</v>
      </c>
      <c r="AU17" s="115">
        <f ca="1" t="shared" si="18"/>
        <v>12</v>
      </c>
      <c r="AV17" s="211">
        <f t="shared" si="19"/>
        <v>1</v>
      </c>
      <c r="AW17" s="194">
        <f t="shared" si="20"/>
        <v>193</v>
      </c>
      <c r="AX17" s="29">
        <f t="shared" si="21"/>
        <v>26</v>
      </c>
      <c r="AY17" s="23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1100000000</v>
      </c>
      <c r="AZ17" s="42"/>
      <c r="BA17" s="42"/>
      <c r="BB17" s="42"/>
      <c r="BC17" s="42"/>
      <c r="BD17" s="42"/>
      <c r="BE17" s="42"/>
      <c r="BF17" s="42"/>
      <c r="BG17" s="42"/>
      <c r="BH17" s="96"/>
      <c r="BI17" s="96"/>
      <c r="BJ17" s="96"/>
      <c r="BK17" s="96"/>
      <c r="BL17" s="96"/>
      <c r="BM17" s="96"/>
      <c r="BN17" s="33"/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-1</v>
      </c>
      <c r="CR17" s="31">
        <v>1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</row>
    <row r="18" spans="1:104" s="31" customFormat="1" ht="12.75">
      <c r="A18" s="36">
        <f t="shared" si="22"/>
      </c>
      <c r="B18" s="19" t="s">
        <v>35</v>
      </c>
      <c r="C18" s="232" t="s">
        <v>246</v>
      </c>
      <c r="D18" s="19">
        <v>35</v>
      </c>
      <c r="E18" s="19" t="s">
        <v>204</v>
      </c>
      <c r="F18" s="19">
        <v>181</v>
      </c>
      <c r="G18" s="42">
        <f>IF(OR(E18="",F18=""),"",IF(LEFT(E18,1)="M",VLOOKUP(F18,Setup!$J$9:$K$23,2,TRUE),VLOOKUP(F18,Setup!$L$9:$M$23,2,TRUE)))</f>
        <v>181</v>
      </c>
      <c r="H18" s="42">
        <f>IF(F18="",0,VLOOKUP(AL18,DATA!$L$2:$N$1910,IF(LEFT(E18,1)="F",3,2)))</f>
        <v>0.6719</v>
      </c>
      <c r="I18" s="19"/>
      <c r="J18" s="19"/>
      <c r="K18" s="133"/>
      <c r="L18" s="133"/>
      <c r="M18" s="133"/>
      <c r="N18" s="133"/>
      <c r="O18" s="134">
        <f t="shared" si="1"/>
        <v>0</v>
      </c>
      <c r="P18" s="237"/>
      <c r="Q18" s="241">
        <v>125</v>
      </c>
      <c r="R18" s="133">
        <v>-135</v>
      </c>
      <c r="S18" s="133">
        <v>-135</v>
      </c>
      <c r="T18" s="133"/>
      <c r="U18" s="134">
        <f t="shared" si="2"/>
        <v>125</v>
      </c>
      <c r="V18" s="135">
        <f t="shared" si="3"/>
        <v>0</v>
      </c>
      <c r="W18" s="133"/>
      <c r="X18" s="133"/>
      <c r="Y18" s="133"/>
      <c r="Z18" s="133"/>
      <c r="AA18" s="134">
        <f t="shared" si="4"/>
        <v>0</v>
      </c>
      <c r="AB18" s="135">
        <f t="shared" si="5"/>
        <v>0</v>
      </c>
      <c r="AC18" s="136">
        <f t="shared" si="6"/>
        <v>0</v>
      </c>
      <c r="AD18" s="136">
        <f>IF(OR(AB18=0,D18="",AND(D18&lt;40,D18&gt;22)),0,VLOOKUP($D18,DATA!$A$2:$B$53,2,TRUE)*AC18)</f>
        <v>0</v>
      </c>
      <c r="AE18" s="210">
        <f ca="1">IF(E18="","",OFFSET(Setup!$Q$1,MATCH(E18,Setup!O:O,0)-1,0))</f>
        <v>2</v>
      </c>
      <c r="AF18" s="134">
        <f t="shared" si="7"/>
        <v>0</v>
      </c>
      <c r="AG18" s="42">
        <f>IF(OR(AB18=0),0,VLOOKUP(AV18,Setup!$S$6:$T$15,2,TRUE))</f>
        <v>0</v>
      </c>
      <c r="AH18" s="137"/>
      <c r="AI18" s="132" t="s">
        <v>195</v>
      </c>
      <c r="AJ18" s="124">
        <f t="shared" si="8"/>
        <v>0</v>
      </c>
      <c r="AK18" s="42">
        <f t="shared" si="9"/>
        <v>0</v>
      </c>
      <c r="AL18" s="29">
        <f t="shared" si="10"/>
        <v>82.1</v>
      </c>
      <c r="AM18" s="29">
        <f t="shared" si="11"/>
        <v>0</v>
      </c>
      <c r="AN18" s="29">
        <f t="shared" si="12"/>
        <v>0</v>
      </c>
      <c r="AO18" s="41" t="str">
        <f t="shared" si="13"/>
        <v>M</v>
      </c>
      <c r="AP18" s="41"/>
      <c r="AQ18" s="31">
        <f t="shared" si="14"/>
        <v>0</v>
      </c>
      <c r="AR18" s="230">
        <f t="shared" si="15"/>
        <v>600000000</v>
      </c>
      <c r="AS18" s="41">
        <f ca="1" t="shared" si="16"/>
        <v>29</v>
      </c>
      <c r="AT18" s="190">
        <f t="shared" si="17"/>
        <v>600</v>
      </c>
      <c r="AU18" s="115">
        <f ca="1" t="shared" si="18"/>
        <v>27</v>
      </c>
      <c r="AV18" s="211">
        <f t="shared" si="19"/>
        <v>3</v>
      </c>
      <c r="AW18" s="194">
        <f t="shared" si="20"/>
        <v>181</v>
      </c>
      <c r="AX18" s="29">
        <f t="shared" si="21"/>
        <v>30</v>
      </c>
      <c r="AY18" s="23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600000000</v>
      </c>
      <c r="AZ18" s="42"/>
      <c r="BA18" s="42"/>
      <c r="BB18" s="42"/>
      <c r="BC18" s="42"/>
      <c r="BD18" s="42"/>
      <c r="BE18" s="42"/>
      <c r="BF18" s="42"/>
      <c r="BG18" s="42"/>
      <c r="BH18" s="96"/>
      <c r="BI18" s="96"/>
      <c r="BJ18" s="96"/>
      <c r="BK18" s="96"/>
      <c r="BL18" s="96"/>
      <c r="BM18" s="96"/>
      <c r="BN18" s="33"/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1</v>
      </c>
      <c r="CR18" s="31">
        <v>-1</v>
      </c>
      <c r="CS18" s="31">
        <v>-1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</row>
    <row r="19" spans="1:104" s="31" customFormat="1" ht="12.75">
      <c r="A19" s="36">
        <f t="shared" si="22"/>
      </c>
      <c r="B19" s="19" t="s">
        <v>35</v>
      </c>
      <c r="C19" s="232" t="s">
        <v>247</v>
      </c>
      <c r="D19" s="19">
        <v>17</v>
      </c>
      <c r="E19" s="19" t="s">
        <v>209</v>
      </c>
      <c r="F19" s="19">
        <v>250</v>
      </c>
      <c r="G19" s="42">
        <f>IF(OR(E19="",F19=""),"",IF(LEFT(E19,1)="M",VLOOKUP(F19,Setup!$J$9:$K$23,2,TRUE),VLOOKUP(F19,Setup!$L$9:$M$23,2,TRUE)))</f>
        <v>275</v>
      </c>
      <c r="H19" s="42">
        <f>IF(F19="",0,VLOOKUP(AL19,DATA!$L$2:$N$1910,IF(LEFT(E19,1)="F",3,2)))</f>
        <v>0.5833</v>
      </c>
      <c r="I19" s="19"/>
      <c r="J19" s="19"/>
      <c r="K19" s="133"/>
      <c r="L19" s="133"/>
      <c r="M19" s="133"/>
      <c r="N19" s="133"/>
      <c r="O19" s="134">
        <f t="shared" si="1"/>
        <v>0</v>
      </c>
      <c r="P19" s="237"/>
      <c r="Q19" s="241">
        <v>130</v>
      </c>
      <c r="R19" s="241">
        <v>140</v>
      </c>
      <c r="S19" s="133">
        <v>-147.5</v>
      </c>
      <c r="T19" s="133"/>
      <c r="U19" s="134">
        <f t="shared" si="2"/>
        <v>140</v>
      </c>
      <c r="V19" s="135">
        <f t="shared" si="3"/>
        <v>0</v>
      </c>
      <c r="W19" s="133"/>
      <c r="X19" s="133"/>
      <c r="Y19" s="133"/>
      <c r="Z19" s="133"/>
      <c r="AA19" s="134">
        <f t="shared" si="4"/>
        <v>0</v>
      </c>
      <c r="AB19" s="135">
        <f t="shared" si="5"/>
        <v>0</v>
      </c>
      <c r="AC19" s="136">
        <f t="shared" si="6"/>
        <v>0</v>
      </c>
      <c r="AD19" s="136">
        <f>IF(OR(AB19=0,D19="",AND(D19&lt;40,D19&gt;22)),0,VLOOKUP($D19,DATA!$A$2:$B$53,2,TRUE)*AC19)</f>
        <v>0</v>
      </c>
      <c r="AE19" s="210">
        <f ca="1">IF(E19="","",OFFSET(Setup!$Q$1,MATCH(E19,Setup!O:O,0)-1,0))</f>
        <v>2</v>
      </c>
      <c r="AF19" s="134">
        <f t="shared" si="7"/>
        <v>0</v>
      </c>
      <c r="AG19" s="42">
        <f>IF(OR(AB19=0),0,VLOOKUP(AV19,Setup!$S$6:$T$15,2,TRUE))</f>
        <v>0</v>
      </c>
      <c r="AH19" s="137"/>
      <c r="AI19" s="132" t="s">
        <v>195</v>
      </c>
      <c r="AJ19" s="124">
        <f t="shared" si="8"/>
        <v>0</v>
      </c>
      <c r="AK19" s="42">
        <f t="shared" si="9"/>
        <v>0</v>
      </c>
      <c r="AL19" s="29">
        <f t="shared" si="10"/>
        <v>113.4</v>
      </c>
      <c r="AM19" s="29">
        <f t="shared" si="11"/>
        <v>0</v>
      </c>
      <c r="AN19" s="29">
        <f t="shared" si="12"/>
        <v>0</v>
      </c>
      <c r="AO19" s="41" t="str">
        <f t="shared" si="13"/>
        <v>M</v>
      </c>
      <c r="AP19" s="41"/>
      <c r="AQ19" s="31">
        <f t="shared" si="14"/>
        <v>0</v>
      </c>
      <c r="AR19" s="230">
        <f t="shared" si="15"/>
        <v>1100000000</v>
      </c>
      <c r="AS19" s="41">
        <f ca="1" t="shared" si="16"/>
        <v>12</v>
      </c>
      <c r="AT19" s="190">
        <f t="shared" si="17"/>
        <v>1100</v>
      </c>
      <c r="AU19" s="115">
        <f ca="1" t="shared" si="18"/>
        <v>12</v>
      </c>
      <c r="AV19" s="211">
        <f t="shared" si="19"/>
        <v>1</v>
      </c>
      <c r="AW19" s="194">
        <f t="shared" si="20"/>
        <v>250</v>
      </c>
      <c r="AX19" s="29">
        <f t="shared" si="21"/>
        <v>9</v>
      </c>
      <c r="AY19" s="23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1100000000</v>
      </c>
      <c r="AZ19" s="42"/>
      <c r="BA19" s="42"/>
      <c r="BB19" s="42"/>
      <c r="BC19" s="42"/>
      <c r="BD19" s="42"/>
      <c r="BE19" s="42"/>
      <c r="BF19" s="42"/>
      <c r="BG19" s="42"/>
      <c r="BH19" s="96"/>
      <c r="BI19" s="96"/>
      <c r="BJ19" s="96"/>
      <c r="BK19" s="96"/>
      <c r="BL19" s="96"/>
      <c r="BM19" s="96"/>
      <c r="BN19" s="33"/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1</v>
      </c>
      <c r="CR19" s="31">
        <v>1</v>
      </c>
      <c r="CS19" s="31">
        <v>-1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</row>
    <row r="20" spans="1:104" s="31" customFormat="1" ht="12.75">
      <c r="A20" s="36">
        <f t="shared" si="22"/>
      </c>
      <c r="B20" s="19" t="s">
        <v>35</v>
      </c>
      <c r="C20" s="232" t="s">
        <v>250</v>
      </c>
      <c r="D20" s="19">
        <v>41</v>
      </c>
      <c r="E20" s="19" t="s">
        <v>205</v>
      </c>
      <c r="F20" s="19">
        <v>219</v>
      </c>
      <c r="G20" s="42">
        <f>IF(OR(E20="",F20=""),"",IF(LEFT(E20,1)="M",VLOOKUP(F20,Setup!$J$9:$K$23,2,TRUE),VLOOKUP(F20,Setup!$L$9:$M$23,2,TRUE)))</f>
        <v>220</v>
      </c>
      <c r="H20" s="42">
        <f>IF(F20="",0,VLOOKUP(AL20,DATA!$L$2:$N$1910,IF(LEFT(E20,1)="F",3,2)))</f>
        <v>0.6103</v>
      </c>
      <c r="I20" s="19"/>
      <c r="J20" s="19"/>
      <c r="K20" s="133"/>
      <c r="L20" s="133"/>
      <c r="M20" s="133"/>
      <c r="N20" s="133"/>
      <c r="O20" s="134">
        <f t="shared" si="1"/>
        <v>0</v>
      </c>
      <c r="P20" s="237"/>
      <c r="Q20" s="133">
        <v>-157.5</v>
      </c>
      <c r="R20" s="241">
        <v>157.5</v>
      </c>
      <c r="S20" s="133">
        <v>-162.5</v>
      </c>
      <c r="T20" s="133"/>
      <c r="U20" s="134">
        <f t="shared" si="2"/>
        <v>157.5</v>
      </c>
      <c r="V20" s="135">
        <f t="shared" si="3"/>
        <v>0</v>
      </c>
      <c r="W20" s="133"/>
      <c r="X20" s="133"/>
      <c r="Y20" s="133"/>
      <c r="Z20" s="133"/>
      <c r="AA20" s="134">
        <f t="shared" si="4"/>
        <v>0</v>
      </c>
      <c r="AB20" s="135">
        <f t="shared" si="5"/>
        <v>0</v>
      </c>
      <c r="AC20" s="136">
        <f t="shared" si="6"/>
        <v>0</v>
      </c>
      <c r="AD20" s="136">
        <f>IF(OR(AB20=0,D20="",AND(D20&lt;40,D20&gt;22)),0,VLOOKUP($D20,DATA!$A$2:$B$53,2,TRUE)*AC20)</f>
        <v>0</v>
      </c>
      <c r="AE20" s="210">
        <f ca="1">IF(E20="","",OFFSET(Setup!$Q$1,MATCH(E20,Setup!O:O,0)-1,0))</f>
        <v>2</v>
      </c>
      <c r="AF20" s="134">
        <f t="shared" si="7"/>
        <v>0</v>
      </c>
      <c r="AG20" s="42">
        <f>IF(OR(AB20=0),0,VLOOKUP(AV20,Setup!$S$6:$T$15,2,TRUE))</f>
        <v>0</v>
      </c>
      <c r="AH20" s="137"/>
      <c r="AI20" s="132" t="s">
        <v>195</v>
      </c>
      <c r="AJ20" s="124">
        <f t="shared" si="8"/>
        <v>0</v>
      </c>
      <c r="AK20" s="42">
        <f t="shared" si="9"/>
        <v>0</v>
      </c>
      <c r="AL20" s="29">
        <f t="shared" si="10"/>
        <v>99.3</v>
      </c>
      <c r="AM20" s="29">
        <f t="shared" si="11"/>
        <v>0</v>
      </c>
      <c r="AN20" s="29">
        <f t="shared" si="12"/>
        <v>0</v>
      </c>
      <c r="AO20" s="41" t="str">
        <f t="shared" si="13"/>
        <v>M</v>
      </c>
      <c r="AP20" s="41"/>
      <c r="AQ20" s="31">
        <f t="shared" si="14"/>
        <v>0</v>
      </c>
      <c r="AR20" s="230">
        <f t="shared" si="15"/>
        <v>700000000</v>
      </c>
      <c r="AS20" s="41">
        <f ca="1" t="shared" si="16"/>
        <v>24</v>
      </c>
      <c r="AT20" s="190">
        <f t="shared" si="17"/>
        <v>700</v>
      </c>
      <c r="AU20" s="115">
        <f ca="1" t="shared" si="18"/>
        <v>22</v>
      </c>
      <c r="AV20" s="211">
        <f t="shared" si="19"/>
        <v>3</v>
      </c>
      <c r="AW20" s="194">
        <f t="shared" si="20"/>
        <v>219</v>
      </c>
      <c r="AX20" s="29">
        <f t="shared" si="21"/>
        <v>19</v>
      </c>
      <c r="AY20" s="23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700000000</v>
      </c>
      <c r="AZ20" s="42"/>
      <c r="BA20" s="42"/>
      <c r="BB20" s="42"/>
      <c r="BC20" s="42"/>
      <c r="BD20" s="42"/>
      <c r="BE20" s="42"/>
      <c r="BF20" s="42"/>
      <c r="BG20" s="42"/>
      <c r="BH20" s="96"/>
      <c r="BI20" s="96"/>
      <c r="BJ20" s="96"/>
      <c r="BK20" s="96"/>
      <c r="BL20" s="96"/>
      <c r="BM20" s="96"/>
      <c r="BN20" s="33"/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-1</v>
      </c>
      <c r="CR20" s="31">
        <v>1</v>
      </c>
      <c r="CS20" s="31">
        <v>-1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</row>
    <row r="21" spans="1:104" s="31" customFormat="1" ht="12.75">
      <c r="A21" s="36">
        <f t="shared" si="22"/>
      </c>
      <c r="B21" s="19" t="s">
        <v>35</v>
      </c>
      <c r="C21" s="232" t="s">
        <v>251</v>
      </c>
      <c r="D21" s="19">
        <v>45</v>
      </c>
      <c r="E21" s="19" t="s">
        <v>206</v>
      </c>
      <c r="F21" s="19">
        <v>198</v>
      </c>
      <c r="G21" s="42">
        <f>IF(OR(E21="",F21=""),"",IF(LEFT(E21,1)="M",VLOOKUP(F21,Setup!$J$9:$K$23,2,TRUE),VLOOKUP(F21,Setup!$L$9:$M$23,2,TRUE)))</f>
        <v>198</v>
      </c>
      <c r="H21" s="42">
        <f>IF(F21="",0,VLOOKUP(AL21,DATA!$L$2:$N$1910,IF(LEFT(E21,1)="F",3,2)))</f>
        <v>0.6391</v>
      </c>
      <c r="I21" s="19"/>
      <c r="J21" s="19"/>
      <c r="K21" s="133"/>
      <c r="L21" s="133"/>
      <c r="M21" s="133"/>
      <c r="N21" s="133"/>
      <c r="O21" s="134">
        <f t="shared" si="1"/>
        <v>0</v>
      </c>
      <c r="P21" s="237"/>
      <c r="Q21" s="241">
        <v>160</v>
      </c>
      <c r="R21" s="133">
        <v>-180</v>
      </c>
      <c r="S21" s="133">
        <v>-180</v>
      </c>
      <c r="T21" s="133"/>
      <c r="U21" s="134">
        <f t="shared" si="2"/>
        <v>160</v>
      </c>
      <c r="V21" s="135">
        <f t="shared" si="3"/>
        <v>0</v>
      </c>
      <c r="W21" s="133"/>
      <c r="X21" s="133"/>
      <c r="Y21" s="133"/>
      <c r="Z21" s="133"/>
      <c r="AA21" s="134">
        <f t="shared" si="4"/>
        <v>0</v>
      </c>
      <c r="AB21" s="135">
        <f t="shared" si="5"/>
        <v>0</v>
      </c>
      <c r="AC21" s="136">
        <f t="shared" si="6"/>
        <v>0</v>
      </c>
      <c r="AD21" s="136">
        <f>IF(OR(AB21=0,D21="",AND(D21&lt;40,D21&gt;22)),0,VLOOKUP($D21,DATA!$A$2:$B$53,2,TRUE)*AC21)</f>
        <v>0</v>
      </c>
      <c r="AE21" s="210">
        <f ca="1">IF(E21="","",OFFSET(Setup!$Q$1,MATCH(E21,Setup!O:O,0)-1,0))</f>
        <v>2</v>
      </c>
      <c r="AF21" s="134">
        <f t="shared" si="7"/>
        <v>0</v>
      </c>
      <c r="AG21" s="42">
        <f>IF(OR(AB21=0),0,VLOOKUP(AV21,Setup!$S$6:$T$15,2,TRUE))</f>
        <v>0</v>
      </c>
      <c r="AH21" s="137"/>
      <c r="AI21" s="132" t="s">
        <v>195</v>
      </c>
      <c r="AJ21" s="124">
        <f t="shared" si="8"/>
        <v>0</v>
      </c>
      <c r="AK21" s="42">
        <f t="shared" si="9"/>
        <v>0</v>
      </c>
      <c r="AL21" s="29">
        <f t="shared" si="10"/>
        <v>89.8</v>
      </c>
      <c r="AM21" s="29">
        <f t="shared" si="11"/>
        <v>0</v>
      </c>
      <c r="AN21" s="29">
        <f t="shared" si="12"/>
        <v>0</v>
      </c>
      <c r="AO21" s="41" t="str">
        <f t="shared" si="13"/>
        <v>M</v>
      </c>
      <c r="AP21" s="41"/>
      <c r="AQ21" s="31">
        <f t="shared" si="14"/>
        <v>0</v>
      </c>
      <c r="AR21" s="230">
        <f t="shared" si="15"/>
        <v>800000000</v>
      </c>
      <c r="AS21" s="41">
        <f ca="1" t="shared" si="16"/>
        <v>19</v>
      </c>
      <c r="AT21" s="190">
        <f t="shared" si="17"/>
        <v>800</v>
      </c>
      <c r="AU21" s="115">
        <f ca="1" t="shared" si="18"/>
        <v>19</v>
      </c>
      <c r="AV21" s="211">
        <f t="shared" si="19"/>
        <v>1</v>
      </c>
      <c r="AW21" s="194">
        <f t="shared" si="20"/>
        <v>198</v>
      </c>
      <c r="AX21" s="29">
        <f t="shared" si="21"/>
        <v>23</v>
      </c>
      <c r="AY21" s="23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800000000</v>
      </c>
      <c r="AZ21" s="42"/>
      <c r="BA21" s="42"/>
      <c r="BB21" s="42"/>
      <c r="BC21" s="42"/>
      <c r="BD21" s="42"/>
      <c r="BE21" s="42"/>
      <c r="BF21" s="42"/>
      <c r="BG21" s="42"/>
      <c r="BH21" s="96"/>
      <c r="BI21" s="96"/>
      <c r="BJ21" s="96"/>
      <c r="BK21" s="96"/>
      <c r="BL21" s="96"/>
      <c r="BM21" s="96"/>
      <c r="BN21" s="33"/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1</v>
      </c>
      <c r="CR21" s="31">
        <v>-1</v>
      </c>
      <c r="CS21" s="31">
        <v>-1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</row>
    <row r="22" spans="1:104" s="31" customFormat="1" ht="12.75">
      <c r="A22" s="36">
        <f t="shared" si="22"/>
      </c>
      <c r="B22" s="19" t="s">
        <v>35</v>
      </c>
      <c r="C22" s="232" t="s">
        <v>252</v>
      </c>
      <c r="D22" s="19">
        <v>47</v>
      </c>
      <c r="E22" s="19" t="s">
        <v>206</v>
      </c>
      <c r="F22" s="19">
        <v>235</v>
      </c>
      <c r="G22" s="42">
        <f>IF(OR(E22="",F22=""),"",IF(LEFT(E22,1)="M",VLOOKUP(F22,Setup!$J$9:$K$23,2,TRUE),VLOOKUP(F22,Setup!$L$9:$M$23,2,TRUE)))</f>
        <v>242</v>
      </c>
      <c r="H22" s="42">
        <f>IF(F22="",0,VLOOKUP(AL22,DATA!$L$2:$N$1910,IF(LEFT(E22,1)="F",3,2)))</f>
        <v>0.5945</v>
      </c>
      <c r="I22" s="19"/>
      <c r="J22" s="19"/>
      <c r="K22" s="133"/>
      <c r="L22" s="133"/>
      <c r="M22" s="133"/>
      <c r="N22" s="133"/>
      <c r="O22" s="134">
        <f t="shared" si="1"/>
        <v>0</v>
      </c>
      <c r="P22" s="237"/>
      <c r="Q22" s="241">
        <v>165</v>
      </c>
      <c r="R22" s="133">
        <v>-185</v>
      </c>
      <c r="S22" s="133">
        <v>-185</v>
      </c>
      <c r="T22" s="133"/>
      <c r="U22" s="134">
        <f t="shared" si="2"/>
        <v>165</v>
      </c>
      <c r="V22" s="135">
        <f t="shared" si="3"/>
        <v>0</v>
      </c>
      <c r="W22" s="133"/>
      <c r="X22" s="133"/>
      <c r="Y22" s="133"/>
      <c r="Z22" s="133"/>
      <c r="AA22" s="134">
        <f t="shared" si="4"/>
        <v>0</v>
      </c>
      <c r="AB22" s="135">
        <f t="shared" si="5"/>
        <v>0</v>
      </c>
      <c r="AC22" s="136">
        <f t="shared" si="6"/>
        <v>0</v>
      </c>
      <c r="AD22" s="136">
        <f>IF(OR(AB22=0,D22="",AND(D22&lt;40,D22&gt;22)),0,VLOOKUP($D22,DATA!$A$2:$B$53,2,TRUE)*AC22)</f>
        <v>0</v>
      </c>
      <c r="AE22" s="210">
        <f ca="1">IF(E22="","",OFFSET(Setup!$Q$1,MATCH(E22,Setup!O:O,0)-1,0))</f>
        <v>2</v>
      </c>
      <c r="AF22" s="134">
        <f t="shared" si="7"/>
        <v>0</v>
      </c>
      <c r="AG22" s="42">
        <f>IF(OR(AB22=0),0,VLOOKUP(AV22,Setup!$S$6:$T$15,2,TRUE))</f>
        <v>0</v>
      </c>
      <c r="AH22" s="137"/>
      <c r="AI22" s="132" t="s">
        <v>195</v>
      </c>
      <c r="AJ22" s="124">
        <f t="shared" si="8"/>
        <v>0</v>
      </c>
      <c r="AK22" s="42">
        <f t="shared" si="9"/>
        <v>0</v>
      </c>
      <c r="AL22" s="29">
        <f t="shared" si="10"/>
        <v>106.6</v>
      </c>
      <c r="AM22" s="29">
        <f t="shared" si="11"/>
        <v>0</v>
      </c>
      <c r="AN22" s="29">
        <f t="shared" si="12"/>
        <v>0</v>
      </c>
      <c r="AO22" s="41" t="str">
        <f t="shared" si="13"/>
        <v>M</v>
      </c>
      <c r="AP22" s="41"/>
      <c r="AQ22" s="31">
        <f t="shared" si="14"/>
        <v>0</v>
      </c>
      <c r="AR22" s="230">
        <f t="shared" si="15"/>
        <v>800000000</v>
      </c>
      <c r="AS22" s="41">
        <f ca="1" t="shared" si="16"/>
        <v>19</v>
      </c>
      <c r="AT22" s="190">
        <f t="shared" si="17"/>
        <v>800</v>
      </c>
      <c r="AU22" s="115">
        <f ca="1" t="shared" si="18"/>
        <v>19</v>
      </c>
      <c r="AV22" s="211">
        <f t="shared" si="19"/>
        <v>1</v>
      </c>
      <c r="AW22" s="194">
        <f t="shared" si="20"/>
        <v>235</v>
      </c>
      <c r="AX22" s="29">
        <f t="shared" si="21"/>
        <v>16</v>
      </c>
      <c r="AY22" s="23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800000000</v>
      </c>
      <c r="AZ22" s="42"/>
      <c r="BA22" s="42"/>
      <c r="BB22" s="42"/>
      <c r="BC22" s="42"/>
      <c r="BD22" s="42"/>
      <c r="BE22" s="42"/>
      <c r="BF22" s="42"/>
      <c r="BG22" s="42"/>
      <c r="BH22" s="96"/>
      <c r="BI22" s="96"/>
      <c r="BJ22" s="96"/>
      <c r="BK22" s="96"/>
      <c r="BL22" s="96"/>
      <c r="BM22" s="96"/>
      <c r="BN22" s="33"/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1</v>
      </c>
      <c r="CR22" s="31">
        <v>-1</v>
      </c>
      <c r="CS22" s="31">
        <v>-1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</row>
    <row r="23" spans="1:104" s="31" customFormat="1" ht="12.75">
      <c r="A23" s="36">
        <f t="shared" si="22"/>
      </c>
      <c r="B23" s="19" t="s">
        <v>35</v>
      </c>
      <c r="C23" s="232" t="s">
        <v>253</v>
      </c>
      <c r="D23" s="19">
        <v>42</v>
      </c>
      <c r="E23" s="19" t="s">
        <v>205</v>
      </c>
      <c r="F23" s="19">
        <v>241.75</v>
      </c>
      <c r="G23" s="42">
        <f>IF(OR(E23="",F23=""),"",IF(LEFT(E23,1)="M",VLOOKUP(F23,Setup!$J$9:$K$23,2,TRUE),VLOOKUP(F23,Setup!$L$9:$M$23,2,TRUE)))</f>
        <v>242</v>
      </c>
      <c r="H23" s="42">
        <f>IF(F23="",0,VLOOKUP(AL23,DATA!$L$2:$N$1910,IF(LEFT(E23,1)="F",3,2)))</f>
        <v>0.589</v>
      </c>
      <c r="I23" s="19"/>
      <c r="J23" s="19"/>
      <c r="K23" s="133"/>
      <c r="L23" s="133"/>
      <c r="M23" s="133"/>
      <c r="N23" s="133"/>
      <c r="O23" s="134">
        <f t="shared" si="1"/>
        <v>0</v>
      </c>
      <c r="P23" s="237"/>
      <c r="Q23" s="241">
        <v>165</v>
      </c>
      <c r="R23" s="241">
        <v>187.5</v>
      </c>
      <c r="S23" s="133">
        <v>-200</v>
      </c>
      <c r="T23" s="133"/>
      <c r="U23" s="134">
        <f t="shared" si="2"/>
        <v>187.5</v>
      </c>
      <c r="V23" s="135">
        <f t="shared" si="3"/>
        <v>0</v>
      </c>
      <c r="W23" s="133"/>
      <c r="X23" s="133"/>
      <c r="Y23" s="133"/>
      <c r="Z23" s="133"/>
      <c r="AA23" s="134">
        <f t="shared" si="4"/>
        <v>0</v>
      </c>
      <c r="AB23" s="135">
        <f t="shared" si="5"/>
        <v>0</v>
      </c>
      <c r="AC23" s="136">
        <f t="shared" si="6"/>
        <v>0</v>
      </c>
      <c r="AD23" s="136">
        <f>IF(OR(AB23=0,D23="",AND(D23&lt;40,D23&gt;22)),0,VLOOKUP($D23,DATA!$A$2:$B$53,2,TRUE)*AC23)</f>
        <v>0</v>
      </c>
      <c r="AE23" s="210">
        <f ca="1">IF(E23="","",OFFSET(Setup!$Q$1,MATCH(E23,Setup!O:O,0)-1,0))</f>
        <v>2</v>
      </c>
      <c r="AF23" s="134">
        <f t="shared" si="7"/>
        <v>0</v>
      </c>
      <c r="AG23" s="42">
        <f>IF(OR(AB23=0),0,VLOOKUP(AV23,Setup!$S$6:$T$15,2,TRUE))</f>
        <v>0</v>
      </c>
      <c r="AH23" s="137"/>
      <c r="AI23" s="132" t="s">
        <v>195</v>
      </c>
      <c r="AJ23" s="124">
        <f t="shared" si="8"/>
        <v>0</v>
      </c>
      <c r="AK23" s="42">
        <f t="shared" si="9"/>
        <v>0</v>
      </c>
      <c r="AL23" s="29">
        <f t="shared" si="10"/>
        <v>109.7</v>
      </c>
      <c r="AM23" s="29">
        <f t="shared" si="11"/>
        <v>0</v>
      </c>
      <c r="AN23" s="29">
        <f t="shared" si="12"/>
        <v>0</v>
      </c>
      <c r="AO23" s="41" t="str">
        <f t="shared" si="13"/>
        <v>M</v>
      </c>
      <c r="AP23" s="41"/>
      <c r="AQ23" s="31">
        <f t="shared" si="14"/>
        <v>0</v>
      </c>
      <c r="AR23" s="230">
        <f t="shared" si="15"/>
        <v>700000000</v>
      </c>
      <c r="AS23" s="41">
        <f ca="1" t="shared" si="16"/>
        <v>24</v>
      </c>
      <c r="AT23" s="190">
        <f t="shared" si="17"/>
        <v>700</v>
      </c>
      <c r="AU23" s="115">
        <f ca="1" t="shared" si="18"/>
        <v>22</v>
      </c>
      <c r="AV23" s="211">
        <f t="shared" si="19"/>
        <v>3</v>
      </c>
      <c r="AW23" s="194">
        <f t="shared" si="20"/>
        <v>241.75</v>
      </c>
      <c r="AX23" s="29">
        <f t="shared" si="21"/>
        <v>14</v>
      </c>
      <c r="AY23" s="23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700000000</v>
      </c>
      <c r="AZ23" s="42"/>
      <c r="BA23" s="42"/>
      <c r="BB23" s="42"/>
      <c r="BC23" s="42"/>
      <c r="BD23" s="42"/>
      <c r="BE23" s="42"/>
      <c r="BF23" s="42"/>
      <c r="BG23" s="42"/>
      <c r="BH23" s="96"/>
      <c r="BI23" s="96"/>
      <c r="BJ23" s="96"/>
      <c r="BK23" s="96"/>
      <c r="BL23" s="96"/>
      <c r="BM23" s="96"/>
      <c r="BN23" s="33"/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1</v>
      </c>
      <c r="CR23" s="31">
        <v>1</v>
      </c>
      <c r="CS23" s="31">
        <v>-1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</row>
    <row r="24" spans="1:104" s="31" customFormat="1" ht="12.75">
      <c r="A24" s="36">
        <f t="shared" si="22"/>
      </c>
      <c r="B24" s="19" t="s">
        <v>35</v>
      </c>
      <c r="C24" s="232" t="s">
        <v>255</v>
      </c>
      <c r="D24" s="19">
        <v>58</v>
      </c>
      <c r="E24" s="19" t="s">
        <v>208</v>
      </c>
      <c r="F24" s="19">
        <v>238.5</v>
      </c>
      <c r="G24" s="42">
        <f>IF(OR(E24="",F24=""),"",IF(LEFT(E24,1)="M",VLOOKUP(F24,Setup!$J$9:$K$23,2,TRUE),VLOOKUP(F24,Setup!$L$9:$M$23,2,TRUE)))</f>
        <v>242</v>
      </c>
      <c r="H24" s="42">
        <f>IF(F24="",0,VLOOKUP(AL24,DATA!$L$2:$N$1910,IF(LEFT(E24,1)="F",3,2)))</f>
        <v>0.5916</v>
      </c>
      <c r="I24" s="19"/>
      <c r="J24" s="19"/>
      <c r="K24" s="133"/>
      <c r="L24" s="133"/>
      <c r="M24" s="133"/>
      <c r="N24" s="133"/>
      <c r="O24" s="134">
        <f t="shared" si="1"/>
        <v>0</v>
      </c>
      <c r="P24" s="237"/>
      <c r="Q24" s="241">
        <v>197.5</v>
      </c>
      <c r="R24" s="133">
        <v>-205</v>
      </c>
      <c r="S24" s="241">
        <v>205</v>
      </c>
      <c r="T24" s="133"/>
      <c r="U24" s="134">
        <f t="shared" si="2"/>
        <v>205</v>
      </c>
      <c r="V24" s="135">
        <f t="shared" si="3"/>
        <v>0</v>
      </c>
      <c r="W24" s="133"/>
      <c r="X24" s="133"/>
      <c r="Y24" s="133"/>
      <c r="Z24" s="133"/>
      <c r="AA24" s="134">
        <f t="shared" si="4"/>
        <v>0</v>
      </c>
      <c r="AB24" s="135">
        <f t="shared" si="5"/>
        <v>0</v>
      </c>
      <c r="AC24" s="136">
        <f t="shared" si="6"/>
        <v>0</v>
      </c>
      <c r="AD24" s="136">
        <f>IF(OR(AB24=0,D24="",AND(D24&lt;40,D24&gt;22)),0,VLOOKUP($D24,DATA!$A$2:$B$53,2,TRUE)*AC24)</f>
        <v>0</v>
      </c>
      <c r="AE24" s="210">
        <f ca="1">IF(E24="","",OFFSET(Setup!$Q$1,MATCH(E24,Setup!O:O,0)-1,0))</f>
        <v>2</v>
      </c>
      <c r="AF24" s="134">
        <f t="shared" si="7"/>
        <v>0</v>
      </c>
      <c r="AG24" s="42">
        <f>IF(OR(AB24=0),0,VLOOKUP(AV24,Setup!$S$6:$T$15,2,TRUE))</f>
        <v>0</v>
      </c>
      <c r="AH24" s="137"/>
      <c r="AI24" s="132" t="s">
        <v>195</v>
      </c>
      <c r="AJ24" s="124">
        <f t="shared" si="8"/>
        <v>0</v>
      </c>
      <c r="AK24" s="42">
        <f t="shared" si="9"/>
        <v>0</v>
      </c>
      <c r="AL24" s="29">
        <f t="shared" si="10"/>
        <v>108.2</v>
      </c>
      <c r="AM24" s="29">
        <f t="shared" si="11"/>
        <v>0</v>
      </c>
      <c r="AN24" s="29">
        <f t="shared" si="12"/>
        <v>0</v>
      </c>
      <c r="AO24" s="41" t="str">
        <f t="shared" si="13"/>
        <v>M</v>
      </c>
      <c r="AP24" s="41"/>
      <c r="AQ24" s="31">
        <f t="shared" si="14"/>
        <v>0</v>
      </c>
      <c r="AR24" s="230">
        <f t="shared" si="15"/>
        <v>1000000000</v>
      </c>
      <c r="AS24" s="41">
        <f ca="1" t="shared" si="16"/>
        <v>15</v>
      </c>
      <c r="AT24" s="190">
        <f t="shared" si="17"/>
        <v>1000</v>
      </c>
      <c r="AU24" s="115">
        <f ca="1" t="shared" si="18"/>
        <v>15</v>
      </c>
      <c r="AV24" s="211">
        <f t="shared" si="19"/>
        <v>1</v>
      </c>
      <c r="AW24" s="194">
        <f t="shared" si="20"/>
        <v>238.5</v>
      </c>
      <c r="AX24" s="29">
        <f t="shared" si="21"/>
        <v>15</v>
      </c>
      <c r="AY24" s="23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1000000000</v>
      </c>
      <c r="AZ24" s="42"/>
      <c r="BA24" s="42"/>
      <c r="BB24" s="42"/>
      <c r="BC24" s="42"/>
      <c r="BD24" s="42"/>
      <c r="BE24" s="42"/>
      <c r="BF24" s="42"/>
      <c r="BG24" s="42"/>
      <c r="BH24" s="96"/>
      <c r="BI24" s="96"/>
      <c r="BJ24" s="96"/>
      <c r="BK24" s="96"/>
      <c r="BL24" s="96"/>
      <c r="BM24" s="96"/>
      <c r="BN24" s="33"/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1</v>
      </c>
      <c r="CR24" s="31">
        <v>-1</v>
      </c>
      <c r="CS24" s="31">
        <v>1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</row>
    <row r="25" spans="1:104" s="31" customFormat="1" ht="12.75">
      <c r="A25" s="36">
        <f t="shared" si="22"/>
      </c>
      <c r="B25" s="19" t="s">
        <v>35</v>
      </c>
      <c r="C25" s="232" t="s">
        <v>254</v>
      </c>
      <c r="D25" s="19">
        <v>45</v>
      </c>
      <c r="E25" s="19" t="s">
        <v>206</v>
      </c>
      <c r="F25" s="19">
        <v>272.25</v>
      </c>
      <c r="G25" s="42">
        <f>IF(OR(E25="",F25=""),"",IF(LEFT(E25,1)="M",VLOOKUP(F25,Setup!$J$9:$K$23,2,TRUE),VLOOKUP(F25,Setup!$L$9:$M$23,2,TRUE)))</f>
        <v>275</v>
      </c>
      <c r="H25" s="42">
        <f>IF(F25="",0,VLOOKUP(AL25,DATA!$L$2:$N$1910,IF(LEFT(E25,1)="F",3,2)))</f>
        <v>0.5713</v>
      </c>
      <c r="I25" s="19"/>
      <c r="J25" s="19"/>
      <c r="K25" s="133"/>
      <c r="L25" s="133"/>
      <c r="M25" s="133"/>
      <c r="N25" s="133"/>
      <c r="O25" s="134">
        <f t="shared" si="1"/>
        <v>0</v>
      </c>
      <c r="P25" s="237"/>
      <c r="Q25" s="241">
        <v>195</v>
      </c>
      <c r="R25" s="241">
        <v>205</v>
      </c>
      <c r="S25" s="133">
        <v>-210</v>
      </c>
      <c r="T25" s="133"/>
      <c r="U25" s="134">
        <f t="shared" si="2"/>
        <v>205</v>
      </c>
      <c r="V25" s="135">
        <f t="shared" si="3"/>
        <v>0</v>
      </c>
      <c r="W25" s="133"/>
      <c r="X25" s="133"/>
      <c r="Y25" s="133"/>
      <c r="Z25" s="133"/>
      <c r="AA25" s="134">
        <f t="shared" si="4"/>
        <v>0</v>
      </c>
      <c r="AB25" s="135">
        <f t="shared" si="5"/>
        <v>0</v>
      </c>
      <c r="AC25" s="136">
        <f t="shared" si="6"/>
        <v>0</v>
      </c>
      <c r="AD25" s="136">
        <f>IF(OR(AB25=0,D25="",AND(D25&lt;40,D25&gt;22)),0,VLOOKUP($D25,DATA!$A$2:$B$53,2,TRUE)*AC25)</f>
        <v>0</v>
      </c>
      <c r="AE25" s="210">
        <f ca="1">IF(E25="","",OFFSET(Setup!$Q$1,MATCH(E25,Setup!O:O,0)-1,0))</f>
        <v>2</v>
      </c>
      <c r="AF25" s="134">
        <f t="shared" si="7"/>
        <v>0</v>
      </c>
      <c r="AG25" s="42">
        <f>IF(OR(AB25=0),0,VLOOKUP(AV25,Setup!$S$6:$T$15,2,TRUE))</f>
        <v>0</v>
      </c>
      <c r="AH25" s="137"/>
      <c r="AI25" s="132" t="s">
        <v>195</v>
      </c>
      <c r="AJ25" s="124">
        <f t="shared" si="8"/>
        <v>0</v>
      </c>
      <c r="AK25" s="42">
        <f t="shared" si="9"/>
        <v>0</v>
      </c>
      <c r="AL25" s="29">
        <f t="shared" si="10"/>
        <v>123.5</v>
      </c>
      <c r="AM25" s="29">
        <f t="shared" si="11"/>
        <v>0</v>
      </c>
      <c r="AN25" s="29">
        <f t="shared" si="12"/>
        <v>0</v>
      </c>
      <c r="AO25" s="41" t="str">
        <f t="shared" si="13"/>
        <v>M</v>
      </c>
      <c r="AP25" s="41"/>
      <c r="AQ25" s="31">
        <f t="shared" si="14"/>
        <v>0</v>
      </c>
      <c r="AR25" s="230">
        <f t="shared" si="15"/>
        <v>800000000</v>
      </c>
      <c r="AS25" s="41">
        <f ca="1" t="shared" si="16"/>
        <v>19</v>
      </c>
      <c r="AT25" s="190">
        <f t="shared" si="17"/>
        <v>800</v>
      </c>
      <c r="AU25" s="115">
        <f ca="1" t="shared" si="18"/>
        <v>19</v>
      </c>
      <c r="AV25" s="211">
        <f t="shared" si="19"/>
        <v>1</v>
      </c>
      <c r="AW25" s="194">
        <f t="shared" si="20"/>
        <v>272.25</v>
      </c>
      <c r="AX25" s="29">
        <f t="shared" si="21"/>
        <v>5</v>
      </c>
      <c r="AY25" s="23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800000000</v>
      </c>
      <c r="AZ25" s="42"/>
      <c r="BA25" s="42"/>
      <c r="BB25" s="42"/>
      <c r="BC25" s="42"/>
      <c r="BD25" s="42"/>
      <c r="BE25" s="42"/>
      <c r="BF25" s="42"/>
      <c r="BG25" s="42"/>
      <c r="BH25" s="96"/>
      <c r="BI25" s="96"/>
      <c r="BJ25" s="96"/>
      <c r="BK25" s="96"/>
      <c r="BL25" s="96"/>
      <c r="BM25" s="96"/>
      <c r="BN25" s="33"/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1</v>
      </c>
      <c r="CR25" s="31">
        <v>1</v>
      </c>
      <c r="CS25" s="31">
        <v>-1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</row>
    <row r="26" spans="1:104" s="31" customFormat="1" ht="12.75">
      <c r="A26" s="36">
        <f t="shared" si="22"/>
      </c>
      <c r="B26" s="19" t="s">
        <v>35</v>
      </c>
      <c r="C26" s="232" t="s">
        <v>245</v>
      </c>
      <c r="D26" s="19">
        <v>60</v>
      </c>
      <c r="E26" s="19" t="s">
        <v>211</v>
      </c>
      <c r="F26" s="19">
        <v>148</v>
      </c>
      <c r="G26" s="42">
        <f>IF(OR(E26="",F26=""),"",IF(LEFT(E26,1)="M",VLOOKUP(F26,Setup!$J$9:$K$23,2,TRUE),VLOOKUP(F26,Setup!$L$9:$M$23,2,TRUE)))</f>
        <v>148</v>
      </c>
      <c r="H26" s="42">
        <f>IF(F26="",0,VLOOKUP(AL26,DATA!$L$2:$N$1910,IF(LEFT(E26,1)="F",3,2)))</f>
        <v>0.7747</v>
      </c>
      <c r="I26" s="19"/>
      <c r="J26" s="19"/>
      <c r="K26" s="133"/>
      <c r="L26" s="133"/>
      <c r="M26" s="133"/>
      <c r="N26" s="133"/>
      <c r="O26" s="134">
        <f t="shared" si="1"/>
        <v>0</v>
      </c>
      <c r="P26" s="237"/>
      <c r="Q26" s="133">
        <v>0</v>
      </c>
      <c r="R26" s="133">
        <v>0</v>
      </c>
      <c r="S26" s="133">
        <v>0</v>
      </c>
      <c r="T26" s="133"/>
      <c r="U26" s="134">
        <f t="shared" si="2"/>
        <v>0</v>
      </c>
      <c r="V26" s="135">
        <f t="shared" si="3"/>
        <v>0</v>
      </c>
      <c r="W26" s="133"/>
      <c r="X26" s="133"/>
      <c r="Y26" s="133"/>
      <c r="Z26" s="133"/>
      <c r="AA26" s="134">
        <f t="shared" si="4"/>
        <v>0</v>
      </c>
      <c r="AB26" s="135">
        <f t="shared" si="5"/>
        <v>0</v>
      </c>
      <c r="AC26" s="136">
        <f t="shared" si="6"/>
        <v>0</v>
      </c>
      <c r="AD26" s="136">
        <f>IF(OR(AB26=0,D26="",AND(D26&lt;40,D26&gt;22)),0,VLOOKUP($D26,DATA!$A$2:$B$53,2,TRUE)*AC26)</f>
        <v>0</v>
      </c>
      <c r="AE26" s="210">
        <f ca="1">IF(E26="","",OFFSET(Setup!$Q$1,MATCH(E26,Setup!O:O,0)-1,0))</f>
        <v>2</v>
      </c>
      <c r="AF26" s="134">
        <f t="shared" si="7"/>
        <v>0</v>
      </c>
      <c r="AG26" s="42">
        <f>IF(OR(AB26=0),0,VLOOKUP(AV26,Setup!$S$6:$T$15,2,TRUE))</f>
        <v>0</v>
      </c>
      <c r="AH26" s="137"/>
      <c r="AI26" s="132" t="s">
        <v>195</v>
      </c>
      <c r="AJ26" s="124">
        <f t="shared" si="8"/>
        <v>0</v>
      </c>
      <c r="AK26" s="42">
        <f t="shared" si="9"/>
        <v>0</v>
      </c>
      <c r="AL26" s="29">
        <f t="shared" si="10"/>
        <v>67.1</v>
      </c>
      <c r="AM26" s="29">
        <f t="shared" si="11"/>
        <v>0</v>
      </c>
      <c r="AN26" s="29">
        <f t="shared" si="12"/>
        <v>0</v>
      </c>
      <c r="AO26" s="41" t="str">
        <f t="shared" si="13"/>
        <v>M</v>
      </c>
      <c r="AP26" s="41"/>
      <c r="AQ26" s="31">
        <f t="shared" si="14"/>
        <v>0</v>
      </c>
      <c r="AR26" s="230">
        <f t="shared" si="15"/>
        <v>1200000000</v>
      </c>
      <c r="AS26" s="41">
        <f ca="1" t="shared" si="16"/>
        <v>10</v>
      </c>
      <c r="AT26" s="190">
        <f t="shared" si="17"/>
        <v>1200</v>
      </c>
      <c r="AU26" s="115">
        <f ca="1" t="shared" si="18"/>
        <v>10</v>
      </c>
      <c r="AV26" s="211">
        <f t="shared" si="19"/>
        <v>1</v>
      </c>
      <c r="AW26" s="194">
        <f t="shared" si="20"/>
        <v>148</v>
      </c>
      <c r="AX26" s="29">
        <f t="shared" si="21"/>
        <v>33</v>
      </c>
      <c r="AY26" s="23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1200000000</v>
      </c>
      <c r="AZ26" s="42"/>
      <c r="BA26" s="42"/>
      <c r="BB26" s="42"/>
      <c r="BC26" s="42"/>
      <c r="BD26" s="42"/>
      <c r="BE26" s="42"/>
      <c r="BF26" s="42"/>
      <c r="BG26" s="42"/>
      <c r="BH26" s="96"/>
      <c r="BI26" s="96"/>
      <c r="BJ26" s="96"/>
      <c r="BK26" s="96"/>
      <c r="BL26" s="96"/>
      <c r="BM26" s="96"/>
      <c r="BN26" s="33"/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</row>
    <row r="27" spans="1:104" s="31" customFormat="1" ht="12.75">
      <c r="A27" s="36">
        <f aca="true" t="shared" si="23" ref="A27:A48">IF(W27,ABS(W27+0.0001*I27),"")</f>
        <v>57.5</v>
      </c>
      <c r="B27" s="19" t="s">
        <v>33</v>
      </c>
      <c r="C27" s="232" t="s">
        <v>232</v>
      </c>
      <c r="D27" s="19">
        <v>56</v>
      </c>
      <c r="E27" s="19" t="s">
        <v>200</v>
      </c>
      <c r="F27" s="19">
        <v>102</v>
      </c>
      <c r="G27" s="42">
        <f>IF(OR(E27="",F27=""),"",IF(LEFT(E27,1)="M",VLOOKUP(F27,Setup!$J$9:$K$23,2,TRUE),VLOOKUP(F27,Setup!$L$9:$M$23,2,TRUE)))</f>
        <v>105</v>
      </c>
      <c r="H27" s="42">
        <f>IF(F27="",0,VLOOKUP(AL27,DATA!$L$2:$N$1910,IF(LEFT(E27,1)="F",3,2)))</f>
        <v>1.3594</v>
      </c>
      <c r="I27" s="19"/>
      <c r="J27" s="19" t="s">
        <v>266</v>
      </c>
      <c r="K27" s="241">
        <v>42.5</v>
      </c>
      <c r="L27" s="241">
        <v>45</v>
      </c>
      <c r="M27" s="241">
        <v>47.5</v>
      </c>
      <c r="N27" s="133"/>
      <c r="O27" s="134">
        <f t="shared" si="1"/>
        <v>47.5</v>
      </c>
      <c r="P27" s="237"/>
      <c r="Q27" s="133">
        <v>-35</v>
      </c>
      <c r="R27" s="241">
        <v>35</v>
      </c>
      <c r="S27" s="133">
        <v>-37.5</v>
      </c>
      <c r="T27" s="133"/>
      <c r="U27" s="134">
        <f t="shared" si="2"/>
        <v>35</v>
      </c>
      <c r="V27" s="135">
        <f t="shared" si="3"/>
        <v>82.5</v>
      </c>
      <c r="W27" s="241">
        <v>57.5</v>
      </c>
      <c r="X27" s="241">
        <v>72.5</v>
      </c>
      <c r="Y27" s="133">
        <v>-80</v>
      </c>
      <c r="Z27" s="133"/>
      <c r="AA27" s="134">
        <f t="shared" si="4"/>
        <v>72.5</v>
      </c>
      <c r="AB27" s="135">
        <f t="shared" si="5"/>
        <v>155</v>
      </c>
      <c r="AC27" s="136">
        <f t="shared" si="6"/>
        <v>210.707</v>
      </c>
      <c r="AD27" s="136">
        <f>IF(OR(AB27=0,D27="",AND(D27&lt;40,D27&gt;22)),0,VLOOKUP($D27,DATA!$A$2:$B$53,2,TRUE)*AC27)</f>
        <v>262.54092199999997</v>
      </c>
      <c r="AE27" s="210">
        <f ca="1">IF(E27="","",OFFSET(Setup!$Q$1,MATCH(E27,Setup!O:O,0)-1,0))</f>
        <v>2</v>
      </c>
      <c r="AF27" s="134" t="str">
        <f t="shared" si="7"/>
        <v>1-F1</v>
      </c>
      <c r="AG27" s="42">
        <f>IF(OR(AB27=0),0,VLOOKUP(AV27,Setup!$S$6:$T$15,2,TRUE))</f>
        <v>7</v>
      </c>
      <c r="AH27" s="137">
        <v>2</v>
      </c>
      <c r="AI27" s="132" t="s">
        <v>277</v>
      </c>
      <c r="AJ27" s="124">
        <f t="shared" si="8"/>
        <v>1</v>
      </c>
      <c r="AK27" s="42">
        <f t="shared" si="9"/>
        <v>6</v>
      </c>
      <c r="AL27" s="29">
        <f t="shared" si="10"/>
        <v>46.3</v>
      </c>
      <c r="AM27" s="29">
        <f t="shared" si="11"/>
        <v>155</v>
      </c>
      <c r="AN27" s="29">
        <f t="shared" si="12"/>
        <v>107.5</v>
      </c>
      <c r="AO27" s="41" t="str">
        <f t="shared" si="13"/>
        <v>F</v>
      </c>
      <c r="AP27" s="41"/>
      <c r="AQ27" s="31">
        <f t="shared" si="14"/>
        <v>1</v>
      </c>
      <c r="AR27" s="230">
        <f t="shared" si="15"/>
        <v>200000210.707</v>
      </c>
      <c r="AS27" s="41">
        <f ca="1" t="shared" si="16"/>
        <v>39</v>
      </c>
      <c r="AT27" s="190">
        <f t="shared" si="17"/>
        <v>200</v>
      </c>
      <c r="AU27" s="115">
        <f ca="1" t="shared" si="18"/>
        <v>39</v>
      </c>
      <c r="AV27" s="211">
        <f t="shared" si="19"/>
        <v>1</v>
      </c>
      <c r="AW27" s="194">
        <f t="shared" si="20"/>
        <v>102</v>
      </c>
      <c r="AX27" s="29">
        <f t="shared" si="21"/>
        <v>39</v>
      </c>
      <c r="AY27" s="23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200000210.707</v>
      </c>
      <c r="AZ27" s="42"/>
      <c r="BA27" s="42"/>
      <c r="BB27" s="42"/>
      <c r="BC27" s="42"/>
      <c r="BD27" s="42"/>
      <c r="BE27" s="42"/>
      <c r="BF27" s="42"/>
      <c r="BG27" s="42"/>
      <c r="BH27" s="96"/>
      <c r="BI27" s="96"/>
      <c r="BJ27" s="96"/>
      <c r="BK27" s="96"/>
      <c r="BL27" s="96"/>
      <c r="BM27" s="96"/>
      <c r="BN27" s="33"/>
      <c r="CJ27" s="31">
        <v>0</v>
      </c>
      <c r="CK27" s="31">
        <v>1</v>
      </c>
      <c r="CL27" s="31">
        <v>1</v>
      </c>
      <c r="CM27" s="31">
        <v>1</v>
      </c>
      <c r="CN27" s="31">
        <v>0</v>
      </c>
      <c r="CO27" s="31">
        <v>0</v>
      </c>
      <c r="CP27" s="31">
        <v>0</v>
      </c>
      <c r="CQ27" s="31">
        <v>-1</v>
      </c>
      <c r="CR27" s="31">
        <v>1</v>
      </c>
      <c r="CS27" s="31">
        <v>-1</v>
      </c>
      <c r="CT27" s="31">
        <v>0</v>
      </c>
      <c r="CU27" s="31">
        <v>0</v>
      </c>
      <c r="CV27" s="31">
        <v>0</v>
      </c>
      <c r="CW27" s="31">
        <v>1</v>
      </c>
      <c r="CX27" s="31">
        <v>1</v>
      </c>
      <c r="CY27" s="31">
        <v>-1</v>
      </c>
      <c r="CZ27" s="31">
        <v>0</v>
      </c>
    </row>
    <row r="28" spans="1:104" s="31" customFormat="1" ht="12.75">
      <c r="A28" s="36">
        <f t="shared" si="23"/>
        <v>102.5</v>
      </c>
      <c r="B28" s="19" t="s">
        <v>33</v>
      </c>
      <c r="C28" s="232" t="s">
        <v>234</v>
      </c>
      <c r="D28" s="19">
        <v>42</v>
      </c>
      <c r="E28" s="19" t="s">
        <v>205</v>
      </c>
      <c r="F28" s="19">
        <v>196</v>
      </c>
      <c r="G28" s="42">
        <f>IF(OR(E28="",F28=""),"",IF(LEFT(E28,1)="M",VLOOKUP(F28,Setup!$J$9:$K$23,2,TRUE),VLOOKUP(F28,Setup!$L$9:$M$23,2,TRUE)))</f>
        <v>198</v>
      </c>
      <c r="H28" s="42">
        <f>IF(F28="",0,VLOOKUP(AL28,DATA!$L$2:$N$1910,IF(LEFT(E28,1)="F",3,2)))</f>
        <v>0.6424</v>
      </c>
      <c r="I28" s="19"/>
      <c r="J28" s="19" t="s">
        <v>268</v>
      </c>
      <c r="K28" s="241">
        <v>97.5</v>
      </c>
      <c r="L28" s="133">
        <v>-100</v>
      </c>
      <c r="M28" s="241">
        <v>100</v>
      </c>
      <c r="N28" s="133"/>
      <c r="O28" s="134">
        <f t="shared" si="1"/>
        <v>100</v>
      </c>
      <c r="P28" s="237"/>
      <c r="Q28" s="241">
        <v>102.5</v>
      </c>
      <c r="R28" s="241">
        <v>110</v>
      </c>
      <c r="S28" s="133">
        <v>-115</v>
      </c>
      <c r="T28" s="133"/>
      <c r="U28" s="134">
        <f t="shared" si="2"/>
        <v>110</v>
      </c>
      <c r="V28" s="135">
        <f t="shared" si="3"/>
        <v>210</v>
      </c>
      <c r="W28" s="241">
        <v>102.5</v>
      </c>
      <c r="X28" s="241">
        <v>125</v>
      </c>
      <c r="Y28" s="241">
        <v>145</v>
      </c>
      <c r="Z28" s="133"/>
      <c r="AA28" s="134">
        <f t="shared" si="4"/>
        <v>145</v>
      </c>
      <c r="AB28" s="135">
        <f t="shared" si="5"/>
        <v>355</v>
      </c>
      <c r="AC28" s="136">
        <f t="shared" si="6"/>
        <v>228.052</v>
      </c>
      <c r="AD28" s="136">
        <f>IF(OR(AB28=0,D28="",AND(D28&lt;40,D28&gt;22)),0,VLOOKUP($D28,DATA!$A$2:$B$53,2,TRUE)*AC28)</f>
        <v>232.61303999999998</v>
      </c>
      <c r="AE28" s="210">
        <f ca="1">IF(E28="","",OFFSET(Setup!$Q$1,MATCH(E28,Setup!O:O,0)-1,0))</f>
        <v>2</v>
      </c>
      <c r="AF28" s="134" t="str">
        <f t="shared" si="7"/>
        <v>2-M3</v>
      </c>
      <c r="AG28" s="42">
        <f>IF(OR(AB28=0),0,VLOOKUP(AV28,Setup!$S$6:$T$15,2,TRUE))</f>
        <v>5</v>
      </c>
      <c r="AH28" s="137"/>
      <c r="AI28" s="132" t="s">
        <v>277</v>
      </c>
      <c r="AJ28" s="124">
        <f t="shared" si="8"/>
        <v>1</v>
      </c>
      <c r="AK28" s="42">
        <f t="shared" si="9"/>
        <v>6</v>
      </c>
      <c r="AL28" s="29">
        <f t="shared" si="10"/>
        <v>88.9</v>
      </c>
      <c r="AM28" s="29">
        <f t="shared" si="11"/>
        <v>355</v>
      </c>
      <c r="AN28" s="29">
        <f t="shared" si="12"/>
        <v>255</v>
      </c>
      <c r="AO28" s="41" t="str">
        <f t="shared" si="13"/>
        <v>M</v>
      </c>
      <c r="AP28" s="41"/>
      <c r="AQ28" s="31">
        <f t="shared" si="14"/>
        <v>1</v>
      </c>
      <c r="AR28" s="230">
        <f t="shared" si="15"/>
        <v>700000228.052</v>
      </c>
      <c r="AS28" s="41">
        <f ca="1" t="shared" si="16"/>
        <v>23</v>
      </c>
      <c r="AT28" s="190">
        <f t="shared" si="17"/>
        <v>700</v>
      </c>
      <c r="AU28" s="115">
        <f ca="1" t="shared" si="18"/>
        <v>22</v>
      </c>
      <c r="AV28" s="211">
        <f t="shared" si="19"/>
        <v>2</v>
      </c>
      <c r="AW28" s="194">
        <f t="shared" si="20"/>
        <v>196</v>
      </c>
      <c r="AX28" s="29">
        <f t="shared" si="21"/>
        <v>25</v>
      </c>
      <c r="AY28" s="23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700000228.052</v>
      </c>
      <c r="AZ28" s="42"/>
      <c r="BA28" s="42"/>
      <c r="BB28" s="42"/>
      <c r="BC28" s="42"/>
      <c r="BD28" s="42"/>
      <c r="BE28" s="42"/>
      <c r="BF28" s="42"/>
      <c r="BG28" s="42"/>
      <c r="BH28" s="96"/>
      <c r="BI28" s="96"/>
      <c r="BJ28" s="96"/>
      <c r="BK28" s="96"/>
      <c r="BL28" s="96"/>
      <c r="BM28" s="96"/>
      <c r="BN28" s="33"/>
      <c r="CJ28" s="31">
        <v>0</v>
      </c>
      <c r="CK28" s="31">
        <v>1</v>
      </c>
      <c r="CL28" s="31">
        <v>-1</v>
      </c>
      <c r="CM28" s="31">
        <v>1</v>
      </c>
      <c r="CN28" s="31">
        <v>0</v>
      </c>
      <c r="CO28" s="31">
        <v>0</v>
      </c>
      <c r="CP28" s="31">
        <v>0</v>
      </c>
      <c r="CQ28" s="31">
        <v>1</v>
      </c>
      <c r="CR28" s="31">
        <v>1</v>
      </c>
      <c r="CS28" s="31">
        <v>-1</v>
      </c>
      <c r="CT28" s="31">
        <v>0</v>
      </c>
      <c r="CU28" s="31">
        <v>0</v>
      </c>
      <c r="CV28" s="31">
        <v>0</v>
      </c>
      <c r="CW28" s="31">
        <v>1</v>
      </c>
      <c r="CX28" s="31">
        <v>1</v>
      </c>
      <c r="CY28" s="31">
        <v>1</v>
      </c>
      <c r="CZ28" s="31">
        <v>0</v>
      </c>
    </row>
    <row r="29" spans="1:104" s="31" customFormat="1" ht="12.75">
      <c r="A29" s="36">
        <f t="shared" si="23"/>
        <v>125</v>
      </c>
      <c r="B29" s="19" t="s">
        <v>33</v>
      </c>
      <c r="C29" s="232" t="s">
        <v>236</v>
      </c>
      <c r="D29" s="19">
        <v>42</v>
      </c>
      <c r="E29" s="19" t="s">
        <v>202</v>
      </c>
      <c r="F29" s="19">
        <v>130</v>
      </c>
      <c r="G29" s="42">
        <f>IF(OR(E29="",F29=""),"",IF(LEFT(E29,1)="M",VLOOKUP(F29,Setup!$J$9:$K$23,2,TRUE),VLOOKUP(F29,Setup!$L$9:$M$23,2,TRUE)))</f>
        <v>132</v>
      </c>
      <c r="H29" s="42">
        <f>IF(F29="",0,VLOOKUP(AL29,DATA!$L$2:$N$1910,IF(LEFT(E29,1)="F",3,2)))</f>
        <v>1.1295</v>
      </c>
      <c r="I29" s="19"/>
      <c r="J29" s="19">
        <v>8</v>
      </c>
      <c r="K29" s="133">
        <v>-112.5</v>
      </c>
      <c r="L29" s="241">
        <v>112.5</v>
      </c>
      <c r="M29" s="241">
        <v>125</v>
      </c>
      <c r="N29" s="133"/>
      <c r="O29" s="134">
        <f t="shared" si="1"/>
        <v>125</v>
      </c>
      <c r="P29" s="237"/>
      <c r="Q29" s="241">
        <v>67.5</v>
      </c>
      <c r="R29" s="133">
        <v>-75</v>
      </c>
      <c r="S29" s="133">
        <v>-75</v>
      </c>
      <c r="T29" s="133"/>
      <c r="U29" s="134">
        <f t="shared" si="2"/>
        <v>67.5</v>
      </c>
      <c r="V29" s="135">
        <f t="shared" si="3"/>
        <v>192.5</v>
      </c>
      <c r="W29" s="241">
        <v>125</v>
      </c>
      <c r="X29" s="241">
        <v>137.5</v>
      </c>
      <c r="Y29" s="241">
        <v>140</v>
      </c>
      <c r="Z29" s="133"/>
      <c r="AA29" s="134">
        <f t="shared" si="4"/>
        <v>140</v>
      </c>
      <c r="AB29" s="135">
        <f t="shared" si="5"/>
        <v>332.5</v>
      </c>
      <c r="AC29" s="136">
        <f t="shared" si="6"/>
        <v>375.55875</v>
      </c>
      <c r="AD29" s="136">
        <f>IF(OR(AB29=0,D29="",AND(D29&lt;40,D29&gt;22)),0,VLOOKUP($D29,DATA!$A$2:$B$53,2,TRUE)*AC29)</f>
        <v>383.06992499999996</v>
      </c>
      <c r="AE29" s="210">
        <f ca="1">IF(E29="","",OFFSET(Setup!$Q$1,MATCH(E29,Setup!O:O,0)-1,0))</f>
        <v>2</v>
      </c>
      <c r="AF29" s="134" t="str">
        <f t="shared" si="7"/>
        <v>1-F4</v>
      </c>
      <c r="AG29" s="42">
        <f>IF(OR(AB29=0),0,VLOOKUP(AV29,Setup!$S$6:$T$15,2,TRUE))</f>
        <v>7</v>
      </c>
      <c r="AH29" s="137" t="s">
        <v>309</v>
      </c>
      <c r="AI29" s="132" t="s">
        <v>277</v>
      </c>
      <c r="AJ29" s="124">
        <f t="shared" si="8"/>
        <v>1</v>
      </c>
      <c r="AK29" s="42">
        <f t="shared" si="9"/>
        <v>6</v>
      </c>
      <c r="AL29" s="29">
        <f t="shared" si="10"/>
        <v>59</v>
      </c>
      <c r="AM29" s="29">
        <f t="shared" si="11"/>
        <v>332.5</v>
      </c>
      <c r="AN29" s="29">
        <f t="shared" si="12"/>
        <v>207.5</v>
      </c>
      <c r="AO29" s="41" t="str">
        <f t="shared" si="13"/>
        <v>F</v>
      </c>
      <c r="AP29" s="41"/>
      <c r="AQ29" s="31">
        <f t="shared" si="14"/>
        <v>1</v>
      </c>
      <c r="AR29" s="230">
        <f t="shared" si="15"/>
        <v>400000375.55875</v>
      </c>
      <c r="AS29" s="41">
        <f ca="1" t="shared" si="16"/>
        <v>37</v>
      </c>
      <c r="AT29" s="190">
        <f t="shared" si="17"/>
        <v>400</v>
      </c>
      <c r="AU29" s="115">
        <f ca="1" t="shared" si="18"/>
        <v>37</v>
      </c>
      <c r="AV29" s="211">
        <f t="shared" si="19"/>
        <v>1</v>
      </c>
      <c r="AW29" s="194">
        <f t="shared" si="20"/>
        <v>130</v>
      </c>
      <c r="AX29" s="29">
        <f t="shared" si="21"/>
        <v>37</v>
      </c>
      <c r="AY29" s="23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400000375.55875</v>
      </c>
      <c r="AZ29" s="42"/>
      <c r="BA29" s="42"/>
      <c r="BB29" s="42"/>
      <c r="BC29" s="42"/>
      <c r="BD29" s="42"/>
      <c r="BE29" s="42"/>
      <c r="BF29" s="42"/>
      <c r="BG29" s="42"/>
      <c r="BH29" s="96"/>
      <c r="BI29" s="96"/>
      <c r="BJ29" s="96"/>
      <c r="BK29" s="96"/>
      <c r="BL29" s="96"/>
      <c r="BM29" s="96"/>
      <c r="BN29" s="33"/>
      <c r="CJ29" s="31">
        <v>0</v>
      </c>
      <c r="CK29" s="31">
        <v>-1</v>
      </c>
      <c r="CL29" s="31">
        <v>1</v>
      </c>
      <c r="CM29" s="31">
        <v>1</v>
      </c>
      <c r="CN29" s="31">
        <v>0</v>
      </c>
      <c r="CO29" s="31">
        <v>0</v>
      </c>
      <c r="CP29" s="31">
        <v>0</v>
      </c>
      <c r="CQ29" s="31">
        <v>1</v>
      </c>
      <c r="CR29" s="31">
        <v>-1</v>
      </c>
      <c r="CS29" s="31">
        <v>-1</v>
      </c>
      <c r="CT29" s="31">
        <v>0</v>
      </c>
      <c r="CU29" s="31">
        <v>0</v>
      </c>
      <c r="CV29" s="31">
        <v>0</v>
      </c>
      <c r="CW29" s="31">
        <v>1</v>
      </c>
      <c r="CX29" s="31">
        <v>1</v>
      </c>
      <c r="CY29" s="31">
        <v>1</v>
      </c>
      <c r="CZ29" s="31">
        <v>0</v>
      </c>
    </row>
    <row r="30" spans="1:104" s="31" customFormat="1" ht="12.75">
      <c r="A30" s="36">
        <f t="shared" si="23"/>
        <v>147.5</v>
      </c>
      <c r="B30" s="19" t="s">
        <v>33</v>
      </c>
      <c r="C30" s="232" t="s">
        <v>238</v>
      </c>
      <c r="D30" s="19">
        <v>23</v>
      </c>
      <c r="E30" s="19" t="s">
        <v>203</v>
      </c>
      <c r="F30" s="19">
        <v>123</v>
      </c>
      <c r="G30" s="42">
        <f>IF(OR(E30="",F30=""),"",IF(LEFT(E30,1)="M",VLOOKUP(F30,Setup!$J$9:$K$23,2,TRUE),VLOOKUP(F30,Setup!$L$9:$M$23,2,TRUE)))</f>
        <v>123</v>
      </c>
      <c r="H30" s="42">
        <f>IF(F30="",0,VLOOKUP(AL30,DATA!$L$2:$N$1910,IF(LEFT(E30,1)="F",3,2)))</f>
        <v>0.9135</v>
      </c>
      <c r="I30" s="19"/>
      <c r="J30" s="19">
        <v>15</v>
      </c>
      <c r="K30" s="241">
        <v>132.5</v>
      </c>
      <c r="L30" s="133">
        <v>-155</v>
      </c>
      <c r="M30" s="133">
        <v>-155</v>
      </c>
      <c r="N30" s="133"/>
      <c r="O30" s="134">
        <f t="shared" si="1"/>
        <v>132.5</v>
      </c>
      <c r="P30" s="237"/>
      <c r="Q30" s="241">
        <v>105</v>
      </c>
      <c r="R30" s="133">
        <v>-110</v>
      </c>
      <c r="S30" s="133">
        <v>-110</v>
      </c>
      <c r="T30" s="133"/>
      <c r="U30" s="134">
        <f t="shared" si="2"/>
        <v>105</v>
      </c>
      <c r="V30" s="135">
        <f t="shared" si="3"/>
        <v>237.5</v>
      </c>
      <c r="W30" s="241">
        <v>147.5</v>
      </c>
      <c r="X30" s="241">
        <v>162.5</v>
      </c>
      <c r="Y30" s="133">
        <v>0</v>
      </c>
      <c r="Z30" s="133"/>
      <c r="AA30" s="134">
        <f t="shared" si="4"/>
        <v>162.5</v>
      </c>
      <c r="AB30" s="135">
        <f t="shared" si="5"/>
        <v>400</v>
      </c>
      <c r="AC30" s="136">
        <f t="shared" si="6"/>
        <v>365.4</v>
      </c>
      <c r="AD30" s="136">
        <f>IF(OR(AB30=0,D30="",AND(D30&lt;40,D30&gt;22)),0,VLOOKUP($D30,DATA!$A$2:$B$53,2,TRUE)*AC30)</f>
        <v>0</v>
      </c>
      <c r="AE30" s="210">
        <f ca="1">IF(E30="","",OFFSET(Setup!$Q$1,MATCH(E30,Setup!O:O,0)-1,0))</f>
        <v>2</v>
      </c>
      <c r="AF30" s="134" t="str">
        <f t="shared" si="7"/>
        <v>4-M1</v>
      </c>
      <c r="AG30" s="42">
        <f>IF(OR(AB30=0),0,VLOOKUP(AV30,Setup!$S$6:$T$15,2,TRUE))</f>
        <v>2</v>
      </c>
      <c r="AH30" s="137"/>
      <c r="AI30" s="132" t="s">
        <v>277</v>
      </c>
      <c r="AJ30" s="124">
        <f t="shared" si="8"/>
        <v>1</v>
      </c>
      <c r="AK30" s="42">
        <f t="shared" si="9"/>
        <v>6</v>
      </c>
      <c r="AL30" s="29">
        <f t="shared" si="10"/>
        <v>55.8</v>
      </c>
      <c r="AM30" s="29">
        <f t="shared" si="11"/>
        <v>400</v>
      </c>
      <c r="AN30" s="29">
        <f t="shared" si="12"/>
        <v>267.5</v>
      </c>
      <c r="AO30" s="41" t="str">
        <f t="shared" si="13"/>
        <v>M</v>
      </c>
      <c r="AP30" s="41"/>
      <c r="AQ30" s="31">
        <f t="shared" si="14"/>
        <v>1</v>
      </c>
      <c r="AR30" s="230">
        <f t="shared" si="15"/>
        <v>500000365.4</v>
      </c>
      <c r="AS30" s="41">
        <f ca="1" t="shared" si="16"/>
        <v>33</v>
      </c>
      <c r="AT30" s="190">
        <f t="shared" si="17"/>
        <v>500</v>
      </c>
      <c r="AU30" s="115">
        <f ca="1" t="shared" si="18"/>
        <v>30</v>
      </c>
      <c r="AV30" s="211">
        <f t="shared" si="19"/>
        <v>4</v>
      </c>
      <c r="AW30" s="194">
        <f t="shared" si="20"/>
        <v>123</v>
      </c>
      <c r="AX30" s="29">
        <f t="shared" si="21"/>
        <v>38</v>
      </c>
      <c r="AY30" s="23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500000365.4</v>
      </c>
      <c r="AZ30" s="42"/>
      <c r="BA30" s="42"/>
      <c r="BB30" s="42"/>
      <c r="BC30" s="42"/>
      <c r="BD30" s="42"/>
      <c r="BE30" s="42"/>
      <c r="BF30" s="42"/>
      <c r="BG30" s="42"/>
      <c r="BH30" s="96"/>
      <c r="BI30" s="96"/>
      <c r="BJ30" s="96"/>
      <c r="BK30" s="96"/>
      <c r="BL30" s="96"/>
      <c r="BM30" s="96"/>
      <c r="BN30" s="33"/>
      <c r="CJ30" s="31">
        <v>0</v>
      </c>
      <c r="CK30" s="31">
        <v>1</v>
      </c>
      <c r="CL30" s="31">
        <v>-1</v>
      </c>
      <c r="CM30" s="31">
        <v>-1</v>
      </c>
      <c r="CN30" s="31">
        <v>0</v>
      </c>
      <c r="CO30" s="31">
        <v>0</v>
      </c>
      <c r="CP30" s="31">
        <v>0</v>
      </c>
      <c r="CQ30" s="31">
        <v>1</v>
      </c>
      <c r="CR30" s="31">
        <v>-1</v>
      </c>
      <c r="CS30" s="31">
        <v>-1</v>
      </c>
      <c r="CT30" s="31">
        <v>0</v>
      </c>
      <c r="CU30" s="31">
        <v>0</v>
      </c>
      <c r="CV30" s="31">
        <v>0</v>
      </c>
      <c r="CW30" s="31">
        <v>1</v>
      </c>
      <c r="CX30" s="31">
        <v>1</v>
      </c>
      <c r="CY30" s="31">
        <v>0</v>
      </c>
      <c r="CZ30" s="31">
        <v>0</v>
      </c>
    </row>
    <row r="31" spans="1:104" s="31" customFormat="1" ht="12.75">
      <c r="A31" s="36">
        <f t="shared" si="23"/>
        <v>150</v>
      </c>
      <c r="B31" s="19" t="s">
        <v>33</v>
      </c>
      <c r="C31" s="232" t="s">
        <v>235</v>
      </c>
      <c r="D31" s="19">
        <v>41</v>
      </c>
      <c r="E31" s="19" t="s">
        <v>205</v>
      </c>
      <c r="F31" s="19">
        <v>181.75</v>
      </c>
      <c r="G31" s="42">
        <f>IF(OR(E31="",F31=""),"",IF(LEFT(E31,1)="M",VLOOKUP(F31,Setup!$J$9:$K$23,2,TRUE),VLOOKUP(F31,Setup!$L$9:$M$23,2,TRUE)))</f>
        <v>181</v>
      </c>
      <c r="H31" s="42">
        <f>IF(F31="",0,VLOOKUP(AL31,DATA!$L$2:$N$1910,IF(LEFT(E31,1)="F",3,2)))</f>
        <v>0.6704</v>
      </c>
      <c r="I31" s="19"/>
      <c r="J31" s="19" t="s">
        <v>269</v>
      </c>
      <c r="K31" s="241">
        <v>112.5</v>
      </c>
      <c r="L31" s="241">
        <v>125</v>
      </c>
      <c r="M31" s="133">
        <v>-132.5</v>
      </c>
      <c r="N31" s="133"/>
      <c r="O31" s="134">
        <f t="shared" si="1"/>
        <v>125</v>
      </c>
      <c r="P31" s="237"/>
      <c r="Q31" s="241">
        <v>102.5</v>
      </c>
      <c r="R31" s="241">
        <v>110</v>
      </c>
      <c r="S31" s="241">
        <v>117.5</v>
      </c>
      <c r="T31" s="133"/>
      <c r="U31" s="134">
        <f t="shared" si="2"/>
        <v>117.5</v>
      </c>
      <c r="V31" s="135">
        <f t="shared" si="3"/>
        <v>242.5</v>
      </c>
      <c r="W31" s="241">
        <v>150</v>
      </c>
      <c r="X31" s="241">
        <v>162.5</v>
      </c>
      <c r="Y31" s="241">
        <v>167.5</v>
      </c>
      <c r="Z31" s="133"/>
      <c r="AA31" s="134">
        <f t="shared" si="4"/>
        <v>167.5</v>
      </c>
      <c r="AB31" s="135">
        <f t="shared" si="5"/>
        <v>410</v>
      </c>
      <c r="AC31" s="136">
        <f t="shared" si="6"/>
        <v>274.864</v>
      </c>
      <c r="AD31" s="136">
        <f>IF(OR(AB31=0,D31="",AND(D31&lt;40,D31&gt;22)),0,VLOOKUP($D31,DATA!$A$2:$B$53,2,TRUE)*AC31)</f>
        <v>277.61264</v>
      </c>
      <c r="AE31" s="210">
        <f ca="1">IF(E31="","",OFFSET(Setup!$Q$1,MATCH(E31,Setup!O:O,0)-1,0))</f>
        <v>2</v>
      </c>
      <c r="AF31" s="134" t="str">
        <f t="shared" si="7"/>
        <v>1-M3</v>
      </c>
      <c r="AG31" s="42">
        <f>IF(OR(AB31=0),0,VLOOKUP(AV31,Setup!$S$6:$T$15,2,TRUE))</f>
        <v>7</v>
      </c>
      <c r="AH31" s="137"/>
      <c r="AI31" s="132" t="s">
        <v>277</v>
      </c>
      <c r="AJ31" s="124">
        <f t="shared" si="8"/>
        <v>1</v>
      </c>
      <c r="AK31" s="42">
        <f t="shared" si="9"/>
        <v>6</v>
      </c>
      <c r="AL31" s="29">
        <f t="shared" si="10"/>
        <v>82.4</v>
      </c>
      <c r="AM31" s="29">
        <f t="shared" si="11"/>
        <v>410</v>
      </c>
      <c r="AN31" s="29">
        <f t="shared" si="12"/>
        <v>285</v>
      </c>
      <c r="AO31" s="41" t="str">
        <f t="shared" si="13"/>
        <v>M</v>
      </c>
      <c r="AP31" s="41"/>
      <c r="AQ31" s="31">
        <f t="shared" si="14"/>
        <v>1</v>
      </c>
      <c r="AR31" s="230">
        <f t="shared" si="15"/>
        <v>700000274.864</v>
      </c>
      <c r="AS31" s="41">
        <f ca="1" t="shared" si="16"/>
        <v>22</v>
      </c>
      <c r="AT31" s="190">
        <f t="shared" si="17"/>
        <v>700</v>
      </c>
      <c r="AU31" s="115">
        <f ca="1" t="shared" si="18"/>
        <v>22</v>
      </c>
      <c r="AV31" s="211">
        <f t="shared" si="19"/>
        <v>1</v>
      </c>
      <c r="AW31" s="194">
        <f t="shared" si="20"/>
        <v>181.75</v>
      </c>
      <c r="AX31" s="29">
        <f t="shared" si="21"/>
        <v>28</v>
      </c>
      <c r="AY31" s="23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700000274.864</v>
      </c>
      <c r="AZ31" s="42"/>
      <c r="BA31" s="42"/>
      <c r="BB31" s="42"/>
      <c r="BC31" s="42"/>
      <c r="BD31" s="42"/>
      <c r="BE31" s="42"/>
      <c r="BF31" s="42"/>
      <c r="BG31" s="42"/>
      <c r="BH31" s="96"/>
      <c r="BI31" s="96"/>
      <c r="BJ31" s="96"/>
      <c r="BK31" s="96"/>
      <c r="BL31" s="96"/>
      <c r="BM31" s="96"/>
      <c r="BN31" s="33"/>
      <c r="CJ31" s="31">
        <v>0</v>
      </c>
      <c r="CK31" s="31">
        <v>1</v>
      </c>
      <c r="CL31" s="31">
        <v>1</v>
      </c>
      <c r="CM31" s="31">
        <v>-1</v>
      </c>
      <c r="CN31" s="31">
        <v>0</v>
      </c>
      <c r="CO31" s="31">
        <v>0</v>
      </c>
      <c r="CP31" s="31">
        <v>0</v>
      </c>
      <c r="CQ31" s="31">
        <v>1</v>
      </c>
      <c r="CR31" s="31">
        <v>1</v>
      </c>
      <c r="CS31" s="31">
        <v>1</v>
      </c>
      <c r="CT31" s="31">
        <v>0</v>
      </c>
      <c r="CU31" s="31">
        <v>0</v>
      </c>
      <c r="CV31" s="31">
        <v>0</v>
      </c>
      <c r="CW31" s="31">
        <v>1</v>
      </c>
      <c r="CX31" s="31">
        <v>1</v>
      </c>
      <c r="CY31" s="31">
        <v>1</v>
      </c>
      <c r="CZ31" s="31">
        <v>0</v>
      </c>
    </row>
    <row r="32" spans="1:104" s="31" customFormat="1" ht="12.75">
      <c r="A32" s="36">
        <f t="shared" si="23"/>
        <v>165</v>
      </c>
      <c r="B32" s="19" t="s">
        <v>33</v>
      </c>
      <c r="C32" s="232" t="s">
        <v>233</v>
      </c>
      <c r="D32" s="19">
        <v>72</v>
      </c>
      <c r="E32" s="19" t="s">
        <v>230</v>
      </c>
      <c r="F32" s="19">
        <v>146</v>
      </c>
      <c r="G32" s="42">
        <f>IF(OR(E32="",F32=""),"",IF(LEFT(E32,1)="M",VLOOKUP(F32,Setup!$J$9:$K$23,2,TRUE),VLOOKUP(F32,Setup!$L$9:$M$23,2,TRUE)))</f>
        <v>148</v>
      </c>
      <c r="H32" s="42">
        <f>IF(F32="",0,VLOOKUP(AL32,DATA!$L$2:$N$1910,IF(LEFT(E32,1)="F",3,2)))</f>
        <v>0.7832</v>
      </c>
      <c r="I32" s="19"/>
      <c r="J32" s="19" t="s">
        <v>267</v>
      </c>
      <c r="K32" s="241">
        <v>85</v>
      </c>
      <c r="L32" s="241">
        <v>90</v>
      </c>
      <c r="M32" s="133">
        <v>-97.5</v>
      </c>
      <c r="N32" s="133"/>
      <c r="O32" s="134">
        <f t="shared" si="1"/>
        <v>90</v>
      </c>
      <c r="P32" s="237"/>
      <c r="Q32" s="241">
        <v>95</v>
      </c>
      <c r="R32" s="241">
        <v>100</v>
      </c>
      <c r="S32" s="241">
        <v>105</v>
      </c>
      <c r="T32" s="133"/>
      <c r="U32" s="134">
        <f t="shared" si="2"/>
        <v>105</v>
      </c>
      <c r="V32" s="135">
        <f t="shared" si="3"/>
        <v>195</v>
      </c>
      <c r="W32" s="241">
        <v>165</v>
      </c>
      <c r="X32" s="241">
        <v>175</v>
      </c>
      <c r="Y32" s="241">
        <v>180</v>
      </c>
      <c r="Z32" s="133"/>
      <c r="AA32" s="134">
        <f t="shared" si="4"/>
        <v>180</v>
      </c>
      <c r="AB32" s="135">
        <f t="shared" si="5"/>
        <v>375</v>
      </c>
      <c r="AC32" s="136">
        <f t="shared" si="6"/>
        <v>293.7</v>
      </c>
      <c r="AD32" s="136">
        <f>IF(OR(AB32=0,D32="",AND(D32&lt;40,D32&gt;22)),0,VLOOKUP($D32,DATA!$A$2:$B$53,2,TRUE)*AC32)</f>
        <v>504.5766</v>
      </c>
      <c r="AE32" s="210">
        <f ca="1">IF(E32="","",OFFSET(Setup!$Q$1,MATCH(E32,Setup!O:O,0)-1,0))</f>
        <v>2</v>
      </c>
      <c r="AF32" s="134" t="str">
        <f t="shared" si="7"/>
        <v>1-M8</v>
      </c>
      <c r="AG32" s="42">
        <f>IF(OR(AB32=0),0,VLOOKUP(AV32,Setup!$S$6:$T$15,2,TRUE))</f>
        <v>7</v>
      </c>
      <c r="AH32" s="137"/>
      <c r="AI32" s="132" t="s">
        <v>277</v>
      </c>
      <c r="AJ32" s="124">
        <f t="shared" si="8"/>
        <v>1</v>
      </c>
      <c r="AK32" s="42">
        <f t="shared" si="9"/>
        <v>6</v>
      </c>
      <c r="AL32" s="29">
        <f t="shared" si="10"/>
        <v>66.2</v>
      </c>
      <c r="AM32" s="29">
        <f t="shared" si="11"/>
        <v>375</v>
      </c>
      <c r="AN32" s="29">
        <f t="shared" si="12"/>
        <v>285</v>
      </c>
      <c r="AO32" s="41" t="str">
        <f t="shared" si="13"/>
        <v>M</v>
      </c>
      <c r="AP32" s="41"/>
      <c r="AQ32" s="31">
        <f t="shared" si="14"/>
        <v>1</v>
      </c>
      <c r="AR32" s="230">
        <f t="shared" si="15"/>
        <v>1400000293.7</v>
      </c>
      <c r="AS32" s="41">
        <f ca="1" t="shared" si="16"/>
        <v>1</v>
      </c>
      <c r="AT32" s="190">
        <f t="shared" si="17"/>
        <v>1400</v>
      </c>
      <c r="AU32" s="115">
        <f ca="1" t="shared" si="18"/>
        <v>1</v>
      </c>
      <c r="AV32" s="211">
        <f t="shared" si="19"/>
        <v>1</v>
      </c>
      <c r="AW32" s="194">
        <f t="shared" si="20"/>
        <v>146</v>
      </c>
      <c r="AX32" s="29">
        <f t="shared" si="21"/>
        <v>35</v>
      </c>
      <c r="AY32" s="23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1400000293.7</v>
      </c>
      <c r="AZ32" s="42"/>
      <c r="BA32" s="42"/>
      <c r="BB32" s="42"/>
      <c r="BC32" s="42"/>
      <c r="BD32" s="42"/>
      <c r="BE32" s="42"/>
      <c r="BF32" s="42"/>
      <c r="BG32" s="42"/>
      <c r="BH32" s="96"/>
      <c r="BI32" s="96"/>
      <c r="BJ32" s="96"/>
      <c r="BK32" s="96"/>
      <c r="BL32" s="96"/>
      <c r="BM32" s="96"/>
      <c r="BN32" s="33"/>
      <c r="CJ32" s="31">
        <v>0</v>
      </c>
      <c r="CK32" s="31">
        <v>1</v>
      </c>
      <c r="CL32" s="31">
        <v>1</v>
      </c>
      <c r="CM32" s="31">
        <v>-1</v>
      </c>
      <c r="CN32" s="31">
        <v>0</v>
      </c>
      <c r="CO32" s="31">
        <v>0</v>
      </c>
      <c r="CP32" s="31">
        <v>0</v>
      </c>
      <c r="CQ32" s="31">
        <v>1</v>
      </c>
      <c r="CR32" s="31">
        <v>1</v>
      </c>
      <c r="CS32" s="31">
        <v>1</v>
      </c>
      <c r="CT32" s="31">
        <v>0</v>
      </c>
      <c r="CU32" s="31">
        <v>0</v>
      </c>
      <c r="CV32" s="31">
        <v>0</v>
      </c>
      <c r="CW32" s="31">
        <v>1</v>
      </c>
      <c r="CX32" s="31">
        <v>1</v>
      </c>
      <c r="CY32" s="31">
        <v>1</v>
      </c>
      <c r="CZ32" s="31">
        <v>0</v>
      </c>
    </row>
    <row r="33" spans="1:104" s="31" customFormat="1" ht="12.75">
      <c r="A33" s="36">
        <f t="shared" si="23"/>
        <v>195</v>
      </c>
      <c r="B33" s="19" t="s">
        <v>33</v>
      </c>
      <c r="C33" s="232" t="s">
        <v>237</v>
      </c>
      <c r="D33" s="19">
        <v>22</v>
      </c>
      <c r="E33" s="19" t="s">
        <v>203</v>
      </c>
      <c r="F33" s="19">
        <v>158.75</v>
      </c>
      <c r="G33" s="42">
        <f>IF(OR(E33="",F33=""),"",IF(LEFT(E33,1)="M",VLOOKUP(F33,Setup!$J$9:$K$23,2,TRUE),VLOOKUP(F33,Setup!$L$9:$M$23,2,TRUE)))</f>
        <v>165</v>
      </c>
      <c r="H33" s="42">
        <f>IF(F33="",0,VLOOKUP(AL33,DATA!$L$2:$N$1910,IF(LEFT(E33,1)="F",3,2)))</f>
        <v>0.7337</v>
      </c>
      <c r="I33" s="19"/>
      <c r="J33" s="19">
        <v>13</v>
      </c>
      <c r="K33" s="241">
        <v>125</v>
      </c>
      <c r="L33" s="241">
        <v>140</v>
      </c>
      <c r="M33" s="241">
        <v>152.5</v>
      </c>
      <c r="N33" s="133"/>
      <c r="O33" s="134">
        <f t="shared" si="1"/>
        <v>152.5</v>
      </c>
      <c r="P33" s="237"/>
      <c r="Q33" s="241">
        <v>85</v>
      </c>
      <c r="R33" s="241">
        <v>95</v>
      </c>
      <c r="S33" s="133">
        <v>-105</v>
      </c>
      <c r="T33" s="133"/>
      <c r="U33" s="134">
        <f t="shared" si="2"/>
        <v>95</v>
      </c>
      <c r="V33" s="135">
        <f t="shared" si="3"/>
        <v>247.5</v>
      </c>
      <c r="W33" s="241">
        <v>195</v>
      </c>
      <c r="X33" s="241">
        <v>207.5</v>
      </c>
      <c r="Y33" s="241">
        <v>215</v>
      </c>
      <c r="Z33" s="133"/>
      <c r="AA33" s="134">
        <f t="shared" si="4"/>
        <v>215</v>
      </c>
      <c r="AB33" s="135">
        <f t="shared" si="5"/>
        <v>462.5</v>
      </c>
      <c r="AC33" s="136">
        <f t="shared" si="6"/>
        <v>339.33625</v>
      </c>
      <c r="AD33" s="136">
        <f>IF(OR(AB33=0,D33="",AND(D33&lt;40,D33&gt;22)),0,VLOOKUP($D33,DATA!$A$2:$B$53,2,TRUE)*AC33)</f>
        <v>342.72961250000003</v>
      </c>
      <c r="AE33" s="210">
        <f ca="1">IF(E33="","",OFFSET(Setup!$Q$1,MATCH(E33,Setup!O:O,0)-1,0))</f>
        <v>2</v>
      </c>
      <c r="AF33" s="134" t="str">
        <f t="shared" si="7"/>
        <v>6-M1</v>
      </c>
      <c r="AG33" s="42">
        <f>IF(OR(AB33=0),0,VLOOKUP(AV33,Setup!$S$6:$T$15,2,TRUE))</f>
        <v>1</v>
      </c>
      <c r="AH33" s="137"/>
      <c r="AI33" s="132" t="s">
        <v>277</v>
      </c>
      <c r="AJ33" s="124">
        <f t="shared" si="8"/>
        <v>1</v>
      </c>
      <c r="AK33" s="42">
        <f t="shared" si="9"/>
        <v>6</v>
      </c>
      <c r="AL33" s="29">
        <f t="shared" si="10"/>
        <v>72</v>
      </c>
      <c r="AM33" s="29">
        <f t="shared" si="11"/>
        <v>462.5</v>
      </c>
      <c r="AN33" s="29">
        <f t="shared" si="12"/>
        <v>310</v>
      </c>
      <c r="AO33" s="41" t="str">
        <f t="shared" si="13"/>
        <v>M</v>
      </c>
      <c r="AP33" s="41"/>
      <c r="AQ33" s="31">
        <f t="shared" si="14"/>
        <v>1</v>
      </c>
      <c r="AR33" s="230">
        <f t="shared" si="15"/>
        <v>500000339.33625</v>
      </c>
      <c r="AS33" s="41">
        <f ca="1" t="shared" si="16"/>
        <v>35</v>
      </c>
      <c r="AT33" s="190">
        <f t="shared" si="17"/>
        <v>500</v>
      </c>
      <c r="AU33" s="115">
        <f ca="1" t="shared" si="18"/>
        <v>30</v>
      </c>
      <c r="AV33" s="211">
        <f t="shared" si="19"/>
        <v>6</v>
      </c>
      <c r="AW33" s="194">
        <f t="shared" si="20"/>
        <v>158.75</v>
      </c>
      <c r="AX33" s="29">
        <f t="shared" si="21"/>
        <v>32</v>
      </c>
      <c r="AY33" s="23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500000339.33625</v>
      </c>
      <c r="AZ33" s="42"/>
      <c r="BA33" s="42"/>
      <c r="BB33" s="42"/>
      <c r="BC33" s="42"/>
      <c r="BD33" s="42"/>
      <c r="BE33" s="42"/>
      <c r="BF33" s="42"/>
      <c r="BG33" s="42"/>
      <c r="BH33" s="96"/>
      <c r="BI33" s="96"/>
      <c r="BJ33" s="96"/>
      <c r="BK33" s="96"/>
      <c r="BL33" s="96"/>
      <c r="BM33" s="96"/>
      <c r="BN33" s="33"/>
      <c r="CJ33" s="31">
        <v>0</v>
      </c>
      <c r="CK33" s="31">
        <v>1</v>
      </c>
      <c r="CL33" s="31">
        <v>1</v>
      </c>
      <c r="CM33" s="31">
        <v>1</v>
      </c>
      <c r="CN33" s="31">
        <v>0</v>
      </c>
      <c r="CO33" s="31">
        <v>0</v>
      </c>
      <c r="CP33" s="31">
        <v>0</v>
      </c>
      <c r="CQ33" s="31">
        <v>1</v>
      </c>
      <c r="CR33" s="31">
        <v>1</v>
      </c>
      <c r="CS33" s="31">
        <v>-1</v>
      </c>
      <c r="CT33" s="31">
        <v>0</v>
      </c>
      <c r="CU33" s="31">
        <v>0</v>
      </c>
      <c r="CV33" s="31">
        <v>0</v>
      </c>
      <c r="CW33" s="31">
        <v>1</v>
      </c>
      <c r="CX33" s="31">
        <v>1</v>
      </c>
      <c r="CY33" s="31">
        <v>1</v>
      </c>
      <c r="CZ33" s="31">
        <v>0</v>
      </c>
    </row>
    <row r="34" spans="1:104" s="31" customFormat="1" ht="12.75">
      <c r="A34" s="36">
        <f t="shared" si="23"/>
        <v>200</v>
      </c>
      <c r="B34" s="19" t="s">
        <v>33</v>
      </c>
      <c r="C34" s="232" t="s">
        <v>239</v>
      </c>
      <c r="D34" s="19">
        <v>36</v>
      </c>
      <c r="E34" s="19" t="s">
        <v>204</v>
      </c>
      <c r="F34" s="19">
        <v>178</v>
      </c>
      <c r="G34" s="42">
        <f>IF(OR(E34="",F34=""),"",IF(LEFT(E34,1)="M",VLOOKUP(F34,Setup!$J$9:$K$23,2,TRUE),VLOOKUP(F34,Setup!$L$9:$M$23,2,TRUE)))</f>
        <v>181</v>
      </c>
      <c r="H34" s="42">
        <f>IF(F34="",0,VLOOKUP(AL34,DATA!$L$2:$N$1910,IF(LEFT(E34,1)="F",3,2)))</f>
        <v>0.679</v>
      </c>
      <c r="I34" s="19"/>
      <c r="J34" s="19">
        <v>16</v>
      </c>
      <c r="K34" s="241">
        <v>152.5</v>
      </c>
      <c r="L34" s="241">
        <v>160</v>
      </c>
      <c r="M34" s="241">
        <v>182.5</v>
      </c>
      <c r="N34" s="133"/>
      <c r="O34" s="134">
        <f t="shared" si="1"/>
        <v>182.5</v>
      </c>
      <c r="P34" s="237"/>
      <c r="Q34" s="241">
        <v>155</v>
      </c>
      <c r="R34" s="133">
        <v>-162.5</v>
      </c>
      <c r="S34" s="133">
        <v>-172.5</v>
      </c>
      <c r="T34" s="133"/>
      <c r="U34" s="134">
        <f t="shared" si="2"/>
        <v>155</v>
      </c>
      <c r="V34" s="135">
        <f t="shared" si="3"/>
        <v>337.5</v>
      </c>
      <c r="W34" s="241">
        <v>200</v>
      </c>
      <c r="X34" s="241">
        <v>210</v>
      </c>
      <c r="Y34" s="241">
        <v>215</v>
      </c>
      <c r="Z34" s="133"/>
      <c r="AA34" s="134">
        <f t="shared" si="4"/>
        <v>215</v>
      </c>
      <c r="AB34" s="135">
        <f t="shared" si="5"/>
        <v>552.5</v>
      </c>
      <c r="AC34" s="136">
        <f t="shared" si="6"/>
        <v>375.14750000000004</v>
      </c>
      <c r="AD34" s="136">
        <f>IF(OR(AB34=0,D34="",AND(D34&lt;40,D34&gt;22)),0,VLOOKUP($D34,DATA!$A$2:$B$53,2,TRUE)*AC34)</f>
        <v>0</v>
      </c>
      <c r="AE34" s="210">
        <f ca="1">IF(E34="","",OFFSET(Setup!$Q$1,MATCH(E34,Setup!O:O,0)-1,0))</f>
        <v>2</v>
      </c>
      <c r="AF34" s="134" t="str">
        <f t="shared" si="7"/>
        <v>1-M2</v>
      </c>
      <c r="AG34" s="42">
        <f>IF(OR(AB34=0),0,VLOOKUP(AV34,Setup!$S$6:$T$15,2,TRUE))</f>
        <v>7</v>
      </c>
      <c r="AH34" s="137"/>
      <c r="AI34" s="132" t="s">
        <v>277</v>
      </c>
      <c r="AJ34" s="124">
        <f t="shared" si="8"/>
        <v>1</v>
      </c>
      <c r="AK34" s="42">
        <f t="shared" si="9"/>
        <v>6</v>
      </c>
      <c r="AL34" s="29">
        <f t="shared" si="10"/>
        <v>80.7</v>
      </c>
      <c r="AM34" s="29">
        <f t="shared" si="11"/>
        <v>552.5</v>
      </c>
      <c r="AN34" s="29">
        <f t="shared" si="12"/>
        <v>370</v>
      </c>
      <c r="AO34" s="41" t="str">
        <f t="shared" si="13"/>
        <v>M</v>
      </c>
      <c r="AP34" s="41"/>
      <c r="AQ34" s="31">
        <f t="shared" si="14"/>
        <v>1</v>
      </c>
      <c r="AR34" s="230">
        <f t="shared" si="15"/>
        <v>600000375.1475</v>
      </c>
      <c r="AS34" s="41">
        <f ca="1" t="shared" si="16"/>
        <v>27</v>
      </c>
      <c r="AT34" s="190">
        <f t="shared" si="17"/>
        <v>600</v>
      </c>
      <c r="AU34" s="115">
        <f ca="1" t="shared" si="18"/>
        <v>27</v>
      </c>
      <c r="AV34" s="211">
        <f t="shared" si="19"/>
        <v>1</v>
      </c>
      <c r="AW34" s="194">
        <f t="shared" si="20"/>
        <v>178</v>
      </c>
      <c r="AX34" s="29">
        <f t="shared" si="21"/>
        <v>31</v>
      </c>
      <c r="AY34" s="23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600000375.1475</v>
      </c>
      <c r="AZ34" s="42"/>
      <c r="BA34" s="42"/>
      <c r="BB34" s="42"/>
      <c r="BC34" s="42"/>
      <c r="BD34" s="42"/>
      <c r="BE34" s="42"/>
      <c r="BF34" s="42"/>
      <c r="BG34" s="42"/>
      <c r="BH34" s="96"/>
      <c r="BI34" s="96"/>
      <c r="BJ34" s="96"/>
      <c r="BK34" s="96"/>
      <c r="BL34" s="96"/>
      <c r="BM34" s="96"/>
      <c r="BN34" s="33"/>
      <c r="CJ34" s="31">
        <v>0</v>
      </c>
      <c r="CK34" s="31">
        <v>1</v>
      </c>
      <c r="CL34" s="31">
        <v>1</v>
      </c>
      <c r="CM34" s="31">
        <v>1</v>
      </c>
      <c r="CN34" s="31">
        <v>0</v>
      </c>
      <c r="CO34" s="31">
        <v>0</v>
      </c>
      <c r="CP34" s="31">
        <v>0</v>
      </c>
      <c r="CQ34" s="31">
        <v>1</v>
      </c>
      <c r="CR34" s="31">
        <v>-1</v>
      </c>
      <c r="CS34" s="31">
        <v>-1</v>
      </c>
      <c r="CT34" s="31">
        <v>0</v>
      </c>
      <c r="CU34" s="31">
        <v>0</v>
      </c>
      <c r="CV34" s="31">
        <v>0</v>
      </c>
      <c r="CW34" s="31">
        <v>1</v>
      </c>
      <c r="CX34" s="31">
        <v>1</v>
      </c>
      <c r="CY34" s="31">
        <v>1</v>
      </c>
      <c r="CZ34" s="31">
        <v>0</v>
      </c>
    </row>
    <row r="35" spans="1:104" s="31" customFormat="1" ht="12.75">
      <c r="A35" s="36">
        <f t="shared" si="23"/>
        <v>205</v>
      </c>
      <c r="B35" s="19" t="s">
        <v>33</v>
      </c>
      <c r="C35" s="232" t="s">
        <v>240</v>
      </c>
      <c r="D35" s="19">
        <v>22</v>
      </c>
      <c r="E35" s="19" t="s">
        <v>203</v>
      </c>
      <c r="F35" s="19">
        <v>181.25</v>
      </c>
      <c r="G35" s="42">
        <f>IF(OR(E35="",F35=""),"",IF(LEFT(E35,1)="M",VLOOKUP(F35,Setup!$J$9:$K$23,2,TRUE),VLOOKUP(F35,Setup!$L$9:$M$23,2,TRUE)))</f>
        <v>181</v>
      </c>
      <c r="H35" s="42">
        <f>IF(F35="",0,VLOOKUP(AL35,DATA!$L$2:$N$1910,IF(LEFT(E35,1)="F",3,2)))</f>
        <v>0.6714</v>
      </c>
      <c r="I35" s="19"/>
      <c r="J35" s="19">
        <v>19</v>
      </c>
      <c r="K35" s="241">
        <v>182.5</v>
      </c>
      <c r="L35" s="241">
        <v>190</v>
      </c>
      <c r="M35" s="133">
        <v>-200</v>
      </c>
      <c r="N35" s="133"/>
      <c r="O35" s="134">
        <f t="shared" si="1"/>
        <v>190</v>
      </c>
      <c r="P35" s="237"/>
      <c r="Q35" s="241">
        <v>132.5</v>
      </c>
      <c r="R35" s="241">
        <v>142.5</v>
      </c>
      <c r="S35" s="133">
        <v>-147.5</v>
      </c>
      <c r="T35" s="133"/>
      <c r="U35" s="134">
        <f t="shared" si="2"/>
        <v>142.5</v>
      </c>
      <c r="V35" s="135">
        <f t="shared" si="3"/>
        <v>332.5</v>
      </c>
      <c r="W35" s="241">
        <v>205</v>
      </c>
      <c r="X35" s="241">
        <v>220</v>
      </c>
      <c r="Y35" s="133">
        <v>-222.5</v>
      </c>
      <c r="Z35" s="133"/>
      <c r="AA35" s="134">
        <f t="shared" si="4"/>
        <v>220</v>
      </c>
      <c r="AB35" s="135">
        <f t="shared" si="5"/>
        <v>552.5</v>
      </c>
      <c r="AC35" s="136">
        <f t="shared" si="6"/>
        <v>370.9485</v>
      </c>
      <c r="AD35" s="136">
        <f>IF(OR(AB35=0,D35="",AND(D35&lt;40,D35&gt;22)),0,VLOOKUP($D35,DATA!$A$2:$B$53,2,TRUE)*AC35)</f>
        <v>374.65798500000005</v>
      </c>
      <c r="AE35" s="210">
        <f ca="1">IF(E35="","",OFFSET(Setup!$Q$1,MATCH(E35,Setup!O:O,0)-1,0))</f>
        <v>2</v>
      </c>
      <c r="AF35" s="134" t="str">
        <f t="shared" si="7"/>
        <v>3-M1</v>
      </c>
      <c r="AG35" s="42">
        <f>IF(OR(AB35=0),0,VLOOKUP(AV35,Setup!$S$6:$T$15,2,TRUE))</f>
        <v>3</v>
      </c>
      <c r="AH35" s="137"/>
      <c r="AI35" s="132" t="s">
        <v>277</v>
      </c>
      <c r="AJ35" s="124">
        <f t="shared" si="8"/>
        <v>1</v>
      </c>
      <c r="AK35" s="42">
        <f t="shared" si="9"/>
        <v>6</v>
      </c>
      <c r="AL35" s="29">
        <f t="shared" si="10"/>
        <v>82.2</v>
      </c>
      <c r="AM35" s="29">
        <f t="shared" si="11"/>
        <v>552.5</v>
      </c>
      <c r="AN35" s="29">
        <f t="shared" si="12"/>
        <v>362.5</v>
      </c>
      <c r="AO35" s="41" t="str">
        <f t="shared" si="13"/>
        <v>M</v>
      </c>
      <c r="AP35" s="41"/>
      <c r="AQ35" s="31">
        <f t="shared" si="14"/>
        <v>1</v>
      </c>
      <c r="AR35" s="230">
        <f t="shared" si="15"/>
        <v>500000370.9485</v>
      </c>
      <c r="AS35" s="41">
        <f ca="1" t="shared" si="16"/>
        <v>32</v>
      </c>
      <c r="AT35" s="190">
        <f t="shared" si="17"/>
        <v>500</v>
      </c>
      <c r="AU35" s="115">
        <f ca="1" t="shared" si="18"/>
        <v>30</v>
      </c>
      <c r="AV35" s="211">
        <f t="shared" si="19"/>
        <v>3</v>
      </c>
      <c r="AW35" s="194">
        <f t="shared" si="20"/>
        <v>181.25</v>
      </c>
      <c r="AX35" s="29">
        <f t="shared" si="21"/>
        <v>29</v>
      </c>
      <c r="AY35" s="23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500000370.9485</v>
      </c>
      <c r="AZ35" s="42"/>
      <c r="BA35" s="42"/>
      <c r="BB35" s="42"/>
      <c r="BC35" s="42"/>
      <c r="BD35" s="42"/>
      <c r="BE35" s="42"/>
      <c r="BF35" s="42"/>
      <c r="BG35" s="42"/>
      <c r="BH35" s="96"/>
      <c r="BI35" s="96"/>
      <c r="BJ35" s="96"/>
      <c r="BK35" s="96"/>
      <c r="BL35" s="96"/>
      <c r="BM35" s="96"/>
      <c r="BN35" s="33"/>
      <c r="CJ35" s="31">
        <v>0</v>
      </c>
      <c r="CK35" s="31">
        <v>1</v>
      </c>
      <c r="CL35" s="31">
        <v>1</v>
      </c>
      <c r="CM35" s="31">
        <v>-1</v>
      </c>
      <c r="CN35" s="31">
        <v>0</v>
      </c>
      <c r="CO35" s="31">
        <v>0</v>
      </c>
      <c r="CP35" s="31">
        <v>0</v>
      </c>
      <c r="CQ35" s="31">
        <v>1</v>
      </c>
      <c r="CR35" s="31">
        <v>1</v>
      </c>
      <c r="CS35" s="31">
        <v>-1</v>
      </c>
      <c r="CT35" s="31">
        <v>0</v>
      </c>
      <c r="CU35" s="31">
        <v>0</v>
      </c>
      <c r="CV35" s="31">
        <v>0</v>
      </c>
      <c r="CW35" s="31">
        <v>1</v>
      </c>
      <c r="CX35" s="31">
        <v>1</v>
      </c>
      <c r="CY35" s="31">
        <v>-1</v>
      </c>
      <c r="CZ35" s="31">
        <v>0</v>
      </c>
    </row>
    <row r="36" spans="1:104" s="31" customFormat="1" ht="12.75">
      <c r="A36" s="36">
        <f t="shared" si="23"/>
        <v>240</v>
      </c>
      <c r="B36" s="19" t="s">
        <v>33</v>
      </c>
      <c r="C36" s="232" t="s">
        <v>241</v>
      </c>
      <c r="D36" s="19">
        <v>26</v>
      </c>
      <c r="E36" s="19" t="s">
        <v>213</v>
      </c>
      <c r="F36" s="19">
        <v>198</v>
      </c>
      <c r="G36" s="42">
        <f>IF(OR(E36="",F36=""),"",IF(LEFT(E36,1)="M",VLOOKUP(F36,Setup!$J$9:$K$23,2,TRUE),VLOOKUP(F36,Setup!$L$9:$M$23,2,TRUE)))</f>
        <v>198</v>
      </c>
      <c r="H36" s="42">
        <f>IF(F36="",0,VLOOKUP(AL36,DATA!$L$2:$N$1910,IF(LEFT(E36,1)="F",3,2)))</f>
        <v>0.6391</v>
      </c>
      <c r="I36" s="19"/>
      <c r="J36" s="19">
        <v>14</v>
      </c>
      <c r="K36" s="241">
        <v>260</v>
      </c>
      <c r="L36" s="241">
        <v>272.5</v>
      </c>
      <c r="M36" s="133">
        <v>-300</v>
      </c>
      <c r="N36" s="133"/>
      <c r="O36" s="134">
        <f t="shared" si="1"/>
        <v>272.5</v>
      </c>
      <c r="P36" s="237"/>
      <c r="Q36" s="241">
        <v>215</v>
      </c>
      <c r="R36" s="241">
        <v>227.5</v>
      </c>
      <c r="S36" s="133">
        <v>-237.5</v>
      </c>
      <c r="T36" s="133"/>
      <c r="U36" s="134">
        <f t="shared" si="2"/>
        <v>227.5</v>
      </c>
      <c r="V36" s="135">
        <f t="shared" si="3"/>
        <v>500</v>
      </c>
      <c r="W36" s="241">
        <v>240</v>
      </c>
      <c r="X36" s="241">
        <v>252.5</v>
      </c>
      <c r="Y36" s="133">
        <v>-260</v>
      </c>
      <c r="Z36" s="133"/>
      <c r="AA36" s="134">
        <f t="shared" si="4"/>
        <v>252.5</v>
      </c>
      <c r="AB36" s="135">
        <f t="shared" si="5"/>
        <v>752.5</v>
      </c>
      <c r="AC36" s="136">
        <f t="shared" si="6"/>
        <v>480.92275</v>
      </c>
      <c r="AD36" s="136">
        <f>IF(OR(AB36=0,D36="",AND(D36&lt;40,D36&gt;22)),0,VLOOKUP($D36,DATA!$A$2:$B$53,2,TRUE)*AC36)</f>
        <v>0</v>
      </c>
      <c r="AE36" s="210">
        <f ca="1">IF(E36="","",OFFSET(Setup!$Q$1,MATCH(E36,Setup!O:O,0)-1,0))</f>
        <v>2</v>
      </c>
      <c r="AF36" s="134" t="str">
        <f t="shared" si="7"/>
        <v>5-M-O</v>
      </c>
      <c r="AG36" s="42">
        <f>IF(OR(AB36=0),0,VLOOKUP(AV36,Setup!$S$6:$T$15,2,TRUE))</f>
        <v>1</v>
      </c>
      <c r="AH36" s="137"/>
      <c r="AI36" s="132" t="s">
        <v>277</v>
      </c>
      <c r="AJ36" s="124">
        <f t="shared" si="8"/>
        <v>1</v>
      </c>
      <c r="AK36" s="42">
        <f t="shared" si="9"/>
        <v>6</v>
      </c>
      <c r="AL36" s="29">
        <f t="shared" si="10"/>
        <v>89.8</v>
      </c>
      <c r="AM36" s="29">
        <f t="shared" si="11"/>
        <v>752.5</v>
      </c>
      <c r="AN36" s="29">
        <f t="shared" si="12"/>
        <v>480</v>
      </c>
      <c r="AO36" s="41" t="str">
        <f t="shared" si="13"/>
        <v>M</v>
      </c>
      <c r="AP36" s="41"/>
      <c r="AQ36" s="31">
        <f t="shared" si="14"/>
        <v>1</v>
      </c>
      <c r="AR36" s="230">
        <f t="shared" si="15"/>
        <v>1300000480.92275</v>
      </c>
      <c r="AS36" s="41">
        <f ca="1" t="shared" si="16"/>
        <v>6</v>
      </c>
      <c r="AT36" s="190">
        <f t="shared" si="17"/>
        <v>1300</v>
      </c>
      <c r="AU36" s="115">
        <f ca="1" t="shared" si="18"/>
        <v>2</v>
      </c>
      <c r="AV36" s="211">
        <f t="shared" si="19"/>
        <v>5</v>
      </c>
      <c r="AW36" s="194">
        <f t="shared" si="20"/>
        <v>198</v>
      </c>
      <c r="AX36" s="29">
        <f t="shared" si="21"/>
        <v>23</v>
      </c>
      <c r="AY36" s="23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1300000480.92275</v>
      </c>
      <c r="AZ36" s="42"/>
      <c r="BA36" s="42"/>
      <c r="BB36" s="42"/>
      <c r="BC36" s="42"/>
      <c r="BD36" s="42"/>
      <c r="BE36" s="42"/>
      <c r="BF36" s="42"/>
      <c r="BG36" s="42"/>
      <c r="BH36" s="96"/>
      <c r="BI36" s="96"/>
      <c r="BJ36" s="96"/>
      <c r="BK36" s="96"/>
      <c r="BL36" s="96"/>
      <c r="BM36" s="96"/>
      <c r="BN36" s="33"/>
      <c r="CJ36" s="31">
        <v>0</v>
      </c>
      <c r="CK36" s="31">
        <v>1</v>
      </c>
      <c r="CL36" s="31">
        <v>1</v>
      </c>
      <c r="CM36" s="31">
        <v>-1</v>
      </c>
      <c r="CN36" s="31">
        <v>0</v>
      </c>
      <c r="CO36" s="31">
        <v>0</v>
      </c>
      <c r="CP36" s="31">
        <v>0</v>
      </c>
      <c r="CQ36" s="31">
        <v>1</v>
      </c>
      <c r="CR36" s="31">
        <v>1</v>
      </c>
      <c r="CS36" s="31">
        <v>-1</v>
      </c>
      <c r="CT36" s="31">
        <v>0</v>
      </c>
      <c r="CU36" s="31">
        <v>0</v>
      </c>
      <c r="CV36" s="31">
        <v>0</v>
      </c>
      <c r="CW36" s="31">
        <v>1</v>
      </c>
      <c r="CX36" s="31">
        <v>1</v>
      </c>
      <c r="CY36" s="31">
        <v>-1</v>
      </c>
      <c r="CZ36" s="31">
        <v>0</v>
      </c>
    </row>
    <row r="37" spans="1:104" s="31" customFormat="1" ht="12.75">
      <c r="A37" s="36">
        <f t="shared" si="23"/>
        <v>260</v>
      </c>
      <c r="B37" s="19" t="s">
        <v>33</v>
      </c>
      <c r="C37" s="232" t="s">
        <v>242</v>
      </c>
      <c r="D37" s="19">
        <v>22</v>
      </c>
      <c r="E37" s="19" t="s">
        <v>203</v>
      </c>
      <c r="F37" s="19">
        <v>186</v>
      </c>
      <c r="G37" s="42">
        <f>IF(OR(E37="",F37=""),"",IF(LEFT(E37,1)="M",VLOOKUP(F37,Setup!$J$9:$K$23,2,TRUE),VLOOKUP(F37,Setup!$L$9:$M$23,2,TRUE)))</f>
        <v>198</v>
      </c>
      <c r="H37" s="42">
        <f>IF(F37="",0,VLOOKUP(AL37,DATA!$L$2:$N$1910,IF(LEFT(E37,1)="F",3,2)))</f>
        <v>0.661</v>
      </c>
      <c r="I37" s="19"/>
      <c r="J37" s="19">
        <v>12</v>
      </c>
      <c r="K37" s="241">
        <v>265</v>
      </c>
      <c r="L37" s="133">
        <v>-272.5</v>
      </c>
      <c r="M37" s="133">
        <v>-272.5</v>
      </c>
      <c r="N37" s="133"/>
      <c r="O37" s="134">
        <f t="shared" si="1"/>
        <v>265</v>
      </c>
      <c r="P37" s="237"/>
      <c r="Q37" s="241">
        <v>177.5</v>
      </c>
      <c r="R37" s="241">
        <v>187.5</v>
      </c>
      <c r="S37" s="133">
        <v>-197.5</v>
      </c>
      <c r="T37" s="133"/>
      <c r="U37" s="134">
        <f t="shared" si="2"/>
        <v>187.5</v>
      </c>
      <c r="V37" s="135">
        <f t="shared" si="3"/>
        <v>452.5</v>
      </c>
      <c r="W37" s="241">
        <v>260</v>
      </c>
      <c r="X37" s="133">
        <v>-280</v>
      </c>
      <c r="Y37" s="133">
        <v>-280</v>
      </c>
      <c r="Z37" s="133"/>
      <c r="AA37" s="134">
        <f t="shared" si="4"/>
        <v>260</v>
      </c>
      <c r="AB37" s="135">
        <f t="shared" si="5"/>
        <v>712.5</v>
      </c>
      <c r="AC37" s="136">
        <f t="shared" si="6"/>
        <v>470.96250000000003</v>
      </c>
      <c r="AD37" s="136">
        <f>IF(OR(AB37=0,D37="",AND(D37&lt;40,D37&gt;22)),0,VLOOKUP($D37,DATA!$A$2:$B$53,2,TRUE)*AC37)</f>
        <v>475.67212500000005</v>
      </c>
      <c r="AE37" s="210">
        <f ca="1">IF(E37="","",OFFSET(Setup!$Q$1,MATCH(E37,Setup!O:O,0)-1,0))</f>
        <v>2</v>
      </c>
      <c r="AF37" s="134" t="str">
        <f t="shared" si="7"/>
        <v>2-M1</v>
      </c>
      <c r="AG37" s="42">
        <f>IF(OR(AB37=0),0,VLOOKUP(AV37,Setup!$S$6:$T$15,2,TRUE))</f>
        <v>5</v>
      </c>
      <c r="AH37" s="137"/>
      <c r="AI37" s="132" t="s">
        <v>277</v>
      </c>
      <c r="AJ37" s="124">
        <f t="shared" si="8"/>
        <v>1</v>
      </c>
      <c r="AK37" s="42">
        <f t="shared" si="9"/>
        <v>6</v>
      </c>
      <c r="AL37" s="29">
        <f t="shared" si="10"/>
        <v>84.4</v>
      </c>
      <c r="AM37" s="29">
        <f t="shared" si="11"/>
        <v>712.5</v>
      </c>
      <c r="AN37" s="29">
        <f t="shared" si="12"/>
        <v>447.5</v>
      </c>
      <c r="AO37" s="41" t="str">
        <f t="shared" si="13"/>
        <v>M</v>
      </c>
      <c r="AP37" s="41"/>
      <c r="AQ37" s="31">
        <f t="shared" si="14"/>
        <v>1</v>
      </c>
      <c r="AR37" s="230">
        <f t="shared" si="15"/>
        <v>500000470.9625</v>
      </c>
      <c r="AS37" s="41">
        <f ca="1" t="shared" si="16"/>
        <v>31</v>
      </c>
      <c r="AT37" s="190">
        <f t="shared" si="17"/>
        <v>500</v>
      </c>
      <c r="AU37" s="115">
        <f ca="1" t="shared" si="18"/>
        <v>30</v>
      </c>
      <c r="AV37" s="211">
        <f t="shared" si="19"/>
        <v>2</v>
      </c>
      <c r="AW37" s="194">
        <f t="shared" si="20"/>
        <v>186</v>
      </c>
      <c r="AX37" s="29">
        <f t="shared" si="21"/>
        <v>27</v>
      </c>
      <c r="AY37" s="23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500000470.9625</v>
      </c>
      <c r="AZ37" s="42"/>
      <c r="BA37" s="42"/>
      <c r="BB37" s="42"/>
      <c r="BC37" s="42"/>
      <c r="BD37" s="42"/>
      <c r="BE37" s="42"/>
      <c r="BF37" s="42"/>
      <c r="BG37" s="42"/>
      <c r="BH37" s="96"/>
      <c r="BI37" s="96"/>
      <c r="BJ37" s="96"/>
      <c r="BK37" s="96"/>
      <c r="BL37" s="96"/>
      <c r="BM37" s="96"/>
      <c r="BN37" s="33"/>
      <c r="CJ37" s="31">
        <v>0</v>
      </c>
      <c r="CK37" s="31">
        <v>1</v>
      </c>
      <c r="CL37" s="31">
        <v>-1</v>
      </c>
      <c r="CM37" s="31">
        <v>-1</v>
      </c>
      <c r="CN37" s="31">
        <v>0</v>
      </c>
      <c r="CO37" s="31">
        <v>0</v>
      </c>
      <c r="CP37" s="31">
        <v>0</v>
      </c>
      <c r="CQ37" s="31">
        <v>1</v>
      </c>
      <c r="CR37" s="31">
        <v>1</v>
      </c>
      <c r="CS37" s="31">
        <v>-1</v>
      </c>
      <c r="CT37" s="31">
        <v>0</v>
      </c>
      <c r="CU37" s="31">
        <v>0</v>
      </c>
      <c r="CV37" s="31">
        <v>0</v>
      </c>
      <c r="CW37" s="31">
        <v>1</v>
      </c>
      <c r="CX37" s="31">
        <v>-1</v>
      </c>
      <c r="CY37" s="31">
        <v>-1</v>
      </c>
      <c r="CZ37" s="31">
        <v>0</v>
      </c>
    </row>
    <row r="38" spans="1:104" s="31" customFormat="1" ht="12.75">
      <c r="A38" s="36">
        <f t="shared" si="23"/>
        <v>182.5</v>
      </c>
      <c r="B38" s="19" t="s">
        <v>34</v>
      </c>
      <c r="C38" s="232" t="s">
        <v>261</v>
      </c>
      <c r="D38" s="19">
        <v>43</v>
      </c>
      <c r="E38" s="19" t="s">
        <v>213</v>
      </c>
      <c r="F38" s="19">
        <v>242</v>
      </c>
      <c r="G38" s="42">
        <f>IF(OR(E38="",F38=""),"",IF(LEFT(E38,1)="M",VLOOKUP(F38,Setup!$J$9:$K$23,2,TRUE),VLOOKUP(F38,Setup!$L$9:$M$23,2,TRUE)))</f>
        <v>242</v>
      </c>
      <c r="H38" s="42">
        <f>IF(F38="",0,VLOOKUP(AL38,DATA!$L$2:$N$1910,IF(LEFT(E38,1)="F",3,2)))</f>
        <v>0.5888</v>
      </c>
      <c r="I38" s="19"/>
      <c r="J38" s="19">
        <v>17</v>
      </c>
      <c r="K38" s="241">
        <v>295</v>
      </c>
      <c r="L38" s="241">
        <v>320</v>
      </c>
      <c r="M38" s="133">
        <v>-340</v>
      </c>
      <c r="N38" s="133"/>
      <c r="O38" s="134">
        <f t="shared" si="1"/>
        <v>320</v>
      </c>
      <c r="P38" s="237"/>
      <c r="Q38" s="241">
        <v>195</v>
      </c>
      <c r="R38" s="241">
        <v>210</v>
      </c>
      <c r="S38" s="133">
        <v>-220</v>
      </c>
      <c r="T38" s="133"/>
      <c r="U38" s="134">
        <f t="shared" si="2"/>
        <v>210</v>
      </c>
      <c r="V38" s="135">
        <f t="shared" si="3"/>
        <v>530</v>
      </c>
      <c r="W38" s="241">
        <v>182.5</v>
      </c>
      <c r="X38" s="241">
        <v>227.5</v>
      </c>
      <c r="Y38" s="133">
        <v>0</v>
      </c>
      <c r="Z38" s="133"/>
      <c r="AA38" s="134">
        <f t="shared" si="4"/>
        <v>227.5</v>
      </c>
      <c r="AB38" s="135">
        <f t="shared" si="5"/>
        <v>757.5</v>
      </c>
      <c r="AC38" s="136">
        <f t="shared" si="6"/>
        <v>446.016</v>
      </c>
      <c r="AD38" s="136">
        <f>IF(OR(AB38=0,D38="",AND(D38&lt;40,D38&gt;22)),0,VLOOKUP($D38,DATA!$A$2:$B$53,2,TRUE)*AC38)</f>
        <v>459.842496</v>
      </c>
      <c r="AE38" s="210">
        <f ca="1">IF(E38="","",OFFSET(Setup!$Q$1,MATCH(E38,Setup!O:O,0)-1,0))</f>
        <v>2</v>
      </c>
      <c r="AF38" s="134" t="str">
        <f t="shared" si="7"/>
        <v>6-M-O</v>
      </c>
      <c r="AG38" s="42">
        <f>IF(OR(AB38=0),0,VLOOKUP(AV38,Setup!$S$6:$T$15,2,TRUE))</f>
        <v>1</v>
      </c>
      <c r="AH38" s="137"/>
      <c r="AI38" s="132" t="s">
        <v>277</v>
      </c>
      <c r="AJ38" s="124">
        <f t="shared" si="8"/>
        <v>1</v>
      </c>
      <c r="AK38" s="42">
        <f t="shared" si="9"/>
        <v>7</v>
      </c>
      <c r="AL38" s="29">
        <f t="shared" si="10"/>
        <v>109.8</v>
      </c>
      <c r="AM38" s="29">
        <f t="shared" si="11"/>
        <v>757.5</v>
      </c>
      <c r="AN38" s="29">
        <f t="shared" si="12"/>
        <v>437.5</v>
      </c>
      <c r="AO38" s="41" t="str">
        <f t="shared" si="13"/>
        <v>M</v>
      </c>
      <c r="AP38" s="41"/>
      <c r="AQ38" s="31">
        <f t="shared" si="14"/>
        <v>1</v>
      </c>
      <c r="AR38" s="230">
        <f t="shared" si="15"/>
        <v>1300000446.016</v>
      </c>
      <c r="AS38" s="41">
        <f ca="1" t="shared" si="16"/>
        <v>7</v>
      </c>
      <c r="AT38" s="190">
        <f t="shared" si="17"/>
        <v>1300</v>
      </c>
      <c r="AU38" s="115">
        <f ca="1" t="shared" si="18"/>
        <v>2</v>
      </c>
      <c r="AV38" s="211">
        <f t="shared" si="19"/>
        <v>6</v>
      </c>
      <c r="AW38" s="194">
        <f t="shared" si="20"/>
        <v>242</v>
      </c>
      <c r="AX38" s="29">
        <f t="shared" si="21"/>
        <v>10</v>
      </c>
      <c r="AY38" s="23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1300000446.016</v>
      </c>
      <c r="AZ38" s="42"/>
      <c r="BA38" s="42"/>
      <c r="BB38" s="42"/>
      <c r="BC38" s="42"/>
      <c r="BD38" s="42"/>
      <c r="BE38" s="42"/>
      <c r="BF38" s="42"/>
      <c r="BG38" s="42"/>
      <c r="BH38" s="96"/>
      <c r="BI38" s="96"/>
      <c r="BJ38" s="96"/>
      <c r="BK38" s="96"/>
      <c r="BL38" s="96"/>
      <c r="BM38" s="96"/>
      <c r="BN38" s="33"/>
      <c r="CJ38" s="31">
        <v>0</v>
      </c>
      <c r="CK38" s="31">
        <v>1</v>
      </c>
      <c r="CL38" s="31">
        <v>1</v>
      </c>
      <c r="CM38" s="31">
        <v>-1</v>
      </c>
      <c r="CN38" s="31">
        <v>0</v>
      </c>
      <c r="CO38" s="31">
        <v>0</v>
      </c>
      <c r="CP38" s="31">
        <v>0</v>
      </c>
      <c r="CQ38" s="31">
        <v>1</v>
      </c>
      <c r="CR38" s="31">
        <v>1</v>
      </c>
      <c r="CS38" s="31">
        <v>-1</v>
      </c>
      <c r="CT38" s="31">
        <v>0</v>
      </c>
      <c r="CU38" s="31">
        <v>0</v>
      </c>
      <c r="CV38" s="31">
        <v>0</v>
      </c>
      <c r="CW38" s="31">
        <v>1</v>
      </c>
      <c r="CX38" s="31">
        <v>1</v>
      </c>
      <c r="CY38" s="31">
        <v>0</v>
      </c>
      <c r="CZ38" s="31">
        <v>0</v>
      </c>
    </row>
    <row r="39" spans="1:104" s="31" customFormat="1" ht="12.75">
      <c r="A39" s="36">
        <f t="shared" si="23"/>
        <v>200</v>
      </c>
      <c r="B39" s="19" t="s">
        <v>34</v>
      </c>
      <c r="C39" s="232" t="s">
        <v>256</v>
      </c>
      <c r="D39" s="19">
        <v>23</v>
      </c>
      <c r="E39" s="19" t="s">
        <v>203</v>
      </c>
      <c r="F39" s="19">
        <v>208</v>
      </c>
      <c r="G39" s="42">
        <f>IF(OR(E39="",F39=""),"",IF(LEFT(E39,1)="M",VLOOKUP(F39,Setup!$J$9:$K$23,2,TRUE),VLOOKUP(F39,Setup!$L$9:$M$23,2,TRUE)))</f>
        <v>220</v>
      </c>
      <c r="H39" s="42">
        <f>IF(F39="",0,VLOOKUP(AL39,DATA!$L$2:$N$1910,IF(LEFT(E39,1)="F",3,2)))</f>
        <v>0.6241</v>
      </c>
      <c r="I39" s="19"/>
      <c r="J39" s="19">
        <v>21</v>
      </c>
      <c r="K39" s="241">
        <v>165</v>
      </c>
      <c r="L39" s="241">
        <v>175</v>
      </c>
      <c r="M39" s="241">
        <v>-182.5</v>
      </c>
      <c r="N39" s="133"/>
      <c r="O39" s="134">
        <f t="shared" si="1"/>
        <v>175</v>
      </c>
      <c r="P39" s="237"/>
      <c r="Q39" s="241">
        <v>125</v>
      </c>
      <c r="R39" s="241">
        <v>135</v>
      </c>
      <c r="S39" s="241">
        <v>140</v>
      </c>
      <c r="T39" s="133"/>
      <c r="U39" s="134">
        <f t="shared" si="2"/>
        <v>140</v>
      </c>
      <c r="V39" s="135">
        <f t="shared" si="3"/>
        <v>315</v>
      </c>
      <c r="W39" s="241">
        <v>200</v>
      </c>
      <c r="X39" s="241">
        <v>210</v>
      </c>
      <c r="Y39" s="241">
        <v>225</v>
      </c>
      <c r="Z39" s="133"/>
      <c r="AA39" s="134">
        <f t="shared" si="4"/>
        <v>225</v>
      </c>
      <c r="AB39" s="135">
        <f t="shared" si="5"/>
        <v>540</v>
      </c>
      <c r="AC39" s="136">
        <f t="shared" si="6"/>
        <v>337.014</v>
      </c>
      <c r="AD39" s="136">
        <f>IF(OR(AB39=0,D39="",AND(D39&lt;40,D39&gt;22)),0,VLOOKUP($D39,DATA!$A$2:$B$53,2,TRUE)*AC39)</f>
        <v>0</v>
      </c>
      <c r="AE39" s="210">
        <f ca="1">IF(E39="","",OFFSET(Setup!$Q$1,MATCH(E39,Setup!O:O,0)-1,0))</f>
        <v>2</v>
      </c>
      <c r="AF39" s="134" t="str">
        <f t="shared" si="7"/>
        <v>7-M1</v>
      </c>
      <c r="AG39" s="42">
        <f>IF(OR(AB39=0),0,VLOOKUP(AV39,Setup!$S$6:$T$15,2,TRUE))</f>
        <v>1</v>
      </c>
      <c r="AH39" s="137"/>
      <c r="AI39" s="132" t="s">
        <v>277</v>
      </c>
      <c r="AJ39" s="124">
        <f t="shared" si="8"/>
        <v>1</v>
      </c>
      <c r="AK39" s="42">
        <f t="shared" si="9"/>
        <v>7</v>
      </c>
      <c r="AL39" s="29">
        <f t="shared" si="10"/>
        <v>94.3</v>
      </c>
      <c r="AM39" s="29">
        <f t="shared" si="11"/>
        <v>540</v>
      </c>
      <c r="AN39" s="29">
        <f t="shared" si="12"/>
        <v>365</v>
      </c>
      <c r="AO39" s="41" t="str">
        <f t="shared" si="13"/>
        <v>M</v>
      </c>
      <c r="AP39" s="41"/>
      <c r="AQ39" s="31">
        <f t="shared" si="14"/>
        <v>1</v>
      </c>
      <c r="AR39" s="230">
        <f t="shared" si="15"/>
        <v>500000337.014</v>
      </c>
      <c r="AS39" s="41">
        <f ca="1" t="shared" si="16"/>
        <v>36</v>
      </c>
      <c r="AT39" s="190">
        <f t="shared" si="17"/>
        <v>500</v>
      </c>
      <c r="AU39" s="115">
        <f ca="1" t="shared" si="18"/>
        <v>30</v>
      </c>
      <c r="AV39" s="211">
        <f t="shared" si="19"/>
        <v>7</v>
      </c>
      <c r="AW39" s="194">
        <f t="shared" si="20"/>
        <v>208</v>
      </c>
      <c r="AX39" s="29">
        <f t="shared" si="21"/>
        <v>21</v>
      </c>
      <c r="AY39" s="23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500000337.014</v>
      </c>
      <c r="AZ39" s="42"/>
      <c r="BA39" s="42"/>
      <c r="BB39" s="42"/>
      <c r="BC39" s="42"/>
      <c r="BD39" s="42"/>
      <c r="BE39" s="42"/>
      <c r="BF39" s="42"/>
      <c r="BG39" s="42"/>
      <c r="BH39" s="96"/>
      <c r="BI39" s="96"/>
      <c r="BJ39" s="96"/>
      <c r="BK39" s="96"/>
      <c r="BL39" s="96"/>
      <c r="BM39" s="96"/>
      <c r="BN39" s="33"/>
      <c r="CJ39" s="31">
        <v>0</v>
      </c>
      <c r="CK39" s="31">
        <v>1</v>
      </c>
      <c r="CL39" s="31">
        <v>1</v>
      </c>
      <c r="CM39" s="31">
        <v>-1</v>
      </c>
      <c r="CN39" s="31">
        <v>0</v>
      </c>
      <c r="CO39" s="31">
        <v>0</v>
      </c>
      <c r="CP39" s="31">
        <v>0</v>
      </c>
      <c r="CQ39" s="31">
        <v>1</v>
      </c>
      <c r="CR39" s="31">
        <v>1</v>
      </c>
      <c r="CS39" s="31">
        <v>1</v>
      </c>
      <c r="CT39" s="31">
        <v>0</v>
      </c>
      <c r="CU39" s="31">
        <v>0</v>
      </c>
      <c r="CV39" s="31">
        <v>0</v>
      </c>
      <c r="CW39" s="31">
        <v>1</v>
      </c>
      <c r="CX39" s="31">
        <v>1</v>
      </c>
      <c r="CY39" s="31">
        <v>1</v>
      </c>
      <c r="CZ39" s="31">
        <v>0</v>
      </c>
    </row>
    <row r="40" spans="1:104" s="31" customFormat="1" ht="12.75">
      <c r="A40" s="36">
        <f t="shared" si="23"/>
        <v>215</v>
      </c>
      <c r="B40" s="19" t="s">
        <v>34</v>
      </c>
      <c r="C40" s="232" t="s">
        <v>258</v>
      </c>
      <c r="D40" s="19">
        <v>21</v>
      </c>
      <c r="E40" s="19" t="s">
        <v>203</v>
      </c>
      <c r="F40" s="19">
        <v>260</v>
      </c>
      <c r="G40" s="42">
        <f>IF(OR(E40="",F40=""),"",IF(LEFT(E40,1)="M",VLOOKUP(F40,Setup!$J$9:$K$23,2,TRUE),VLOOKUP(F40,Setup!$L$9:$M$23,2,TRUE)))</f>
        <v>275</v>
      </c>
      <c r="H40" s="42">
        <f>IF(F40="",0,VLOOKUP(AL40,DATA!$L$2:$N$1910,IF(LEFT(E40,1)="F",3,2)))</f>
        <v>0.5774</v>
      </c>
      <c r="I40" s="19"/>
      <c r="J40" s="19">
        <v>21</v>
      </c>
      <c r="K40" s="241">
        <v>215</v>
      </c>
      <c r="L40" s="241">
        <v>227.5</v>
      </c>
      <c r="M40" s="241">
        <v>240</v>
      </c>
      <c r="N40" s="133"/>
      <c r="O40" s="134">
        <f t="shared" si="1"/>
        <v>240</v>
      </c>
      <c r="P40" s="237"/>
      <c r="Q40" s="241">
        <v>140</v>
      </c>
      <c r="R40" s="241">
        <v>150</v>
      </c>
      <c r="S40" s="241">
        <v>160</v>
      </c>
      <c r="T40" s="133"/>
      <c r="U40" s="134">
        <f t="shared" si="2"/>
        <v>160</v>
      </c>
      <c r="V40" s="135">
        <f t="shared" si="3"/>
        <v>400</v>
      </c>
      <c r="W40" s="241">
        <v>215</v>
      </c>
      <c r="X40" s="241">
        <v>227.5</v>
      </c>
      <c r="Y40" s="133">
        <v>-237.5</v>
      </c>
      <c r="Z40" s="133"/>
      <c r="AA40" s="134">
        <f t="shared" si="4"/>
        <v>227.5</v>
      </c>
      <c r="AB40" s="135">
        <f t="shared" si="5"/>
        <v>627.5</v>
      </c>
      <c r="AC40" s="136">
        <f t="shared" si="6"/>
        <v>362.31850000000003</v>
      </c>
      <c r="AD40" s="136">
        <f>IF(OR(AB40=0,D40="",AND(D40&lt;40,D40&gt;22)),0,VLOOKUP($D40,DATA!$A$2:$B$53,2,TRUE)*AC40)</f>
        <v>369.56487000000004</v>
      </c>
      <c r="AE40" s="210">
        <f ca="1">IF(E40="","",OFFSET(Setup!$Q$1,MATCH(E40,Setup!O:O,0)-1,0))</f>
        <v>2</v>
      </c>
      <c r="AF40" s="134" t="str">
        <f t="shared" si="7"/>
        <v>5-M1</v>
      </c>
      <c r="AG40" s="42">
        <f>IF(OR(AB40=0),0,VLOOKUP(AV40,Setup!$S$6:$T$15,2,TRUE))</f>
        <v>1</v>
      </c>
      <c r="AH40" s="137"/>
      <c r="AI40" s="132" t="s">
        <v>277</v>
      </c>
      <c r="AJ40" s="124">
        <f t="shared" si="8"/>
        <v>1</v>
      </c>
      <c r="AK40" s="42">
        <f t="shared" si="9"/>
        <v>7</v>
      </c>
      <c r="AL40" s="29">
        <f t="shared" si="10"/>
        <v>117.9</v>
      </c>
      <c r="AM40" s="29">
        <f t="shared" si="11"/>
        <v>627.5</v>
      </c>
      <c r="AN40" s="29">
        <f t="shared" si="12"/>
        <v>387.5</v>
      </c>
      <c r="AO40" s="41" t="str">
        <f t="shared" si="13"/>
        <v>M</v>
      </c>
      <c r="AP40" s="41"/>
      <c r="AQ40" s="31">
        <f t="shared" si="14"/>
        <v>1</v>
      </c>
      <c r="AR40" s="230">
        <f t="shared" si="15"/>
        <v>500000362.3185</v>
      </c>
      <c r="AS40" s="41">
        <f ca="1" t="shared" si="16"/>
        <v>34</v>
      </c>
      <c r="AT40" s="190">
        <f t="shared" si="17"/>
        <v>500</v>
      </c>
      <c r="AU40" s="115">
        <f ca="1" t="shared" si="18"/>
        <v>30</v>
      </c>
      <c r="AV40" s="211">
        <f t="shared" si="19"/>
        <v>5</v>
      </c>
      <c r="AW40" s="194">
        <f t="shared" si="20"/>
        <v>260</v>
      </c>
      <c r="AX40" s="29">
        <f t="shared" si="21"/>
        <v>7</v>
      </c>
      <c r="AY40" s="23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500000362.3185</v>
      </c>
      <c r="AZ40" s="42"/>
      <c r="BA40" s="42"/>
      <c r="BB40" s="42"/>
      <c r="BC40" s="42"/>
      <c r="BD40" s="42"/>
      <c r="BE40" s="42"/>
      <c r="BF40" s="42"/>
      <c r="BG40" s="42"/>
      <c r="BH40" s="96"/>
      <c r="BI40" s="96"/>
      <c r="BJ40" s="96"/>
      <c r="BK40" s="96"/>
      <c r="BL40" s="96"/>
      <c r="BM40" s="96"/>
      <c r="BN40" s="33"/>
      <c r="CJ40" s="31">
        <v>0</v>
      </c>
      <c r="CK40" s="31">
        <v>1</v>
      </c>
      <c r="CL40" s="31">
        <v>1</v>
      </c>
      <c r="CM40" s="31">
        <v>1</v>
      </c>
      <c r="CN40" s="31">
        <v>0</v>
      </c>
      <c r="CO40" s="31">
        <v>0</v>
      </c>
      <c r="CP40" s="31">
        <v>0</v>
      </c>
      <c r="CQ40" s="31">
        <v>1</v>
      </c>
      <c r="CR40" s="31">
        <v>1</v>
      </c>
      <c r="CS40" s="31">
        <v>1</v>
      </c>
      <c r="CT40" s="31">
        <v>0</v>
      </c>
      <c r="CU40" s="31">
        <v>0</v>
      </c>
      <c r="CV40" s="31">
        <v>0</v>
      </c>
      <c r="CW40" s="31">
        <v>1</v>
      </c>
      <c r="CX40" s="31">
        <v>1</v>
      </c>
      <c r="CY40" s="31">
        <v>-1</v>
      </c>
      <c r="CZ40" s="31">
        <v>0</v>
      </c>
    </row>
    <row r="41" spans="1:104" s="31" customFormat="1" ht="12.75">
      <c r="A41" s="36">
        <f t="shared" si="23"/>
        <v>225</v>
      </c>
      <c r="B41" s="19" t="s">
        <v>34</v>
      </c>
      <c r="C41" s="232" t="s">
        <v>257</v>
      </c>
      <c r="D41" s="19">
        <v>38</v>
      </c>
      <c r="E41" s="19" t="s">
        <v>204</v>
      </c>
      <c r="F41" s="19">
        <v>242</v>
      </c>
      <c r="G41" s="42">
        <f>IF(OR(E41="",F41=""),"",IF(LEFT(E41,1)="M",VLOOKUP(F41,Setup!$J$9:$K$23,2,TRUE),VLOOKUP(F41,Setup!$L$9:$M$23,2,TRUE)))</f>
        <v>242</v>
      </c>
      <c r="H41" s="42">
        <f>IF(F41="",0,VLOOKUP(AL41,DATA!$L$2:$N$1910,IF(LEFT(E41,1)="F",3,2)))</f>
        <v>0.5888</v>
      </c>
      <c r="I41" s="19"/>
      <c r="J41" s="19">
        <v>19</v>
      </c>
      <c r="K41" s="241">
        <v>185</v>
      </c>
      <c r="L41" s="241">
        <v>215</v>
      </c>
      <c r="M41" s="133">
        <v>-240</v>
      </c>
      <c r="N41" s="133"/>
      <c r="O41" s="134">
        <f t="shared" si="1"/>
        <v>215</v>
      </c>
      <c r="P41" s="237"/>
      <c r="Q41" s="241">
        <v>147.5</v>
      </c>
      <c r="R41" s="133">
        <v>-175</v>
      </c>
      <c r="S41" s="133">
        <v>-175</v>
      </c>
      <c r="T41" s="133"/>
      <c r="U41" s="134">
        <f t="shared" si="2"/>
        <v>147.5</v>
      </c>
      <c r="V41" s="135">
        <f t="shared" si="3"/>
        <v>362.5</v>
      </c>
      <c r="W41" s="241">
        <v>225</v>
      </c>
      <c r="X41" s="241">
        <v>242.5</v>
      </c>
      <c r="Y41" s="241">
        <v>252.5</v>
      </c>
      <c r="Z41" s="133"/>
      <c r="AA41" s="134">
        <f t="shared" si="4"/>
        <v>252.5</v>
      </c>
      <c r="AB41" s="135">
        <f t="shared" si="5"/>
        <v>615</v>
      </c>
      <c r="AC41" s="136">
        <f t="shared" si="6"/>
        <v>362.11199999999997</v>
      </c>
      <c r="AD41" s="136">
        <f>IF(OR(AB41=0,D41="",AND(D41&lt;40,D41&gt;22)),0,VLOOKUP($D41,DATA!$A$2:$B$53,2,TRUE)*AC41)</f>
        <v>0</v>
      </c>
      <c r="AE41" s="210">
        <f ca="1">IF(E41="","",OFFSET(Setup!$Q$1,MATCH(E41,Setup!O:O,0)-1,0))</f>
        <v>2</v>
      </c>
      <c r="AF41" s="134" t="str">
        <f t="shared" si="7"/>
        <v>2-M2</v>
      </c>
      <c r="AG41" s="42">
        <f>IF(OR(AB41=0),0,VLOOKUP(AV41,Setup!$S$6:$T$15,2,TRUE))</f>
        <v>5</v>
      </c>
      <c r="AH41" s="137"/>
      <c r="AI41" s="132" t="s">
        <v>277</v>
      </c>
      <c r="AJ41" s="124">
        <f t="shared" si="8"/>
        <v>1</v>
      </c>
      <c r="AK41" s="42">
        <f t="shared" si="9"/>
        <v>7</v>
      </c>
      <c r="AL41" s="29">
        <f t="shared" si="10"/>
        <v>109.8</v>
      </c>
      <c r="AM41" s="29">
        <f t="shared" si="11"/>
        <v>615</v>
      </c>
      <c r="AN41" s="29">
        <f t="shared" si="12"/>
        <v>400</v>
      </c>
      <c r="AO41" s="41" t="str">
        <f t="shared" si="13"/>
        <v>M</v>
      </c>
      <c r="AP41" s="41"/>
      <c r="AQ41" s="31">
        <f t="shared" si="14"/>
        <v>1</v>
      </c>
      <c r="AR41" s="230">
        <f t="shared" si="15"/>
        <v>600000362.112</v>
      </c>
      <c r="AS41" s="41">
        <f ca="1" t="shared" si="16"/>
        <v>28</v>
      </c>
      <c r="AT41" s="190">
        <f t="shared" si="17"/>
        <v>600</v>
      </c>
      <c r="AU41" s="115">
        <f ca="1" t="shared" si="18"/>
        <v>27</v>
      </c>
      <c r="AV41" s="211">
        <f t="shared" si="19"/>
        <v>2</v>
      </c>
      <c r="AW41" s="194">
        <f t="shared" si="20"/>
        <v>242</v>
      </c>
      <c r="AX41" s="29">
        <f t="shared" si="21"/>
        <v>10</v>
      </c>
      <c r="AY41" s="23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600000362.112</v>
      </c>
      <c r="AZ41" s="42"/>
      <c r="BA41" s="42"/>
      <c r="BB41" s="42"/>
      <c r="BC41" s="42"/>
      <c r="BD41" s="42"/>
      <c r="BE41" s="42"/>
      <c r="BF41" s="42"/>
      <c r="BG41" s="42"/>
      <c r="BH41" s="96"/>
      <c r="BI41" s="96"/>
      <c r="BJ41" s="96"/>
      <c r="BK41" s="96"/>
      <c r="BL41" s="96"/>
      <c r="BM41" s="96"/>
      <c r="BN41" s="33"/>
      <c r="CJ41" s="31">
        <v>0</v>
      </c>
      <c r="CK41" s="31">
        <v>1</v>
      </c>
      <c r="CL41" s="31">
        <v>1</v>
      </c>
      <c r="CM41" s="31">
        <v>-1</v>
      </c>
      <c r="CN41" s="31">
        <v>0</v>
      </c>
      <c r="CO41" s="31">
        <v>0</v>
      </c>
      <c r="CP41" s="31">
        <v>0</v>
      </c>
      <c r="CQ41" s="31">
        <v>1</v>
      </c>
      <c r="CR41" s="31">
        <v>-1</v>
      </c>
      <c r="CS41" s="31">
        <v>-1</v>
      </c>
      <c r="CT41" s="31">
        <v>0</v>
      </c>
      <c r="CU41" s="31">
        <v>0</v>
      </c>
      <c r="CV41" s="31">
        <v>0</v>
      </c>
      <c r="CW41" s="31">
        <v>1</v>
      </c>
      <c r="CX41" s="31">
        <v>1</v>
      </c>
      <c r="CY41" s="31">
        <v>1</v>
      </c>
      <c r="CZ41" s="31">
        <v>0</v>
      </c>
    </row>
    <row r="42" spans="1:104" s="31" customFormat="1" ht="12.75">
      <c r="A42" s="36">
        <f t="shared" si="23"/>
        <v>255</v>
      </c>
      <c r="B42" s="19" t="s">
        <v>34</v>
      </c>
      <c r="C42" s="232" t="s">
        <v>262</v>
      </c>
      <c r="D42" s="19">
        <v>21</v>
      </c>
      <c r="E42" s="19" t="s">
        <v>213</v>
      </c>
      <c r="F42" s="19">
        <v>218</v>
      </c>
      <c r="G42" s="42">
        <f>IF(OR(E42="",F42=""),"",IF(LEFT(E42,1)="M",VLOOKUP(F42,Setup!$J$9:$K$23,2,TRUE),VLOOKUP(F42,Setup!$L$9:$M$23,2,TRUE)))</f>
        <v>220</v>
      </c>
      <c r="H42" s="42">
        <f>IF(F42="",0,VLOOKUP(AL42,DATA!$L$2:$N$1910,IF(LEFT(E42,1)="F",3,2)))</f>
        <v>0.6113</v>
      </c>
      <c r="I42" s="19"/>
      <c r="J42" s="19">
        <v>15</v>
      </c>
      <c r="K42" s="133">
        <v>-320</v>
      </c>
      <c r="L42" s="241">
        <v>340</v>
      </c>
      <c r="M42" s="133">
        <v>-365</v>
      </c>
      <c r="N42" s="133"/>
      <c r="O42" s="134">
        <f t="shared" si="1"/>
        <v>340</v>
      </c>
      <c r="P42" s="237"/>
      <c r="Q42" s="241">
        <v>210</v>
      </c>
      <c r="R42" s="241">
        <v>232.5</v>
      </c>
      <c r="S42" s="133">
        <v>-245</v>
      </c>
      <c r="T42" s="133"/>
      <c r="U42" s="134">
        <f t="shared" si="2"/>
        <v>232.5</v>
      </c>
      <c r="V42" s="135">
        <f t="shared" si="3"/>
        <v>572.5</v>
      </c>
      <c r="W42" s="241">
        <v>255</v>
      </c>
      <c r="X42" s="133">
        <v>-280</v>
      </c>
      <c r="Y42" s="133">
        <v>-280</v>
      </c>
      <c r="Z42" s="133"/>
      <c r="AA42" s="134">
        <f t="shared" si="4"/>
        <v>255</v>
      </c>
      <c r="AB42" s="135">
        <f t="shared" si="5"/>
        <v>827.5</v>
      </c>
      <c r="AC42" s="136">
        <f t="shared" si="6"/>
        <v>505.85074999999995</v>
      </c>
      <c r="AD42" s="136">
        <f>IF(OR(AB42=0,D42="",AND(D42&lt;40,D42&gt;22)),0,VLOOKUP($D42,DATA!$A$2:$B$53,2,TRUE)*AC42)</f>
        <v>515.967765</v>
      </c>
      <c r="AE42" s="210">
        <f ca="1">IF(E42="","",OFFSET(Setup!$Q$1,MATCH(E42,Setup!O:O,0)-1,0))</f>
        <v>2</v>
      </c>
      <c r="AF42" s="134" t="str">
        <f t="shared" si="7"/>
        <v>3-M-O</v>
      </c>
      <c r="AG42" s="42">
        <f>IF(OR(AB42=0),0,VLOOKUP(AV42,Setup!$S$6:$T$15,2,TRUE))</f>
        <v>3</v>
      </c>
      <c r="AH42" s="137"/>
      <c r="AI42" s="132" t="s">
        <v>277</v>
      </c>
      <c r="AJ42" s="124">
        <f t="shared" si="8"/>
        <v>1</v>
      </c>
      <c r="AK42" s="42">
        <f t="shared" si="9"/>
        <v>7</v>
      </c>
      <c r="AL42" s="29">
        <f t="shared" si="10"/>
        <v>98.9</v>
      </c>
      <c r="AM42" s="29">
        <f t="shared" si="11"/>
        <v>827.5</v>
      </c>
      <c r="AN42" s="29">
        <f t="shared" si="12"/>
        <v>487.5</v>
      </c>
      <c r="AO42" s="41" t="str">
        <f t="shared" si="13"/>
        <v>M</v>
      </c>
      <c r="AP42" s="41"/>
      <c r="AQ42" s="31">
        <f t="shared" si="14"/>
        <v>1</v>
      </c>
      <c r="AR42" s="230">
        <f t="shared" si="15"/>
        <v>1300000505.85075</v>
      </c>
      <c r="AS42" s="41">
        <f ca="1" t="shared" si="16"/>
        <v>4</v>
      </c>
      <c r="AT42" s="190">
        <f t="shared" si="17"/>
        <v>1300</v>
      </c>
      <c r="AU42" s="115">
        <f ca="1" t="shared" si="18"/>
        <v>2</v>
      </c>
      <c r="AV42" s="211">
        <f t="shared" si="19"/>
        <v>3</v>
      </c>
      <c r="AW42" s="194">
        <f t="shared" si="20"/>
        <v>218</v>
      </c>
      <c r="AX42" s="29">
        <f t="shared" si="21"/>
        <v>20</v>
      </c>
      <c r="AY42" s="23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1300000505.85075</v>
      </c>
      <c r="AZ42" s="42"/>
      <c r="BA42" s="42"/>
      <c r="BB42" s="42"/>
      <c r="BC42" s="42"/>
      <c r="BD42" s="42"/>
      <c r="BE42" s="42"/>
      <c r="BF42" s="42"/>
      <c r="BG42" s="42"/>
      <c r="BH42" s="96"/>
      <c r="BI42" s="96"/>
      <c r="BJ42" s="96"/>
      <c r="BK42" s="96"/>
      <c r="BL42" s="96"/>
      <c r="BM42" s="96"/>
      <c r="BN42" s="33"/>
      <c r="CJ42" s="31">
        <v>0</v>
      </c>
      <c r="CK42" s="31">
        <v>-1</v>
      </c>
      <c r="CL42" s="31">
        <v>1</v>
      </c>
      <c r="CM42" s="31">
        <v>-1</v>
      </c>
      <c r="CN42" s="31">
        <v>0</v>
      </c>
      <c r="CO42" s="31">
        <v>0</v>
      </c>
      <c r="CP42" s="31">
        <v>0</v>
      </c>
      <c r="CQ42" s="31">
        <v>1</v>
      </c>
      <c r="CR42" s="31">
        <v>1</v>
      </c>
      <c r="CS42" s="31">
        <v>-1</v>
      </c>
      <c r="CT42" s="31">
        <v>0</v>
      </c>
      <c r="CU42" s="31">
        <v>0</v>
      </c>
      <c r="CV42" s="31">
        <v>0</v>
      </c>
      <c r="CW42" s="31">
        <v>1</v>
      </c>
      <c r="CX42" s="31">
        <v>-1</v>
      </c>
      <c r="CY42" s="31">
        <v>-1</v>
      </c>
      <c r="CZ42" s="31">
        <v>0</v>
      </c>
    </row>
    <row r="43" spans="1:104" s="31" customFormat="1" ht="12.75">
      <c r="A43" s="36">
        <f t="shared" si="23"/>
        <v>265</v>
      </c>
      <c r="B43" s="19" t="s">
        <v>34</v>
      </c>
      <c r="C43" s="232" t="s">
        <v>260</v>
      </c>
      <c r="D43" s="19">
        <v>31</v>
      </c>
      <c r="E43" s="19" t="s">
        <v>213</v>
      </c>
      <c r="F43" s="19">
        <v>233</v>
      </c>
      <c r="G43" s="42">
        <f>IF(OR(E43="",F43=""),"",IF(LEFT(E43,1)="M",VLOOKUP(F43,Setup!$J$9:$K$23,2,TRUE),VLOOKUP(F43,Setup!$L$9:$M$23,2,TRUE)))</f>
        <v>242</v>
      </c>
      <c r="H43" s="42">
        <f>IF(F43="",0,VLOOKUP(AL43,DATA!$L$2:$N$1910,IF(LEFT(E43,1)="F",3,2)))</f>
        <v>0.5962</v>
      </c>
      <c r="I43" s="19"/>
      <c r="J43" s="19">
        <v>17</v>
      </c>
      <c r="K43" s="241">
        <v>292.5</v>
      </c>
      <c r="L43" s="133">
        <v>-310</v>
      </c>
      <c r="M43" s="133">
        <v>-320</v>
      </c>
      <c r="N43" s="133"/>
      <c r="O43" s="134">
        <f t="shared" si="1"/>
        <v>292.5</v>
      </c>
      <c r="P43" s="237"/>
      <c r="Q43" s="241">
        <v>202.5</v>
      </c>
      <c r="R43" s="241">
        <v>230</v>
      </c>
      <c r="S43" s="133">
        <v>-235</v>
      </c>
      <c r="T43" s="133"/>
      <c r="U43" s="134">
        <f t="shared" si="2"/>
        <v>230</v>
      </c>
      <c r="V43" s="135">
        <f t="shared" si="3"/>
        <v>522.5</v>
      </c>
      <c r="W43" s="241">
        <v>265</v>
      </c>
      <c r="X43" s="241">
        <v>292.5</v>
      </c>
      <c r="Y43" s="241">
        <v>305</v>
      </c>
      <c r="Z43" s="133"/>
      <c r="AA43" s="134">
        <f t="shared" si="4"/>
        <v>305</v>
      </c>
      <c r="AB43" s="135">
        <f t="shared" si="5"/>
        <v>827.5</v>
      </c>
      <c r="AC43" s="136">
        <f t="shared" si="6"/>
        <v>493.35549999999995</v>
      </c>
      <c r="AD43" s="136">
        <f>IF(OR(AB43=0,D43="",AND(D43&lt;40,D43&gt;22)),0,VLOOKUP($D43,DATA!$A$2:$B$53,2,TRUE)*AC43)</f>
        <v>0</v>
      </c>
      <c r="AE43" s="210">
        <f ca="1">IF(E43="","",OFFSET(Setup!$Q$1,MATCH(E43,Setup!O:O,0)-1,0))</f>
        <v>2</v>
      </c>
      <c r="AF43" s="134" t="str">
        <f t="shared" si="7"/>
        <v>4-M-O</v>
      </c>
      <c r="AG43" s="42">
        <f>IF(OR(AB43=0),0,VLOOKUP(AV43,Setup!$S$6:$T$15,2,TRUE))</f>
        <v>2</v>
      </c>
      <c r="AH43" s="137"/>
      <c r="AI43" s="132" t="s">
        <v>277</v>
      </c>
      <c r="AJ43" s="124">
        <f t="shared" si="8"/>
        <v>1</v>
      </c>
      <c r="AK43" s="42">
        <f t="shared" si="9"/>
        <v>7</v>
      </c>
      <c r="AL43" s="29">
        <f t="shared" si="10"/>
        <v>105.7</v>
      </c>
      <c r="AM43" s="29">
        <f t="shared" si="11"/>
        <v>827.5</v>
      </c>
      <c r="AN43" s="29">
        <f t="shared" si="12"/>
        <v>535</v>
      </c>
      <c r="AO43" s="41" t="str">
        <f t="shared" si="13"/>
        <v>M</v>
      </c>
      <c r="AP43" s="41"/>
      <c r="AQ43" s="31">
        <f t="shared" si="14"/>
        <v>1</v>
      </c>
      <c r="AR43" s="230">
        <f t="shared" si="15"/>
        <v>1300000493.3555</v>
      </c>
      <c r="AS43" s="41">
        <f ca="1" t="shared" si="16"/>
        <v>5</v>
      </c>
      <c r="AT43" s="190">
        <f t="shared" si="17"/>
        <v>1300</v>
      </c>
      <c r="AU43" s="115">
        <f ca="1" t="shared" si="18"/>
        <v>2</v>
      </c>
      <c r="AV43" s="211">
        <f t="shared" si="19"/>
        <v>4</v>
      </c>
      <c r="AW43" s="194">
        <f t="shared" si="20"/>
        <v>233</v>
      </c>
      <c r="AX43" s="29">
        <f t="shared" si="21"/>
        <v>17</v>
      </c>
      <c r="AY43" s="23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1300000493.3555</v>
      </c>
      <c r="AZ43" s="42"/>
      <c r="BA43" s="42"/>
      <c r="BB43" s="42"/>
      <c r="BC43" s="42"/>
      <c r="BD43" s="42"/>
      <c r="BE43" s="42"/>
      <c r="BF43" s="42"/>
      <c r="BG43" s="42"/>
      <c r="BH43" s="96"/>
      <c r="BI43" s="96"/>
      <c r="BJ43" s="96"/>
      <c r="BK43" s="96"/>
      <c r="BL43" s="96"/>
      <c r="BM43" s="96"/>
      <c r="BN43" s="33"/>
      <c r="CJ43" s="31">
        <v>0</v>
      </c>
      <c r="CK43" s="31">
        <v>1</v>
      </c>
      <c r="CL43" s="31">
        <v>-1</v>
      </c>
      <c r="CM43" s="31">
        <v>-1</v>
      </c>
      <c r="CN43" s="31">
        <v>0</v>
      </c>
      <c r="CO43" s="31">
        <v>0</v>
      </c>
      <c r="CP43" s="31">
        <v>0</v>
      </c>
      <c r="CQ43" s="31">
        <v>1</v>
      </c>
      <c r="CR43" s="31">
        <v>1</v>
      </c>
      <c r="CS43" s="31">
        <v>-1</v>
      </c>
      <c r="CT43" s="31">
        <v>0</v>
      </c>
      <c r="CU43" s="31">
        <v>0</v>
      </c>
      <c r="CV43" s="31">
        <v>0</v>
      </c>
      <c r="CW43" s="31">
        <v>1</v>
      </c>
      <c r="CX43" s="31">
        <v>1</v>
      </c>
      <c r="CY43" s="31">
        <v>1</v>
      </c>
      <c r="CZ43" s="31">
        <v>0</v>
      </c>
    </row>
    <row r="44" spans="1:104" ht="12.75">
      <c r="A44" s="36">
        <f t="shared" si="23"/>
        <v>275</v>
      </c>
      <c r="B44" s="242" t="s">
        <v>34</v>
      </c>
      <c r="C44" s="243" t="s">
        <v>263</v>
      </c>
      <c r="D44" s="242">
        <v>22</v>
      </c>
      <c r="E44" s="242" t="s">
        <v>213</v>
      </c>
      <c r="F44" s="242">
        <v>270</v>
      </c>
      <c r="G44" s="42">
        <f>IF(OR(E44="",F44=""),"",IF(LEFT(E44,1)="M",VLOOKUP(F44,Setup!$J$9:$K$23,2,TRUE),VLOOKUP(F44,Setup!$L$9:$M$23,2,TRUE)))</f>
        <v>275</v>
      </c>
      <c r="H44" s="42">
        <f>IF(F44="",0,VLOOKUP(AL44,DATA!$L$2:$N$1910,IF(LEFT(E44,1)="F",3,2)))</f>
        <v>0.5723</v>
      </c>
      <c r="I44" s="242"/>
      <c r="J44" s="244">
        <v>17</v>
      </c>
      <c r="K44" s="252">
        <v>320</v>
      </c>
      <c r="L44" s="252">
        <v>335</v>
      </c>
      <c r="M44" s="252">
        <v>342.5</v>
      </c>
      <c r="N44" s="245"/>
      <c r="O44" s="134">
        <f t="shared" si="1"/>
        <v>342.5</v>
      </c>
      <c r="P44" s="246"/>
      <c r="Q44" s="245">
        <v>-255</v>
      </c>
      <c r="R44" s="252">
        <v>255</v>
      </c>
      <c r="S44" s="245">
        <v>-262.5</v>
      </c>
      <c r="T44" s="245"/>
      <c r="U44" s="134">
        <f t="shared" si="2"/>
        <v>255</v>
      </c>
      <c r="V44" s="135">
        <f t="shared" si="3"/>
        <v>597.5</v>
      </c>
      <c r="W44" s="252">
        <v>275</v>
      </c>
      <c r="X44" s="252">
        <v>292.5</v>
      </c>
      <c r="Y44" s="245">
        <v>-307.5</v>
      </c>
      <c r="Z44" s="245"/>
      <c r="AA44" s="134">
        <f t="shared" si="4"/>
        <v>292.5</v>
      </c>
      <c r="AB44" s="135">
        <f t="shared" si="5"/>
        <v>890</v>
      </c>
      <c r="AC44" s="136">
        <f t="shared" si="6"/>
        <v>509.34700000000004</v>
      </c>
      <c r="AD44" s="136">
        <f>IF(OR(AB44=0,D44="",AND(D44&lt;40,D44&gt;22)),0,VLOOKUP($D44,DATA!$A$2:$B$53,2,TRUE)*AC44)</f>
        <v>514.44047</v>
      </c>
      <c r="AE44" s="210">
        <f ca="1">IF(E44="","",OFFSET(Setup!$Q$1,MATCH(E44,Setup!O:O,0)-1,0))</f>
        <v>2</v>
      </c>
      <c r="AF44" s="134" t="str">
        <f t="shared" si="7"/>
        <v>2-M-O</v>
      </c>
      <c r="AG44" s="42">
        <f>IF(OR(AB44=0),0,VLOOKUP(AV44,Setup!$S$6:$T$15,2,TRUE))</f>
        <v>5</v>
      </c>
      <c r="AH44" s="248"/>
      <c r="AI44" s="132" t="s">
        <v>277</v>
      </c>
      <c r="AJ44" s="124">
        <f t="shared" si="8"/>
        <v>1</v>
      </c>
      <c r="AK44" s="42">
        <f t="shared" si="9"/>
        <v>7</v>
      </c>
      <c r="AL44" s="29">
        <f t="shared" si="10"/>
        <v>122.5</v>
      </c>
      <c r="AM44" s="29">
        <f t="shared" si="11"/>
        <v>890</v>
      </c>
      <c r="AN44" s="29">
        <f t="shared" si="12"/>
        <v>547.5</v>
      </c>
      <c r="AO44" s="41" t="str">
        <f t="shared" si="13"/>
        <v>M</v>
      </c>
      <c r="AP44" s="155"/>
      <c r="AQ44" s="31">
        <f t="shared" si="14"/>
        <v>1</v>
      </c>
      <c r="AR44" s="230">
        <f t="shared" si="15"/>
        <v>1300000509.347</v>
      </c>
      <c r="AS44" s="41">
        <f ca="1" t="shared" si="16"/>
        <v>3</v>
      </c>
      <c r="AT44" s="190">
        <f t="shared" si="17"/>
        <v>1300</v>
      </c>
      <c r="AU44" s="115">
        <f ca="1" t="shared" si="18"/>
        <v>2</v>
      </c>
      <c r="AV44" s="211">
        <f t="shared" si="19"/>
        <v>2</v>
      </c>
      <c r="AW44" s="194">
        <f t="shared" si="20"/>
        <v>270</v>
      </c>
      <c r="AX44" s="29">
        <f t="shared" si="21"/>
        <v>6</v>
      </c>
      <c r="AY44" s="23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1300000509.347</v>
      </c>
      <c r="AZ44" s="250"/>
      <c r="BA44" s="250"/>
      <c r="BB44" s="250"/>
      <c r="BC44" s="250"/>
      <c r="BD44" s="250"/>
      <c r="BE44" s="250"/>
      <c r="BF44" s="250"/>
      <c r="BG44" s="250"/>
      <c r="CJ44" s="31">
        <v>0</v>
      </c>
      <c r="CK44" s="31">
        <v>1</v>
      </c>
      <c r="CL44" s="31">
        <v>1</v>
      </c>
      <c r="CM44" s="31">
        <v>1</v>
      </c>
      <c r="CN44" s="31">
        <v>0</v>
      </c>
      <c r="CO44" s="31">
        <v>0</v>
      </c>
      <c r="CP44" s="31">
        <v>0</v>
      </c>
      <c r="CQ44" s="31">
        <v>-1</v>
      </c>
      <c r="CR44" s="31">
        <v>1</v>
      </c>
      <c r="CS44" s="31">
        <v>-1</v>
      </c>
      <c r="CT44" s="31">
        <v>0</v>
      </c>
      <c r="CU44" s="31">
        <v>0</v>
      </c>
      <c r="CV44" s="31">
        <v>0</v>
      </c>
      <c r="CW44" s="31">
        <v>1</v>
      </c>
      <c r="CX44" s="31">
        <v>1</v>
      </c>
      <c r="CY44" s="31">
        <v>-1</v>
      </c>
      <c r="CZ44" s="31">
        <v>0</v>
      </c>
    </row>
    <row r="45" spans="1:104" ht="12.75">
      <c r="A45" s="36">
        <f t="shared" si="23"/>
        <v>295</v>
      </c>
      <c r="B45" s="242" t="s">
        <v>34</v>
      </c>
      <c r="C45" s="243" t="s">
        <v>259</v>
      </c>
      <c r="D45" s="242">
        <v>23</v>
      </c>
      <c r="E45" s="242" t="s">
        <v>203</v>
      </c>
      <c r="F45" s="242">
        <v>242</v>
      </c>
      <c r="G45" s="42">
        <f>IF(OR(E45="",F45=""),"",IF(LEFT(E45,1)="M",VLOOKUP(F45,Setup!$J$9:$K$23,2,TRUE),VLOOKUP(F45,Setup!$L$9:$M$23,2,TRUE)))</f>
        <v>242</v>
      </c>
      <c r="H45" s="42">
        <f>IF(F45="",0,VLOOKUP(AL45,DATA!$L$2:$N$1910,IF(LEFT(E45,1)="F",3,2)))</f>
        <v>0.5888</v>
      </c>
      <c r="I45" s="242"/>
      <c r="J45" s="244">
        <v>17</v>
      </c>
      <c r="K45" s="252">
        <v>250</v>
      </c>
      <c r="L45" s="252">
        <v>272.5</v>
      </c>
      <c r="M45" s="252">
        <v>295</v>
      </c>
      <c r="N45" s="245"/>
      <c r="O45" s="134">
        <f t="shared" si="1"/>
        <v>295</v>
      </c>
      <c r="P45" s="246"/>
      <c r="Q45" s="245">
        <v>-190</v>
      </c>
      <c r="R45" s="252">
        <v>197.5</v>
      </c>
      <c r="S45" s="252">
        <v>205</v>
      </c>
      <c r="T45" s="245"/>
      <c r="U45" s="134">
        <f t="shared" si="2"/>
        <v>205</v>
      </c>
      <c r="V45" s="135">
        <f t="shared" si="3"/>
        <v>500</v>
      </c>
      <c r="W45" s="252">
        <v>295</v>
      </c>
      <c r="X45" s="252">
        <v>307.5</v>
      </c>
      <c r="Y45" s="245">
        <v>-320</v>
      </c>
      <c r="Z45" s="245"/>
      <c r="AA45" s="134">
        <f t="shared" si="4"/>
        <v>307.5</v>
      </c>
      <c r="AB45" s="135">
        <f t="shared" si="5"/>
        <v>807.5</v>
      </c>
      <c r="AC45" s="136">
        <f t="shared" si="6"/>
        <v>475.456</v>
      </c>
      <c r="AD45" s="136">
        <f>IF(OR(AB45=0,D45="",AND(D45&lt;40,D45&gt;22)),0,VLOOKUP($D45,DATA!$A$2:$B$53,2,TRUE)*AC45)</f>
        <v>0</v>
      </c>
      <c r="AE45" s="210">
        <f ca="1">IF(E45="","",OFFSET(Setup!$Q$1,MATCH(E45,Setup!O:O,0)-1,0))</f>
        <v>2</v>
      </c>
      <c r="AF45" s="134" t="str">
        <f t="shared" si="7"/>
        <v>1-M1</v>
      </c>
      <c r="AG45" s="42">
        <f>IF(OR(AB45=0),0,VLOOKUP(AV45,Setup!$S$6:$T$15,2,TRUE))</f>
        <v>7</v>
      </c>
      <c r="AH45" s="248"/>
      <c r="AI45" s="132" t="s">
        <v>277</v>
      </c>
      <c r="AJ45" s="124">
        <f t="shared" si="8"/>
        <v>1</v>
      </c>
      <c r="AK45" s="42">
        <f t="shared" si="9"/>
        <v>7</v>
      </c>
      <c r="AL45" s="29">
        <f t="shared" si="10"/>
        <v>109.8</v>
      </c>
      <c r="AM45" s="29">
        <f t="shared" si="11"/>
        <v>807.5</v>
      </c>
      <c r="AN45" s="29">
        <f t="shared" si="12"/>
        <v>512.5</v>
      </c>
      <c r="AO45" s="41" t="str">
        <f t="shared" si="13"/>
        <v>M</v>
      </c>
      <c r="AP45" s="155"/>
      <c r="AQ45" s="31">
        <f t="shared" si="14"/>
        <v>1</v>
      </c>
      <c r="AR45" s="230">
        <f t="shared" si="15"/>
        <v>500000475.456</v>
      </c>
      <c r="AS45" s="41">
        <f ca="1" t="shared" si="16"/>
        <v>30</v>
      </c>
      <c r="AT45" s="190">
        <f t="shared" si="17"/>
        <v>500</v>
      </c>
      <c r="AU45" s="115">
        <f ca="1" t="shared" si="18"/>
        <v>30</v>
      </c>
      <c r="AV45" s="211">
        <f t="shared" si="19"/>
        <v>1</v>
      </c>
      <c r="AW45" s="194">
        <f t="shared" si="20"/>
        <v>242</v>
      </c>
      <c r="AX45" s="29">
        <f t="shared" si="21"/>
        <v>10</v>
      </c>
      <c r="AY45" s="23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500000475.456</v>
      </c>
      <c r="AZ45" s="250"/>
      <c r="BA45" s="250"/>
      <c r="BB45" s="250"/>
      <c r="BC45" s="250"/>
      <c r="BD45" s="250"/>
      <c r="BE45" s="250"/>
      <c r="BF45" s="250"/>
      <c r="BG45" s="250"/>
      <c r="CJ45" s="31">
        <v>0</v>
      </c>
      <c r="CK45" s="31">
        <v>1</v>
      </c>
      <c r="CL45" s="31">
        <v>1</v>
      </c>
      <c r="CM45" s="31">
        <v>1</v>
      </c>
      <c r="CN45" s="31">
        <v>0</v>
      </c>
      <c r="CO45" s="31">
        <v>0</v>
      </c>
      <c r="CP45" s="31">
        <v>0</v>
      </c>
      <c r="CQ45" s="31">
        <v>-1</v>
      </c>
      <c r="CR45" s="31">
        <v>1</v>
      </c>
      <c r="CS45" s="31">
        <v>1</v>
      </c>
      <c r="CT45" s="31">
        <v>0</v>
      </c>
      <c r="CU45" s="31">
        <v>0</v>
      </c>
      <c r="CV45" s="31">
        <v>0</v>
      </c>
      <c r="CW45" s="31">
        <v>1</v>
      </c>
      <c r="CX45" s="31">
        <v>1</v>
      </c>
      <c r="CY45" s="31">
        <v>-1</v>
      </c>
      <c r="CZ45" s="31">
        <v>0</v>
      </c>
    </row>
    <row r="46" spans="1:104" ht="12.75">
      <c r="A46" s="36">
        <f t="shared" si="23"/>
        <v>312.5</v>
      </c>
      <c r="B46" s="242" t="s">
        <v>34</v>
      </c>
      <c r="C46" s="243" t="s">
        <v>264</v>
      </c>
      <c r="D46" s="242">
        <v>38</v>
      </c>
      <c r="E46" s="242" t="s">
        <v>213</v>
      </c>
      <c r="F46" s="242">
        <v>274</v>
      </c>
      <c r="G46" s="42">
        <f>IF(OR(E46="",F46=""),"",IF(LEFT(E46,1)="M",VLOOKUP(F46,Setup!$J$9:$K$23,2,TRUE),VLOOKUP(F46,Setup!$L$9:$M$23,2,TRUE)))</f>
        <v>275</v>
      </c>
      <c r="H46" s="42">
        <f>IF(F46="",0,VLOOKUP(AL46,DATA!$L$2:$N$1910,IF(LEFT(E46,1)="F",3,2)))</f>
        <v>0.5705</v>
      </c>
      <c r="I46" s="242"/>
      <c r="J46" s="244">
        <v>18</v>
      </c>
      <c r="K46" s="252">
        <v>435</v>
      </c>
      <c r="L46" s="252">
        <v>460</v>
      </c>
      <c r="M46" s="245">
        <v>0</v>
      </c>
      <c r="N46" s="245"/>
      <c r="O46" s="134">
        <f t="shared" si="1"/>
        <v>460</v>
      </c>
      <c r="P46" s="246"/>
      <c r="Q46" s="252">
        <v>300</v>
      </c>
      <c r="R46" s="252">
        <v>322.5</v>
      </c>
      <c r="S46" s="245">
        <v>-332.5</v>
      </c>
      <c r="T46" s="245"/>
      <c r="U46" s="134">
        <f t="shared" si="2"/>
        <v>322.5</v>
      </c>
      <c r="V46" s="135">
        <f t="shared" si="3"/>
        <v>782.5</v>
      </c>
      <c r="W46" s="252">
        <v>312.5</v>
      </c>
      <c r="X46" s="252">
        <v>330</v>
      </c>
      <c r="Y46" s="252">
        <v>345</v>
      </c>
      <c r="Z46" s="245"/>
      <c r="AA46" s="134">
        <f t="shared" si="4"/>
        <v>345</v>
      </c>
      <c r="AB46" s="135">
        <f t="shared" si="5"/>
        <v>1127.5</v>
      </c>
      <c r="AC46" s="136">
        <f t="shared" si="6"/>
        <v>643.23875</v>
      </c>
      <c r="AD46" s="136">
        <f>IF(OR(AB46=0,D46="",AND(D46&lt;40,D46&gt;22)),0,VLOOKUP($D46,DATA!$A$2:$B$53,2,TRUE)*AC46)</f>
        <v>0</v>
      </c>
      <c r="AE46" s="210">
        <f ca="1">IF(E46="","",OFFSET(Setup!$Q$1,MATCH(E46,Setup!O:O,0)-1,0))</f>
        <v>2</v>
      </c>
      <c r="AF46" s="134" t="str">
        <f t="shared" si="7"/>
        <v>1-M-O</v>
      </c>
      <c r="AG46" s="42">
        <f>IF(OR(AB46=0),0,VLOOKUP(AV46,Setup!$S$6:$T$15,2,TRUE))</f>
        <v>7</v>
      </c>
      <c r="AH46" s="248"/>
      <c r="AI46" s="132" t="s">
        <v>277</v>
      </c>
      <c r="AJ46" s="124">
        <f t="shared" si="8"/>
        <v>1</v>
      </c>
      <c r="AK46" s="42">
        <f t="shared" si="9"/>
        <v>7</v>
      </c>
      <c r="AL46" s="29">
        <f t="shared" si="10"/>
        <v>124.3</v>
      </c>
      <c r="AM46" s="29">
        <f t="shared" si="11"/>
        <v>1127.5</v>
      </c>
      <c r="AN46" s="29">
        <f t="shared" si="12"/>
        <v>667.5</v>
      </c>
      <c r="AO46" s="41" t="str">
        <f t="shared" si="13"/>
        <v>M</v>
      </c>
      <c r="AP46" s="155"/>
      <c r="AQ46" s="31">
        <f t="shared" si="14"/>
        <v>1</v>
      </c>
      <c r="AR46" s="230">
        <f t="shared" si="15"/>
        <v>1300000643.23875</v>
      </c>
      <c r="AS46" s="41">
        <f ca="1" t="shared" si="16"/>
        <v>2</v>
      </c>
      <c r="AT46" s="190">
        <f t="shared" si="17"/>
        <v>1300</v>
      </c>
      <c r="AU46" s="115">
        <f ca="1" t="shared" si="18"/>
        <v>2</v>
      </c>
      <c r="AV46" s="211">
        <f t="shared" si="19"/>
        <v>1</v>
      </c>
      <c r="AW46" s="194">
        <f t="shared" si="20"/>
        <v>274</v>
      </c>
      <c r="AX46" s="29">
        <f t="shared" si="21"/>
        <v>3</v>
      </c>
      <c r="AY46" s="23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1300000643.23875</v>
      </c>
      <c r="AZ46" s="250"/>
      <c r="BA46" s="250"/>
      <c r="BB46" s="250"/>
      <c r="BC46" s="250"/>
      <c r="BD46" s="250"/>
      <c r="BE46" s="250"/>
      <c r="BF46" s="250"/>
      <c r="BG46" s="250"/>
      <c r="CJ46" s="31">
        <v>0</v>
      </c>
      <c r="CK46" s="31">
        <v>1</v>
      </c>
      <c r="CL46" s="31">
        <v>1</v>
      </c>
      <c r="CM46" s="31">
        <v>0</v>
      </c>
      <c r="CN46" s="31">
        <v>0</v>
      </c>
      <c r="CO46" s="31">
        <v>0</v>
      </c>
      <c r="CP46" s="31">
        <v>0</v>
      </c>
      <c r="CQ46" s="31">
        <v>1</v>
      </c>
      <c r="CR46" s="31">
        <v>1</v>
      </c>
      <c r="CS46" s="31">
        <v>-1</v>
      </c>
      <c r="CT46" s="31">
        <v>0</v>
      </c>
      <c r="CU46" s="31">
        <v>0</v>
      </c>
      <c r="CV46" s="31">
        <v>0</v>
      </c>
      <c r="CW46" s="31">
        <v>1</v>
      </c>
      <c r="CX46" s="31">
        <v>1</v>
      </c>
      <c r="CY46" s="31">
        <v>1</v>
      </c>
      <c r="CZ46" s="31">
        <v>0</v>
      </c>
    </row>
    <row r="47" spans="1:104" ht="12.75">
      <c r="A47" s="36">
        <f t="shared" si="23"/>
      </c>
      <c r="B47" s="242" t="s">
        <v>34</v>
      </c>
      <c r="C47" s="243" t="s">
        <v>265</v>
      </c>
      <c r="D47" s="242">
        <v>39</v>
      </c>
      <c r="E47" s="242" t="s">
        <v>213</v>
      </c>
      <c r="F47" s="242">
        <v>345</v>
      </c>
      <c r="G47" s="42" t="str">
        <f>IF(OR(E47="",F47=""),"",IF(LEFT(E47,1)="M",VLOOKUP(F47,Setup!$J$9:$K$23,2,TRUE),VLOOKUP(F47,Setup!$L$9:$M$23,2,TRUE)))</f>
        <v>SHW</v>
      </c>
      <c r="H47" s="42">
        <f>IF(F47="",0,VLOOKUP(AL47,DATA!$L$2:$N$1910,IF(LEFT(E47,1)="F",3,2)))</f>
        <v>0.55</v>
      </c>
      <c r="I47" s="242"/>
      <c r="J47" s="244">
        <v>18</v>
      </c>
      <c r="K47" s="245">
        <v>-445</v>
      </c>
      <c r="L47" s="245">
        <v>-445</v>
      </c>
      <c r="M47" s="245">
        <v>-465</v>
      </c>
      <c r="N47" s="245"/>
      <c r="O47" s="134">
        <f t="shared" si="1"/>
        <v>0</v>
      </c>
      <c r="P47" s="246"/>
      <c r="Q47" s="245">
        <v>-320</v>
      </c>
      <c r="R47" s="245">
        <v>-320</v>
      </c>
      <c r="S47" s="245">
        <v>0</v>
      </c>
      <c r="T47" s="245"/>
      <c r="U47" s="134">
        <f t="shared" si="2"/>
        <v>0</v>
      </c>
      <c r="V47" s="135">
        <f t="shared" si="3"/>
        <v>0</v>
      </c>
      <c r="W47" s="245">
        <v>0</v>
      </c>
      <c r="X47" s="245"/>
      <c r="Y47" s="245"/>
      <c r="Z47" s="245"/>
      <c r="AA47" s="134">
        <f t="shared" si="4"/>
        <v>0</v>
      </c>
      <c r="AB47" s="135">
        <f t="shared" si="5"/>
        <v>0</v>
      </c>
      <c r="AC47" s="136">
        <f t="shared" si="6"/>
        <v>0</v>
      </c>
      <c r="AD47" s="136">
        <f>IF(OR(AB47=0,D47="",AND(D47&lt;40,D47&gt;22)),0,VLOOKUP($D47,DATA!$A$2:$B$53,2,TRUE)*AC47)</f>
        <v>0</v>
      </c>
      <c r="AE47" s="210">
        <f ca="1">IF(E47="","",OFFSET(Setup!$Q$1,MATCH(E47,Setup!O:O,0)-1,0))</f>
        <v>2</v>
      </c>
      <c r="AF47" s="134">
        <f t="shared" si="7"/>
        <v>0</v>
      </c>
      <c r="AG47" s="42">
        <f>IF(OR(AB47=0),0,VLOOKUP(AV47,Setup!$S$6:$T$15,2,TRUE))</f>
        <v>0</v>
      </c>
      <c r="AH47" s="248"/>
      <c r="AI47" s="132" t="s">
        <v>278</v>
      </c>
      <c r="AJ47" s="124">
        <f t="shared" si="8"/>
        <v>0</v>
      </c>
      <c r="AK47" s="42">
        <f t="shared" si="9"/>
        <v>7</v>
      </c>
      <c r="AL47" s="29">
        <f t="shared" si="10"/>
        <v>156.5</v>
      </c>
      <c r="AM47" s="29">
        <f t="shared" si="11"/>
        <v>0</v>
      </c>
      <c r="AN47" s="29">
        <f t="shared" si="12"/>
        <v>0</v>
      </c>
      <c r="AO47" s="41" t="str">
        <f t="shared" si="13"/>
        <v>M</v>
      </c>
      <c r="AP47" s="155"/>
      <c r="AQ47" s="31">
        <f t="shared" si="14"/>
        <v>0</v>
      </c>
      <c r="AR47" s="230">
        <f t="shared" si="15"/>
        <v>1300000000</v>
      </c>
      <c r="AS47" s="41">
        <f ca="1" t="shared" si="16"/>
        <v>8</v>
      </c>
      <c r="AT47" s="190">
        <f t="shared" si="17"/>
        <v>1300</v>
      </c>
      <c r="AU47" s="115">
        <f ca="1" t="shared" si="18"/>
        <v>2</v>
      </c>
      <c r="AV47" s="211">
        <f t="shared" si="19"/>
        <v>7</v>
      </c>
      <c r="AW47" s="194">
        <f t="shared" si="20"/>
        <v>345</v>
      </c>
      <c r="AX47" s="29">
        <f t="shared" si="21"/>
        <v>1</v>
      </c>
      <c r="AY47" s="23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1300000000</v>
      </c>
      <c r="AZ47" s="250"/>
      <c r="BA47" s="250"/>
      <c r="BB47" s="250"/>
      <c r="BC47" s="250"/>
      <c r="BD47" s="250"/>
      <c r="BE47" s="250"/>
      <c r="BF47" s="250"/>
      <c r="BG47" s="250"/>
      <c r="CJ47" s="31">
        <v>0</v>
      </c>
      <c r="CK47" s="31">
        <v>-1</v>
      </c>
      <c r="CL47" s="31">
        <v>-1</v>
      </c>
      <c r="CM47" s="31">
        <v>-1</v>
      </c>
      <c r="CN47" s="31">
        <v>0</v>
      </c>
      <c r="CO47" s="31">
        <v>0</v>
      </c>
      <c r="CP47" s="31">
        <v>0</v>
      </c>
      <c r="CQ47" s="31">
        <v>-1</v>
      </c>
      <c r="CR47" s="31">
        <v>-1</v>
      </c>
      <c r="CS47" s="31">
        <v>0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</row>
    <row r="48" spans="1:104" ht="12.75">
      <c r="A48" s="36">
        <f t="shared" si="23"/>
      </c>
      <c r="B48" s="35" t="s">
        <v>34</v>
      </c>
      <c r="C48" s="35" t="s">
        <v>270</v>
      </c>
      <c r="D48" s="35">
        <v>12</v>
      </c>
      <c r="E48" s="35" t="s">
        <v>213</v>
      </c>
      <c r="F48" s="35">
        <v>275</v>
      </c>
      <c r="G48" s="42">
        <f>IF(OR(E48="",F48=""),"",IF(LEFT(E48,1)="M",VLOOKUP(F48,Setup!$J$9:$K$23,2,TRUE),VLOOKUP(F48,Setup!$L$9:$M$23,2,TRUE)))</f>
        <v>275</v>
      </c>
      <c r="H48" s="42">
        <f>IF(F48="",0,VLOOKUP(AL48,DATA!$L$2:$N$1910,IF(LEFT(E48,1)="F",3,2)))</f>
        <v>0.5701</v>
      </c>
      <c r="O48" s="134">
        <f t="shared" si="1"/>
        <v>0</v>
      </c>
      <c r="Q48" s="255">
        <v>467.5</v>
      </c>
      <c r="R48" s="155">
        <v>-507.5</v>
      </c>
      <c r="S48" s="155">
        <v>-515</v>
      </c>
      <c r="U48" s="134">
        <f t="shared" si="2"/>
        <v>467.5</v>
      </c>
      <c r="V48" s="135">
        <f t="shared" si="3"/>
        <v>0</v>
      </c>
      <c r="AA48" s="134">
        <f t="shared" si="4"/>
        <v>0</v>
      </c>
      <c r="AB48" s="135">
        <f t="shared" si="5"/>
        <v>0</v>
      </c>
      <c r="AC48" s="136">
        <f t="shared" si="6"/>
        <v>0</v>
      </c>
      <c r="AD48" s="136">
        <f>IF(OR(AB48=0,D48="",AND(D48&lt;40,D48&gt;22)),0,VLOOKUP($D48,DATA!$A$2:$B$53,2,TRUE)*AC48)</f>
        <v>0</v>
      </c>
      <c r="AE48" s="210">
        <f ca="1">IF(E48="","",OFFSET(Setup!$Q$1,MATCH(E48,Setup!O:O,0)-1,0))</f>
        <v>2</v>
      </c>
      <c r="AF48" s="134">
        <f t="shared" si="7"/>
        <v>0</v>
      </c>
      <c r="AG48" s="42">
        <f>IF(OR(AB48=0),0,VLOOKUP(AV48,Setup!$S$6:$T$15,2,TRUE))</f>
        <v>0</v>
      </c>
      <c r="AI48" s="1" t="s">
        <v>195</v>
      </c>
      <c r="AJ48" s="124">
        <f t="shared" si="8"/>
        <v>0</v>
      </c>
      <c r="AK48" s="42">
        <f t="shared" si="9"/>
        <v>7</v>
      </c>
      <c r="AL48" s="29">
        <f t="shared" si="10"/>
        <v>124.7</v>
      </c>
      <c r="AM48" s="29">
        <f t="shared" si="11"/>
        <v>0</v>
      </c>
      <c r="AN48" s="29">
        <f t="shared" si="12"/>
        <v>0</v>
      </c>
      <c r="AO48" s="41" t="str">
        <f t="shared" si="13"/>
        <v>M</v>
      </c>
      <c r="AQ48" s="31">
        <f t="shared" si="14"/>
        <v>0</v>
      </c>
      <c r="AR48" s="230">
        <f t="shared" si="15"/>
        <v>1300000000</v>
      </c>
      <c r="AS48" s="41">
        <f ca="1" t="shared" si="16"/>
        <v>8</v>
      </c>
      <c r="AT48" s="190">
        <f t="shared" si="17"/>
        <v>1300</v>
      </c>
      <c r="AU48" s="115">
        <f ca="1" t="shared" si="18"/>
        <v>2</v>
      </c>
      <c r="AV48" s="211">
        <f t="shared" si="19"/>
        <v>7</v>
      </c>
      <c r="AW48" s="194">
        <f t="shared" si="20"/>
        <v>275</v>
      </c>
      <c r="AX48" s="29">
        <f t="shared" si="21"/>
        <v>2</v>
      </c>
      <c r="AY48" s="23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1300000000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1</v>
      </c>
      <c r="CR48" s="31">
        <v>-1</v>
      </c>
      <c r="CS48" s="31">
        <v>-1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13" dxfId="23" stopIfTrue="1">
      <formula>AND($B9&lt;&gt;RIGHT($B$8,1))</formula>
    </cfRule>
  </conditionalFormatting>
  <conditionalFormatting sqref="C9">
    <cfRule type="cellIs" priority="114" dxfId="18" operator="equal" stopIfTrue="1">
      <formula>$B$2</formula>
    </cfRule>
    <cfRule type="expression" priority="115" dxfId="23" stopIfTrue="1">
      <formula>AND($B9&lt;&gt;RIGHT($B$8,1))</formula>
    </cfRule>
  </conditionalFormatting>
  <conditionalFormatting sqref="K9:N9 Q9:T9 W9:Z9">
    <cfRule type="expression" priority="116" dxfId="27" stopIfTrue="1">
      <formula>AND(COLUMN(K9)=$A$3,ROW(K9)=$A$4)</formula>
    </cfRule>
    <cfRule type="cellIs" priority="117" dxfId="26" operator="lessThan" stopIfTrue="1">
      <formula>0</formula>
    </cfRule>
    <cfRule type="expression" priority="118" dxfId="25" stopIfTrue="1">
      <formula>OR(AND(ROW(K9)=$A$4,COLUMN(K9)&lt;$A$3,CK9=1),AND(ROW(K9)&lt;$A$4,COLUMN(K9)=$A$3,CK9=1))</formula>
    </cfRule>
  </conditionalFormatting>
  <conditionalFormatting sqref="I9:J9 D9:F9">
    <cfRule type="expression" priority="119" dxfId="18" stopIfTrue="1">
      <formula>AND(ROW(D9)=$A$4)</formula>
    </cfRule>
    <cfRule type="expression" priority="120" dxfId="23" stopIfTrue="1">
      <formula>AND($B9&lt;&gt;RIGHT($B$8,1))</formula>
    </cfRule>
  </conditionalFormatting>
  <conditionalFormatting sqref="O9:P9 U9">
    <cfRule type="expression" priority="121" dxfId="18" stopIfTrue="1">
      <formula>AND(ROW(K9)=$A$4,COLUMN(K9)&lt;$A$3)</formula>
    </cfRule>
  </conditionalFormatting>
  <conditionalFormatting sqref="V9">
    <cfRule type="expression" priority="122" dxfId="19" stopIfTrue="1">
      <formula>AND(ROW(R9)=$A$4,COLUMN(R9)&lt;$A$3)</formula>
    </cfRule>
  </conditionalFormatting>
  <conditionalFormatting sqref="AA9">
    <cfRule type="expression" priority="123" dxfId="18" stopIfTrue="1">
      <formula>AND(ROW(W9)=$A$4,$A$3&gt;21)</formula>
    </cfRule>
  </conditionalFormatting>
  <conditionalFormatting sqref="H3:I4">
    <cfRule type="expression" priority="124" dxfId="0" stopIfTrue="1">
      <formula>AND(COLUMN(H3)=$K$3,ROW(H3)=VALUE(RIGHT(#REF!,1)))</formula>
    </cfRule>
  </conditionalFormatting>
  <conditionalFormatting sqref="D3:F4">
    <cfRule type="expression" priority="125" dxfId="135" stopIfTrue="1">
      <formula>NOT($A$2=$H$4)</formula>
    </cfRule>
    <cfRule type="cellIs" priority="126" dxfId="26" operator="lessThan" stopIfTrue="1">
      <formula>0</formula>
    </cfRule>
    <cfRule type="expression" priority="127" dxfId="133" stopIfTrue="1">
      <formula>OR($A$2=$H$4)</formula>
    </cfRule>
  </conditionalFormatting>
  <conditionalFormatting sqref="K8:N8 Q8:T8 W8:Z8">
    <cfRule type="cellIs" priority="128" dxfId="0" operator="equal" stopIfTrue="1">
      <formula>$B$3</formula>
    </cfRule>
  </conditionalFormatting>
  <conditionalFormatting sqref="G9:H9">
    <cfRule type="expression" priority="129" dxfId="19" stopIfTrue="1">
      <formula>AND(ROW(G9)=$A$4)</formula>
    </cfRule>
  </conditionalFormatting>
  <conditionalFormatting sqref="AB9">
    <cfRule type="expression" priority="130" dxfId="18" stopIfTrue="1">
      <formula>AND(ROW(X9)=$A$4)</formula>
    </cfRule>
    <cfRule type="expression" priority="131" dxfId="15" stopIfTrue="1">
      <formula>AND(AE9=1)</formula>
    </cfRule>
  </conditionalFormatting>
  <conditionalFormatting sqref="AC9">
    <cfRule type="expression" priority="132" dxfId="15" stopIfTrue="1">
      <formula>AND(AE9=2)</formula>
    </cfRule>
  </conditionalFormatting>
  <conditionalFormatting sqref="AD9">
    <cfRule type="expression" priority="133" dxfId="15" stopIfTrue="1">
      <formula>AND(AE9=3)</formula>
    </cfRule>
  </conditionalFormatting>
  <conditionalFormatting sqref="B10:B43">
    <cfRule type="expression" priority="112" dxfId="23" stopIfTrue="1">
      <formula>AND($B10&lt;&gt;RIGHT($B$8,1))</formula>
    </cfRule>
  </conditionalFormatting>
  <conditionalFormatting sqref="C10:C43">
    <cfRule type="cellIs" priority="110" dxfId="18" operator="equal" stopIfTrue="1">
      <formula>$B$2</formula>
    </cfRule>
    <cfRule type="expression" priority="111" dxfId="23" stopIfTrue="1">
      <formula>AND($B10&lt;&gt;RIGHT($B$8,1))</formula>
    </cfRule>
  </conditionalFormatting>
  <conditionalFormatting sqref="K10:N43 Q10:T43 W10:Z43">
    <cfRule type="expression" priority="107" dxfId="27" stopIfTrue="1">
      <formula>AND(COLUMN(K10)=$A$3,ROW(K10)=$A$4)</formula>
    </cfRule>
    <cfRule type="cellIs" priority="108" dxfId="26" operator="lessThan" stopIfTrue="1">
      <formula>0</formula>
    </cfRule>
    <cfRule type="expression" priority="109" dxfId="25" stopIfTrue="1">
      <formula>OR(AND(ROW(K10)=$A$4,COLUMN(K10)&lt;$A$3,CK10=1),AND(ROW(K10)&lt;$A$4,COLUMN(K10)=$A$3,CK10=1))</formula>
    </cfRule>
  </conditionalFormatting>
  <conditionalFormatting sqref="I10:J43 D10:F43">
    <cfRule type="expression" priority="105" dxfId="18" stopIfTrue="1">
      <formula>AND(ROW(D10)=$A$4)</formula>
    </cfRule>
    <cfRule type="expression" priority="106" dxfId="23" stopIfTrue="1">
      <formula>AND($B10&lt;&gt;RIGHT($B$8,1))</formula>
    </cfRule>
  </conditionalFormatting>
  <conditionalFormatting sqref="O10:P43 U10:U43">
    <cfRule type="expression" priority="104" dxfId="18" stopIfTrue="1">
      <formula>AND(ROW(K10)=$A$4,COLUMN(K10)&lt;$A$3)</formula>
    </cfRule>
  </conditionalFormatting>
  <conditionalFormatting sqref="V10:V43">
    <cfRule type="expression" priority="103" dxfId="19" stopIfTrue="1">
      <formula>AND(ROW(R10)=$A$4,COLUMN(R10)&lt;$A$3)</formula>
    </cfRule>
  </conditionalFormatting>
  <conditionalFormatting sqref="AA10:AA43">
    <cfRule type="expression" priority="102" dxfId="18" stopIfTrue="1">
      <formula>AND(ROW(W10)=$A$4,$A$3&gt;21)</formula>
    </cfRule>
  </conditionalFormatting>
  <conditionalFormatting sqref="G10:H43">
    <cfRule type="expression" priority="101" dxfId="19" stopIfTrue="1">
      <formula>AND(ROW(G10)=$A$4)</formula>
    </cfRule>
  </conditionalFormatting>
  <conditionalFormatting sqref="AB10:AB43">
    <cfRule type="expression" priority="99" dxfId="18" stopIfTrue="1">
      <formula>AND(ROW(X10)=$A$4)</formula>
    </cfRule>
    <cfRule type="expression" priority="100" dxfId="15" stopIfTrue="1">
      <formula>AND(AE10=1)</formula>
    </cfRule>
  </conditionalFormatting>
  <conditionalFormatting sqref="AC10:AC43">
    <cfRule type="expression" priority="98" dxfId="15" stopIfTrue="1">
      <formula>AND(AE10=2)</formula>
    </cfRule>
  </conditionalFormatting>
  <conditionalFormatting sqref="AD10:AD43">
    <cfRule type="expression" priority="97" dxfId="15" stopIfTrue="1">
      <formula>AND(AE10=3)</formula>
    </cfRule>
  </conditionalFormatting>
  <conditionalFormatting sqref="B10:B43">
    <cfRule type="expression" priority="96" dxfId="23" stopIfTrue="1">
      <formula>AND($B10&lt;&gt;RIGHT($B$8,1))</formula>
    </cfRule>
  </conditionalFormatting>
  <conditionalFormatting sqref="C10:C43">
    <cfRule type="cellIs" priority="94" dxfId="18" operator="equal" stopIfTrue="1">
      <formula>$B$2</formula>
    </cfRule>
    <cfRule type="expression" priority="95" dxfId="23" stopIfTrue="1">
      <formula>AND($B10&lt;&gt;RIGHT($B$8,1))</formula>
    </cfRule>
  </conditionalFormatting>
  <conditionalFormatting sqref="K10:N43 Q10:T43 W10:Z43">
    <cfRule type="expression" priority="91" dxfId="27" stopIfTrue="1">
      <formula>AND(COLUMN(K10)=$A$3,ROW(K10)=$A$4)</formula>
    </cfRule>
    <cfRule type="cellIs" priority="92" dxfId="26" operator="lessThan" stopIfTrue="1">
      <formula>0</formula>
    </cfRule>
    <cfRule type="expression" priority="93" dxfId="25" stopIfTrue="1">
      <formula>OR(AND(ROW(K10)=$A$4,COLUMN(K10)&lt;$A$3,CK10=1),AND(ROW(K10)&lt;$A$4,COLUMN(K10)=$A$3,CK10=1))</formula>
    </cfRule>
  </conditionalFormatting>
  <conditionalFormatting sqref="I10:J43 D10:F43">
    <cfRule type="expression" priority="89" dxfId="18" stopIfTrue="1">
      <formula>AND(ROW(D10)=$A$4)</formula>
    </cfRule>
    <cfRule type="expression" priority="90" dxfId="23" stopIfTrue="1">
      <formula>AND($B10&lt;&gt;RIGHT($B$8,1))</formula>
    </cfRule>
  </conditionalFormatting>
  <conditionalFormatting sqref="O10:P43 U10:U43">
    <cfRule type="expression" priority="88" dxfId="18" stopIfTrue="1">
      <formula>AND(ROW(K10)=$A$4,COLUMN(K10)&lt;$A$3)</formula>
    </cfRule>
  </conditionalFormatting>
  <conditionalFormatting sqref="V10:V43">
    <cfRule type="expression" priority="87" dxfId="19" stopIfTrue="1">
      <formula>AND(ROW(R10)=$A$4,COLUMN(R10)&lt;$A$3)</formula>
    </cfRule>
  </conditionalFormatting>
  <conditionalFormatting sqref="AA10:AA43">
    <cfRule type="expression" priority="86" dxfId="18" stopIfTrue="1">
      <formula>AND(ROW(W10)=$A$4,$A$3&gt;21)</formula>
    </cfRule>
  </conditionalFormatting>
  <conditionalFormatting sqref="G10:H43">
    <cfRule type="expression" priority="85" dxfId="19" stopIfTrue="1">
      <formula>AND(ROW(G10)=$A$4)</formula>
    </cfRule>
  </conditionalFormatting>
  <conditionalFormatting sqref="AB10:AB43">
    <cfRule type="expression" priority="83" dxfId="18" stopIfTrue="1">
      <formula>AND(ROW(X10)=$A$4)</formula>
    </cfRule>
    <cfRule type="expression" priority="84" dxfId="15" stopIfTrue="1">
      <formula>AND(AE10=1)</formula>
    </cfRule>
  </conditionalFormatting>
  <conditionalFormatting sqref="AC10:AC43">
    <cfRule type="expression" priority="82" dxfId="15" stopIfTrue="1">
      <formula>AND(AE10=2)</formula>
    </cfRule>
  </conditionalFormatting>
  <conditionalFormatting sqref="AD10:AD43">
    <cfRule type="expression" priority="81" dxfId="15" stopIfTrue="1">
      <formula>AND(AE10=3)</formula>
    </cfRule>
  </conditionalFormatting>
  <conditionalFormatting sqref="B44">
    <cfRule type="expression" priority="80" dxfId="23" stopIfTrue="1">
      <formula>AND($B44&lt;&gt;RIGHT($B$8,1))</formula>
    </cfRule>
  </conditionalFormatting>
  <conditionalFormatting sqref="C44">
    <cfRule type="cellIs" priority="78" dxfId="18" operator="equal" stopIfTrue="1">
      <formula>$B$2</formula>
    </cfRule>
    <cfRule type="expression" priority="79" dxfId="23" stopIfTrue="1">
      <formula>AND($B44&lt;&gt;RIGHT($B$8,1))</formula>
    </cfRule>
  </conditionalFormatting>
  <conditionalFormatting sqref="K44:N44 Q44:T44 W44:Z44">
    <cfRule type="expression" priority="75" dxfId="27" stopIfTrue="1">
      <formula>AND(COLUMN(K44)=$A$3,ROW(K44)=$A$4)</formula>
    </cfRule>
    <cfRule type="cellIs" priority="76" dxfId="26" operator="lessThan" stopIfTrue="1">
      <formula>0</formula>
    </cfRule>
    <cfRule type="expression" priority="77" dxfId="25" stopIfTrue="1">
      <formula>OR(AND(ROW(K44)=$A$4,COLUMN(K44)&lt;$A$3,CK44=1),AND(ROW(K44)&lt;$A$4,COLUMN(K44)=$A$3,CK44=1))</formula>
    </cfRule>
  </conditionalFormatting>
  <conditionalFormatting sqref="I44:J44 D44:F44">
    <cfRule type="expression" priority="73" dxfId="18" stopIfTrue="1">
      <formula>AND(ROW(D44)=$A$4)</formula>
    </cfRule>
    <cfRule type="expression" priority="74" dxfId="23" stopIfTrue="1">
      <formula>AND($B44&lt;&gt;RIGHT($B$8,1))</formula>
    </cfRule>
  </conditionalFormatting>
  <conditionalFormatting sqref="O44:P44 U44">
    <cfRule type="expression" priority="72" dxfId="18" stopIfTrue="1">
      <formula>AND(ROW(K44)=$A$4,COLUMN(K44)&lt;$A$3)</formula>
    </cfRule>
  </conditionalFormatting>
  <conditionalFormatting sqref="V44">
    <cfRule type="expression" priority="71" dxfId="19" stopIfTrue="1">
      <formula>AND(ROW(R44)=$A$4,COLUMN(R44)&lt;$A$3)</formula>
    </cfRule>
  </conditionalFormatting>
  <conditionalFormatting sqref="AA44">
    <cfRule type="expression" priority="70" dxfId="18" stopIfTrue="1">
      <formula>AND(ROW(W44)=$A$4,$A$3&gt;21)</formula>
    </cfRule>
  </conditionalFormatting>
  <conditionalFormatting sqref="G44:H44">
    <cfRule type="expression" priority="69" dxfId="19" stopIfTrue="1">
      <formula>AND(ROW(G44)=$A$4)</formula>
    </cfRule>
  </conditionalFormatting>
  <conditionalFormatting sqref="AB44">
    <cfRule type="expression" priority="67" dxfId="18" stopIfTrue="1">
      <formula>AND(ROW(X44)=$A$4)</formula>
    </cfRule>
    <cfRule type="expression" priority="68" dxfId="15" stopIfTrue="1">
      <formula>AND(AE44=1)</formula>
    </cfRule>
  </conditionalFormatting>
  <conditionalFormatting sqref="AC44">
    <cfRule type="expression" priority="66" dxfId="15" stopIfTrue="1">
      <formula>AND(AE44=2)</formula>
    </cfRule>
  </conditionalFormatting>
  <conditionalFormatting sqref="AD44">
    <cfRule type="expression" priority="65" dxfId="15" stopIfTrue="1">
      <formula>AND(AE44=3)</formula>
    </cfRule>
  </conditionalFormatting>
  <conditionalFormatting sqref="B45">
    <cfRule type="expression" priority="64" dxfId="23" stopIfTrue="1">
      <formula>AND($B45&lt;&gt;RIGHT($B$8,1))</formula>
    </cfRule>
  </conditionalFormatting>
  <conditionalFormatting sqref="C45">
    <cfRule type="cellIs" priority="62" dxfId="18" operator="equal" stopIfTrue="1">
      <formula>$B$2</formula>
    </cfRule>
    <cfRule type="expression" priority="63" dxfId="23" stopIfTrue="1">
      <formula>AND($B45&lt;&gt;RIGHT($B$8,1))</formula>
    </cfRule>
  </conditionalFormatting>
  <conditionalFormatting sqref="K45:N45 Q45:T45 W45:Z45">
    <cfRule type="expression" priority="59" dxfId="27" stopIfTrue="1">
      <formula>AND(COLUMN(K45)=$A$3,ROW(K45)=$A$4)</formula>
    </cfRule>
    <cfRule type="cellIs" priority="60" dxfId="26" operator="lessThan" stopIfTrue="1">
      <formula>0</formula>
    </cfRule>
    <cfRule type="expression" priority="61" dxfId="25" stopIfTrue="1">
      <formula>OR(AND(ROW(K45)=$A$4,COLUMN(K45)&lt;$A$3,CK45=1),AND(ROW(K45)&lt;$A$4,COLUMN(K45)=$A$3,CK45=1))</formula>
    </cfRule>
  </conditionalFormatting>
  <conditionalFormatting sqref="I45:J45 D45:F45">
    <cfRule type="expression" priority="57" dxfId="18" stopIfTrue="1">
      <formula>AND(ROW(D45)=$A$4)</formula>
    </cfRule>
    <cfRule type="expression" priority="58" dxfId="23" stopIfTrue="1">
      <formula>AND($B45&lt;&gt;RIGHT($B$8,1))</formula>
    </cfRule>
  </conditionalFormatting>
  <conditionalFormatting sqref="O45:P45 U45">
    <cfRule type="expression" priority="56" dxfId="18" stopIfTrue="1">
      <formula>AND(ROW(K45)=$A$4,COLUMN(K45)&lt;$A$3)</formula>
    </cfRule>
  </conditionalFormatting>
  <conditionalFormatting sqref="V45">
    <cfRule type="expression" priority="55" dxfId="19" stopIfTrue="1">
      <formula>AND(ROW(R45)=$A$4,COLUMN(R45)&lt;$A$3)</formula>
    </cfRule>
  </conditionalFormatting>
  <conditionalFormatting sqref="AA45">
    <cfRule type="expression" priority="54" dxfId="18" stopIfTrue="1">
      <formula>AND(ROW(W45)=$A$4,$A$3&gt;21)</formula>
    </cfRule>
  </conditionalFormatting>
  <conditionalFormatting sqref="G45:H45">
    <cfRule type="expression" priority="53" dxfId="19" stopIfTrue="1">
      <formula>AND(ROW(G45)=$A$4)</formula>
    </cfRule>
  </conditionalFormatting>
  <conditionalFormatting sqref="AB45">
    <cfRule type="expression" priority="51" dxfId="18" stopIfTrue="1">
      <formula>AND(ROW(X45)=$A$4)</formula>
    </cfRule>
    <cfRule type="expression" priority="52" dxfId="15" stopIfTrue="1">
      <formula>AND(AE45=1)</formula>
    </cfRule>
  </conditionalFormatting>
  <conditionalFormatting sqref="AC45">
    <cfRule type="expression" priority="50" dxfId="15" stopIfTrue="1">
      <formula>AND(AE45=2)</formula>
    </cfRule>
  </conditionalFormatting>
  <conditionalFormatting sqref="AD45">
    <cfRule type="expression" priority="49" dxfId="15" stopIfTrue="1">
      <formula>AND(AE45=3)</formula>
    </cfRule>
  </conditionalFormatting>
  <conditionalFormatting sqref="B46">
    <cfRule type="expression" priority="48" dxfId="23" stopIfTrue="1">
      <formula>AND($B46&lt;&gt;RIGHT($B$8,1))</formula>
    </cfRule>
  </conditionalFormatting>
  <conditionalFormatting sqref="C46">
    <cfRule type="cellIs" priority="46" dxfId="18" operator="equal" stopIfTrue="1">
      <formula>$B$2</formula>
    </cfRule>
    <cfRule type="expression" priority="47" dxfId="23" stopIfTrue="1">
      <formula>AND($B46&lt;&gt;RIGHT($B$8,1))</formula>
    </cfRule>
  </conditionalFormatting>
  <conditionalFormatting sqref="K46:N46 Q46:T46 W46:Z46">
    <cfRule type="expression" priority="43" dxfId="27" stopIfTrue="1">
      <formula>AND(COLUMN(K46)=$A$3,ROW(K46)=$A$4)</formula>
    </cfRule>
    <cfRule type="cellIs" priority="44" dxfId="26" operator="lessThan" stopIfTrue="1">
      <formula>0</formula>
    </cfRule>
    <cfRule type="expression" priority="45" dxfId="25" stopIfTrue="1">
      <formula>OR(AND(ROW(K46)=$A$4,COLUMN(K46)&lt;$A$3,CK46=1),AND(ROW(K46)&lt;$A$4,COLUMN(K46)=$A$3,CK46=1))</formula>
    </cfRule>
  </conditionalFormatting>
  <conditionalFormatting sqref="I46:J46 D46:F46">
    <cfRule type="expression" priority="41" dxfId="18" stopIfTrue="1">
      <formula>AND(ROW(D46)=$A$4)</formula>
    </cfRule>
    <cfRule type="expression" priority="42" dxfId="23" stopIfTrue="1">
      <formula>AND($B46&lt;&gt;RIGHT($B$8,1))</formula>
    </cfRule>
  </conditionalFormatting>
  <conditionalFormatting sqref="O46:P46 U46">
    <cfRule type="expression" priority="40" dxfId="18" stopIfTrue="1">
      <formula>AND(ROW(K46)=$A$4,COLUMN(K46)&lt;$A$3)</formula>
    </cfRule>
  </conditionalFormatting>
  <conditionalFormatting sqref="V46">
    <cfRule type="expression" priority="39" dxfId="19" stopIfTrue="1">
      <formula>AND(ROW(R46)=$A$4,COLUMN(R46)&lt;$A$3)</formula>
    </cfRule>
  </conditionalFormatting>
  <conditionalFormatting sqref="AA46">
    <cfRule type="expression" priority="38" dxfId="18" stopIfTrue="1">
      <formula>AND(ROW(W46)=$A$4,$A$3&gt;21)</formula>
    </cfRule>
  </conditionalFormatting>
  <conditionalFormatting sqref="G46:H46">
    <cfRule type="expression" priority="37" dxfId="19" stopIfTrue="1">
      <formula>AND(ROW(G46)=$A$4)</formula>
    </cfRule>
  </conditionalFormatting>
  <conditionalFormatting sqref="AB46">
    <cfRule type="expression" priority="35" dxfId="18" stopIfTrue="1">
      <formula>AND(ROW(X46)=$A$4)</formula>
    </cfRule>
    <cfRule type="expression" priority="36" dxfId="15" stopIfTrue="1">
      <formula>AND(AE46=1)</formula>
    </cfRule>
  </conditionalFormatting>
  <conditionalFormatting sqref="AC46">
    <cfRule type="expression" priority="34" dxfId="15" stopIfTrue="1">
      <formula>AND(AE46=2)</formula>
    </cfRule>
  </conditionalFormatting>
  <conditionalFormatting sqref="AD46">
    <cfRule type="expression" priority="33" dxfId="15" stopIfTrue="1">
      <formula>AND(AE46=3)</formula>
    </cfRule>
  </conditionalFormatting>
  <conditionalFormatting sqref="B47">
    <cfRule type="expression" priority="32" dxfId="23" stopIfTrue="1">
      <formula>AND($B47&lt;&gt;RIGHT($B$8,1))</formula>
    </cfRule>
  </conditionalFormatting>
  <conditionalFormatting sqref="C47">
    <cfRule type="cellIs" priority="30" dxfId="18" operator="equal" stopIfTrue="1">
      <formula>$B$2</formula>
    </cfRule>
    <cfRule type="expression" priority="31" dxfId="23" stopIfTrue="1">
      <formula>AND($B47&lt;&gt;RIGHT($B$8,1))</formula>
    </cfRule>
  </conditionalFormatting>
  <conditionalFormatting sqref="K47:N47 Q47:T47 W47:Z47">
    <cfRule type="expression" priority="27" dxfId="27" stopIfTrue="1">
      <formula>AND(COLUMN(K47)=$A$3,ROW(K47)=$A$4)</formula>
    </cfRule>
    <cfRule type="cellIs" priority="28" dxfId="26" operator="lessThan" stopIfTrue="1">
      <formula>0</formula>
    </cfRule>
    <cfRule type="expression" priority="29" dxfId="25" stopIfTrue="1">
      <formula>OR(AND(ROW(K47)=$A$4,COLUMN(K47)&lt;$A$3,CK47=1),AND(ROW(K47)&lt;$A$4,COLUMN(K47)=$A$3,CK47=1))</formula>
    </cfRule>
  </conditionalFormatting>
  <conditionalFormatting sqref="I47:J47 D47:F47">
    <cfRule type="expression" priority="25" dxfId="18" stopIfTrue="1">
      <formula>AND(ROW(D47)=$A$4)</formula>
    </cfRule>
    <cfRule type="expression" priority="26" dxfId="23" stopIfTrue="1">
      <formula>AND($B47&lt;&gt;RIGHT($B$8,1))</formula>
    </cfRule>
  </conditionalFormatting>
  <conditionalFormatting sqref="O47:P47 U47">
    <cfRule type="expression" priority="24" dxfId="18" stopIfTrue="1">
      <formula>AND(ROW(K47)=$A$4,COLUMN(K47)&lt;$A$3)</formula>
    </cfRule>
  </conditionalFormatting>
  <conditionalFormatting sqref="V47">
    <cfRule type="expression" priority="23" dxfId="19" stopIfTrue="1">
      <formula>AND(ROW(R47)=$A$4,COLUMN(R47)&lt;$A$3)</formula>
    </cfRule>
  </conditionalFormatting>
  <conditionalFormatting sqref="AA47">
    <cfRule type="expression" priority="22" dxfId="18" stopIfTrue="1">
      <formula>AND(ROW(W47)=$A$4,$A$3&gt;21)</formula>
    </cfRule>
  </conditionalFormatting>
  <conditionalFormatting sqref="G47:H47">
    <cfRule type="expression" priority="21" dxfId="19" stopIfTrue="1">
      <formula>AND(ROW(G47)=$A$4)</formula>
    </cfRule>
  </conditionalFormatting>
  <conditionalFormatting sqref="AB47">
    <cfRule type="expression" priority="19" dxfId="18" stopIfTrue="1">
      <formula>AND(ROW(X47)=$A$4)</formula>
    </cfRule>
    <cfRule type="expression" priority="20" dxfId="15" stopIfTrue="1">
      <formula>AND(AE47=1)</formula>
    </cfRule>
  </conditionalFormatting>
  <conditionalFormatting sqref="AC47">
    <cfRule type="expression" priority="18" dxfId="15" stopIfTrue="1">
      <formula>AND(AE47=2)</formula>
    </cfRule>
  </conditionalFormatting>
  <conditionalFormatting sqref="AD47">
    <cfRule type="expression" priority="17" dxfId="15" stopIfTrue="1">
      <formula>AND(AE47=3)</formula>
    </cfRule>
  </conditionalFormatting>
  <conditionalFormatting sqref="B48">
    <cfRule type="expression" priority="16" dxfId="23" stopIfTrue="1">
      <formula>AND($B48&lt;&gt;RIGHT($B$8,1))</formula>
    </cfRule>
  </conditionalFormatting>
  <conditionalFormatting sqref="C48">
    <cfRule type="cellIs" priority="14" dxfId="18" operator="equal" stopIfTrue="1">
      <formula>$B$2</formula>
    </cfRule>
    <cfRule type="expression" priority="15" dxfId="23" stopIfTrue="1">
      <formula>AND($B48&lt;&gt;RIGHT($B$8,1))</formula>
    </cfRule>
  </conditionalFormatting>
  <conditionalFormatting sqref="K48:N48 Q48:T48 W48:Z48">
    <cfRule type="expression" priority="11" dxfId="27" stopIfTrue="1">
      <formula>AND(COLUMN(K48)=$A$3,ROW(K48)=$A$4)</formula>
    </cfRule>
    <cfRule type="cellIs" priority="12" dxfId="26" operator="lessThan" stopIfTrue="1">
      <formula>0</formula>
    </cfRule>
    <cfRule type="expression" priority="13" dxfId="25" stopIfTrue="1">
      <formula>OR(AND(ROW(K48)=$A$4,COLUMN(K48)&lt;$A$3,CK48=1),AND(ROW(K48)&lt;$A$4,COLUMN(K48)=$A$3,CK48=1))</formula>
    </cfRule>
  </conditionalFormatting>
  <conditionalFormatting sqref="I48:J48 D48:F48">
    <cfRule type="expression" priority="9" dxfId="18" stopIfTrue="1">
      <formula>AND(ROW(D48)=$A$4)</formula>
    </cfRule>
    <cfRule type="expression" priority="10" dxfId="23" stopIfTrue="1">
      <formula>AND($B48&lt;&gt;RIGHT($B$8,1))</formula>
    </cfRule>
  </conditionalFormatting>
  <conditionalFormatting sqref="O48:P48 U48">
    <cfRule type="expression" priority="8" dxfId="18" stopIfTrue="1">
      <formula>AND(ROW(K48)=$A$4,COLUMN(K48)&lt;$A$3)</formula>
    </cfRule>
  </conditionalFormatting>
  <conditionalFormatting sqref="V48">
    <cfRule type="expression" priority="7" dxfId="19" stopIfTrue="1">
      <formula>AND(ROW(R48)=$A$4,COLUMN(R48)&lt;$A$3)</formula>
    </cfRule>
  </conditionalFormatting>
  <conditionalFormatting sqref="AA48">
    <cfRule type="expression" priority="6" dxfId="18" stopIfTrue="1">
      <formula>AND(ROW(W48)=$A$4,$A$3&gt;21)</formula>
    </cfRule>
  </conditionalFormatting>
  <conditionalFormatting sqref="G48:H48">
    <cfRule type="expression" priority="5" dxfId="19" stopIfTrue="1">
      <formula>AND(ROW(G48)=$A$4)</formula>
    </cfRule>
  </conditionalFormatting>
  <conditionalFormatting sqref="AB48">
    <cfRule type="expression" priority="3" dxfId="18" stopIfTrue="1">
      <formula>AND(ROW(X48)=$A$4)</formula>
    </cfRule>
    <cfRule type="expression" priority="4" dxfId="15" stopIfTrue="1">
      <formula>AND(AE48=1)</formula>
    </cfRule>
  </conditionalFormatting>
  <conditionalFormatting sqref="AC48">
    <cfRule type="expression" priority="2" dxfId="15" stopIfTrue="1">
      <formula>AND(AE48=2)</formula>
    </cfRule>
  </conditionalFormatting>
  <conditionalFormatting sqref="AD48">
    <cfRule type="expression" priority="1" dxfId="15" stopIfTrue="1">
      <formula>AND(AE48=3)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R9:T48 X9:Z48 L9:N48">
      <formula1>AND(MOD(R9,2.5)=0,R9&gt;=ABS(Q9),R9&gt;Q9)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AU9:AU48 AG9:AG48 V9:V48 G9:H48 AB9:AD48"/>
    <dataValidation errorStyle="warning" type="custom" allowBlank="1" showInputMessage="1" showErrorMessage="1" error="Must be a multiple of 2.5 unless record attempt" sqref="Q9:Q48 W9:W48 K9:K48">
      <formula1>AND(MOD(Q9,2.5)=0)</formula1>
    </dataValidation>
    <dataValidation type="list" allowBlank="1" showInputMessage="1" showErrorMessage="1" sqref="B9:B48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:E48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:AI48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:AE48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S4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18.7109375" style="144" customWidth="1"/>
    <col min="2" max="2" width="5.7109375" style="5" customWidth="1"/>
    <col min="3" max="3" width="6.28125" style="144" customWidth="1"/>
    <col min="4" max="4" width="6.57421875" style="5" customWidth="1"/>
    <col min="5" max="5" width="7.57421875" style="144" customWidth="1"/>
    <col min="6" max="6" width="7.57421875" style="5" customWidth="1"/>
    <col min="7" max="7" width="7.57421875" style="144" customWidth="1"/>
    <col min="8" max="8" width="7.57421875" style="5" customWidth="1"/>
    <col min="9" max="11" width="7.57421875" style="144" customWidth="1"/>
    <col min="12" max="12" width="7.57421875" style="5" customWidth="1"/>
    <col min="13" max="15" width="7.57421875" style="144" customWidth="1"/>
    <col min="16" max="17" width="7.57421875" style="5" customWidth="1"/>
    <col min="18" max="20" width="7.57421875" style="144" customWidth="1"/>
    <col min="21" max="22" width="7.57421875" style="5" customWidth="1"/>
    <col min="23" max="25" width="9.7109375" style="141" customWidth="1"/>
    <col min="26" max="27" width="11.7109375" style="139" customWidth="1"/>
    <col min="28" max="29" width="9.140625" style="5" customWidth="1"/>
  </cols>
  <sheetData>
    <row r="1" spans="1:29" s="262" customFormat="1" ht="30" customHeight="1" thickBot="1">
      <c r="A1" s="261">
        <v>40159</v>
      </c>
      <c r="B1" s="262" t="s">
        <v>215</v>
      </c>
      <c r="C1" s="263"/>
      <c r="D1" s="265"/>
      <c r="E1" s="263"/>
      <c r="F1" s="265"/>
      <c r="G1" s="263"/>
      <c r="H1" s="265"/>
      <c r="I1" s="263"/>
      <c r="J1" s="263"/>
      <c r="K1" s="263"/>
      <c r="L1" s="265"/>
      <c r="M1" s="263"/>
      <c r="N1" s="263"/>
      <c r="O1" s="263"/>
      <c r="P1" s="265"/>
      <c r="Q1" s="265"/>
      <c r="R1" s="263"/>
      <c r="S1" s="263"/>
      <c r="T1" s="263"/>
      <c r="U1" s="265"/>
      <c r="V1" s="265"/>
      <c r="W1" s="266"/>
      <c r="X1" s="266"/>
      <c r="Y1" s="266"/>
      <c r="Z1" s="267"/>
      <c r="AA1" s="267"/>
      <c r="AB1" s="265"/>
      <c r="AC1" s="265"/>
    </row>
    <row r="2" spans="1:45" s="277" customFormat="1" ht="28.5" customHeight="1" thickBot="1">
      <c r="A2" s="268" t="s">
        <v>0</v>
      </c>
      <c r="B2" s="269" t="s">
        <v>1</v>
      </c>
      <c r="C2" s="270" t="s">
        <v>29</v>
      </c>
      <c r="D2" s="270" t="s">
        <v>171</v>
      </c>
      <c r="E2" s="270" t="s">
        <v>173</v>
      </c>
      <c r="F2" s="271" t="s">
        <v>196</v>
      </c>
      <c r="G2" s="272" t="s">
        <v>22</v>
      </c>
      <c r="H2" s="272" t="s">
        <v>23</v>
      </c>
      <c r="I2" s="272" t="s">
        <v>24</v>
      </c>
      <c r="J2" s="272" t="s">
        <v>25</v>
      </c>
      <c r="K2" s="270" t="s">
        <v>11</v>
      </c>
      <c r="L2" s="272" t="s">
        <v>12</v>
      </c>
      <c r="M2" s="272" t="s">
        <v>13</v>
      </c>
      <c r="N2" s="272" t="s">
        <v>14</v>
      </c>
      <c r="O2" s="272" t="s">
        <v>158</v>
      </c>
      <c r="P2" s="270" t="s">
        <v>15</v>
      </c>
      <c r="Q2" s="270" t="s">
        <v>16</v>
      </c>
      <c r="R2" s="272" t="s">
        <v>17</v>
      </c>
      <c r="S2" s="272" t="s">
        <v>18</v>
      </c>
      <c r="T2" s="272" t="s">
        <v>19</v>
      </c>
      <c r="U2" s="272" t="s">
        <v>20</v>
      </c>
      <c r="V2" s="272" t="s">
        <v>21</v>
      </c>
      <c r="W2" s="273" t="s">
        <v>69</v>
      </c>
      <c r="X2" s="274" t="s">
        <v>135</v>
      </c>
      <c r="Y2" s="274" t="s">
        <v>140</v>
      </c>
      <c r="Z2" s="275" t="s">
        <v>183</v>
      </c>
      <c r="AA2" s="275" t="s">
        <v>31</v>
      </c>
      <c r="AB2" s="270" t="s">
        <v>184</v>
      </c>
      <c r="AC2" s="276" t="s">
        <v>45</v>
      </c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</row>
    <row r="3" spans="1:29" s="260" customFormat="1" ht="12.75">
      <c r="A3" s="256" t="s">
        <v>236</v>
      </c>
      <c r="B3" s="257">
        <v>42</v>
      </c>
      <c r="C3" s="256" t="s">
        <v>202</v>
      </c>
      <c r="D3" s="257">
        <v>130</v>
      </c>
      <c r="E3" s="256">
        <v>132</v>
      </c>
      <c r="F3" s="257">
        <v>1.1295</v>
      </c>
      <c r="G3" s="256">
        <v>-112.5</v>
      </c>
      <c r="H3" s="257">
        <v>112.5</v>
      </c>
      <c r="I3" s="256">
        <v>125</v>
      </c>
      <c r="J3" s="256"/>
      <c r="K3" s="256">
        <v>125</v>
      </c>
      <c r="L3" s="257">
        <v>67.5</v>
      </c>
      <c r="M3" s="256">
        <v>-75</v>
      </c>
      <c r="N3" s="256">
        <v>-75</v>
      </c>
      <c r="O3" s="256"/>
      <c r="P3" s="257">
        <v>67.5</v>
      </c>
      <c r="Q3" s="257">
        <v>192.5</v>
      </c>
      <c r="R3" s="256">
        <v>125</v>
      </c>
      <c r="S3" s="256">
        <v>137.5</v>
      </c>
      <c r="T3" s="256">
        <v>140</v>
      </c>
      <c r="U3" s="257"/>
      <c r="V3" s="257">
        <v>140</v>
      </c>
      <c r="W3" s="258">
        <v>332.5</v>
      </c>
      <c r="X3" s="258">
        <v>375.55875</v>
      </c>
      <c r="Y3" s="258">
        <v>383.06992499999996</v>
      </c>
      <c r="Z3" s="259">
        <v>2</v>
      </c>
      <c r="AA3" s="259" t="s">
        <v>281</v>
      </c>
      <c r="AB3" s="257">
        <v>7</v>
      </c>
      <c r="AC3" s="257"/>
    </row>
    <row r="4" spans="1:29" s="260" customFormat="1" ht="12.75">
      <c r="A4" s="256" t="s">
        <v>232</v>
      </c>
      <c r="B4" s="257">
        <v>56</v>
      </c>
      <c r="C4" s="256" t="s">
        <v>200</v>
      </c>
      <c r="D4" s="257">
        <v>102</v>
      </c>
      <c r="E4" s="256">
        <v>105</v>
      </c>
      <c r="F4" s="257">
        <v>1.3594</v>
      </c>
      <c r="G4" s="256">
        <v>42.5</v>
      </c>
      <c r="H4" s="257">
        <v>45</v>
      </c>
      <c r="I4" s="256">
        <v>47.5</v>
      </c>
      <c r="J4" s="256"/>
      <c r="K4" s="256">
        <v>47.5</v>
      </c>
      <c r="L4" s="257">
        <v>-35</v>
      </c>
      <c r="M4" s="256">
        <v>35</v>
      </c>
      <c r="N4" s="256">
        <v>-37.5</v>
      </c>
      <c r="O4" s="256"/>
      <c r="P4" s="257">
        <v>35</v>
      </c>
      <c r="Q4" s="257">
        <v>82.5</v>
      </c>
      <c r="R4" s="256">
        <v>57.5</v>
      </c>
      <c r="S4" s="256">
        <v>72.5</v>
      </c>
      <c r="T4" s="256">
        <v>-80</v>
      </c>
      <c r="U4" s="257"/>
      <c r="V4" s="257">
        <v>72.5</v>
      </c>
      <c r="W4" s="258">
        <v>155</v>
      </c>
      <c r="X4" s="258">
        <v>210.707</v>
      </c>
      <c r="Y4" s="258">
        <v>262.54092199999997</v>
      </c>
      <c r="Z4" s="259">
        <v>2</v>
      </c>
      <c r="AA4" s="259" t="s">
        <v>279</v>
      </c>
      <c r="AB4" s="257">
        <v>7</v>
      </c>
      <c r="AC4" s="257"/>
    </row>
    <row r="5" spans="1:28" ht="12.75">
      <c r="A5" s="144" t="s">
        <v>233</v>
      </c>
      <c r="B5" s="5">
        <v>72</v>
      </c>
      <c r="C5" s="144" t="s">
        <v>230</v>
      </c>
      <c r="D5" s="5">
        <v>146</v>
      </c>
      <c r="E5" s="144">
        <v>148</v>
      </c>
      <c r="F5" s="5">
        <v>0.7832</v>
      </c>
      <c r="G5" s="144">
        <v>85</v>
      </c>
      <c r="H5" s="5">
        <v>90</v>
      </c>
      <c r="I5" s="144">
        <v>-97.5</v>
      </c>
      <c r="K5" s="144">
        <v>90</v>
      </c>
      <c r="L5" s="5">
        <v>95</v>
      </c>
      <c r="M5" s="144">
        <v>100</v>
      </c>
      <c r="N5" s="144">
        <v>105</v>
      </c>
      <c r="P5" s="5">
        <v>105</v>
      </c>
      <c r="Q5" s="5">
        <v>195</v>
      </c>
      <c r="R5" s="144">
        <v>165</v>
      </c>
      <c r="S5" s="144">
        <v>175</v>
      </c>
      <c r="T5" s="144">
        <v>180</v>
      </c>
      <c r="V5" s="5">
        <v>180</v>
      </c>
      <c r="W5" s="141">
        <v>375</v>
      </c>
      <c r="X5" s="141">
        <v>293.7</v>
      </c>
      <c r="Y5" s="141">
        <v>504.5766</v>
      </c>
      <c r="Z5" s="139">
        <v>2</v>
      </c>
      <c r="AA5" s="139" t="s">
        <v>284</v>
      </c>
      <c r="AB5" s="5">
        <v>7</v>
      </c>
    </row>
    <row r="6" spans="1:29" s="260" customFormat="1" ht="12.75">
      <c r="A6" s="256" t="s">
        <v>264</v>
      </c>
      <c r="B6" s="257">
        <v>38</v>
      </c>
      <c r="C6" s="256" t="s">
        <v>213</v>
      </c>
      <c r="D6" s="257">
        <v>274</v>
      </c>
      <c r="E6" s="256">
        <v>275</v>
      </c>
      <c r="F6" s="257">
        <v>0.5705</v>
      </c>
      <c r="G6" s="256">
        <v>435</v>
      </c>
      <c r="H6" s="257">
        <v>460</v>
      </c>
      <c r="I6" s="256">
        <v>0</v>
      </c>
      <c r="J6" s="256"/>
      <c r="K6" s="256">
        <v>460</v>
      </c>
      <c r="L6" s="257">
        <v>300</v>
      </c>
      <c r="M6" s="256">
        <v>322.5</v>
      </c>
      <c r="N6" s="256">
        <v>-332.5</v>
      </c>
      <c r="O6" s="256"/>
      <c r="P6" s="257">
        <v>322.5</v>
      </c>
      <c r="Q6" s="257">
        <v>782.5</v>
      </c>
      <c r="R6" s="256">
        <v>312.5</v>
      </c>
      <c r="S6" s="256">
        <v>330</v>
      </c>
      <c r="T6" s="256">
        <v>345</v>
      </c>
      <c r="U6" s="257"/>
      <c r="V6" s="257">
        <v>345</v>
      </c>
      <c r="W6" s="258">
        <v>1127.5</v>
      </c>
      <c r="X6" s="258">
        <v>643.23875</v>
      </c>
      <c r="Y6" s="258">
        <v>0</v>
      </c>
      <c r="Z6" s="259">
        <v>2</v>
      </c>
      <c r="AA6" s="259" t="s">
        <v>298</v>
      </c>
      <c r="AB6" s="257">
        <v>7</v>
      </c>
      <c r="AC6" s="257"/>
    </row>
    <row r="7" spans="1:29" s="260" customFormat="1" ht="12.75">
      <c r="A7" s="256" t="s">
        <v>263</v>
      </c>
      <c r="B7" s="257">
        <v>22</v>
      </c>
      <c r="C7" s="256" t="s">
        <v>213</v>
      </c>
      <c r="D7" s="257">
        <v>270</v>
      </c>
      <c r="E7" s="256">
        <v>275</v>
      </c>
      <c r="F7" s="257">
        <v>0.5723</v>
      </c>
      <c r="G7" s="256">
        <v>320</v>
      </c>
      <c r="H7" s="257">
        <v>335</v>
      </c>
      <c r="I7" s="256">
        <v>342.5</v>
      </c>
      <c r="J7" s="256"/>
      <c r="K7" s="256">
        <v>342.5</v>
      </c>
      <c r="L7" s="257">
        <v>-255</v>
      </c>
      <c r="M7" s="256">
        <v>255</v>
      </c>
      <c r="N7" s="256">
        <v>-262.5</v>
      </c>
      <c r="O7" s="256"/>
      <c r="P7" s="257">
        <v>255</v>
      </c>
      <c r="Q7" s="257">
        <v>597.5</v>
      </c>
      <c r="R7" s="256">
        <v>275</v>
      </c>
      <c r="S7" s="256">
        <v>292.5</v>
      </c>
      <c r="T7" s="256">
        <v>-307.5</v>
      </c>
      <c r="U7" s="257"/>
      <c r="V7" s="257">
        <v>292.5</v>
      </c>
      <c r="W7" s="258">
        <v>890</v>
      </c>
      <c r="X7" s="258">
        <v>509.34700000000004</v>
      </c>
      <c r="Y7" s="258">
        <v>514.44047</v>
      </c>
      <c r="Z7" s="259">
        <v>2</v>
      </c>
      <c r="AA7" s="259" t="s">
        <v>296</v>
      </c>
      <c r="AB7" s="257">
        <v>5</v>
      </c>
      <c r="AC7" s="257"/>
    </row>
    <row r="8" spans="1:29" s="260" customFormat="1" ht="12.75">
      <c r="A8" s="256" t="s">
        <v>262</v>
      </c>
      <c r="B8" s="257">
        <v>21</v>
      </c>
      <c r="C8" s="256" t="s">
        <v>213</v>
      </c>
      <c r="D8" s="257">
        <v>218</v>
      </c>
      <c r="E8" s="256">
        <v>220</v>
      </c>
      <c r="F8" s="257">
        <v>0.6113</v>
      </c>
      <c r="G8" s="256">
        <v>-320</v>
      </c>
      <c r="H8" s="257">
        <v>340</v>
      </c>
      <c r="I8" s="256">
        <v>-365</v>
      </c>
      <c r="J8" s="256"/>
      <c r="K8" s="256">
        <v>340</v>
      </c>
      <c r="L8" s="257">
        <v>210</v>
      </c>
      <c r="M8" s="256">
        <v>232.5</v>
      </c>
      <c r="N8" s="256">
        <v>-245</v>
      </c>
      <c r="O8" s="256"/>
      <c r="P8" s="257">
        <v>232.5</v>
      </c>
      <c r="Q8" s="257">
        <v>572.5</v>
      </c>
      <c r="R8" s="256">
        <v>255</v>
      </c>
      <c r="S8" s="256">
        <v>-280</v>
      </c>
      <c r="T8" s="256">
        <v>-280</v>
      </c>
      <c r="U8" s="257"/>
      <c r="V8" s="257">
        <v>255</v>
      </c>
      <c r="W8" s="258">
        <v>827.5</v>
      </c>
      <c r="X8" s="258">
        <v>505.85074999999995</v>
      </c>
      <c r="Y8" s="258">
        <v>515.967765</v>
      </c>
      <c r="Z8" s="259">
        <v>2</v>
      </c>
      <c r="AA8" s="259" t="s">
        <v>294</v>
      </c>
      <c r="AB8" s="257">
        <v>3</v>
      </c>
      <c r="AC8" s="257"/>
    </row>
    <row r="9" spans="1:29" s="260" customFormat="1" ht="12.75">
      <c r="A9" s="256" t="s">
        <v>260</v>
      </c>
      <c r="B9" s="257">
        <v>31</v>
      </c>
      <c r="C9" s="256" t="s">
        <v>213</v>
      </c>
      <c r="D9" s="257">
        <v>233</v>
      </c>
      <c r="E9" s="256">
        <v>242</v>
      </c>
      <c r="F9" s="257">
        <v>0.5962</v>
      </c>
      <c r="G9" s="256">
        <v>292.5</v>
      </c>
      <c r="H9" s="257">
        <v>-310</v>
      </c>
      <c r="I9" s="256">
        <v>-320</v>
      </c>
      <c r="J9" s="256"/>
      <c r="K9" s="256">
        <v>292.5</v>
      </c>
      <c r="L9" s="257">
        <v>202.5</v>
      </c>
      <c r="M9" s="256">
        <v>230</v>
      </c>
      <c r="N9" s="256">
        <v>-235</v>
      </c>
      <c r="O9" s="256"/>
      <c r="P9" s="257">
        <v>230</v>
      </c>
      <c r="Q9" s="257">
        <v>522.5</v>
      </c>
      <c r="R9" s="256">
        <v>265</v>
      </c>
      <c r="S9" s="256">
        <v>292.5</v>
      </c>
      <c r="T9" s="256">
        <v>305</v>
      </c>
      <c r="U9" s="257"/>
      <c r="V9" s="257">
        <v>305</v>
      </c>
      <c r="W9" s="258">
        <v>827.5</v>
      </c>
      <c r="X9" s="258">
        <v>493.35549999999995</v>
      </c>
      <c r="Y9" s="258">
        <v>0</v>
      </c>
      <c r="Z9" s="259">
        <v>2</v>
      </c>
      <c r="AA9" s="259" t="s">
        <v>295</v>
      </c>
      <c r="AB9" s="257">
        <v>2</v>
      </c>
      <c r="AC9" s="257"/>
    </row>
    <row r="10" spans="1:29" s="260" customFormat="1" ht="12.75">
      <c r="A10" s="256" t="s">
        <v>241</v>
      </c>
      <c r="B10" s="257">
        <v>26</v>
      </c>
      <c r="C10" s="256" t="s">
        <v>213</v>
      </c>
      <c r="D10" s="257">
        <v>198</v>
      </c>
      <c r="E10" s="256">
        <v>198</v>
      </c>
      <c r="F10" s="257">
        <v>0.6391</v>
      </c>
      <c r="G10" s="256">
        <v>260</v>
      </c>
      <c r="H10" s="257">
        <v>272.5</v>
      </c>
      <c r="I10" s="256">
        <v>-300</v>
      </c>
      <c r="J10" s="256"/>
      <c r="K10" s="256">
        <v>272.5</v>
      </c>
      <c r="L10" s="257">
        <v>215</v>
      </c>
      <c r="M10" s="256">
        <v>227.5</v>
      </c>
      <c r="N10" s="256">
        <v>-237.5</v>
      </c>
      <c r="O10" s="256"/>
      <c r="P10" s="257">
        <v>227.5</v>
      </c>
      <c r="Q10" s="257">
        <v>500</v>
      </c>
      <c r="R10" s="256">
        <v>240</v>
      </c>
      <c r="S10" s="256">
        <v>252.5</v>
      </c>
      <c r="T10" s="256">
        <v>-260</v>
      </c>
      <c r="U10" s="257"/>
      <c r="V10" s="257">
        <v>252.5</v>
      </c>
      <c r="W10" s="258">
        <v>752.5</v>
      </c>
      <c r="X10" s="258">
        <v>480.92275</v>
      </c>
      <c r="Y10" s="258">
        <v>0</v>
      </c>
      <c r="Z10" s="259">
        <v>2</v>
      </c>
      <c r="AA10" s="259" t="s">
        <v>288</v>
      </c>
      <c r="AB10" s="257">
        <v>1</v>
      </c>
      <c r="AC10" s="257"/>
    </row>
    <row r="11" spans="1:29" s="260" customFormat="1" ht="12.75">
      <c r="A11" s="256" t="s">
        <v>261</v>
      </c>
      <c r="B11" s="257">
        <v>43</v>
      </c>
      <c r="C11" s="256" t="s">
        <v>213</v>
      </c>
      <c r="D11" s="257">
        <v>242</v>
      </c>
      <c r="E11" s="256">
        <v>242</v>
      </c>
      <c r="F11" s="257">
        <v>0.5888</v>
      </c>
      <c r="G11" s="256">
        <v>295</v>
      </c>
      <c r="H11" s="257">
        <v>320</v>
      </c>
      <c r="I11" s="256">
        <v>-340</v>
      </c>
      <c r="J11" s="256"/>
      <c r="K11" s="256">
        <v>320</v>
      </c>
      <c r="L11" s="257">
        <v>195</v>
      </c>
      <c r="M11" s="256">
        <v>210</v>
      </c>
      <c r="N11" s="256">
        <v>-220</v>
      </c>
      <c r="O11" s="256"/>
      <c r="P11" s="257">
        <v>210</v>
      </c>
      <c r="Q11" s="257">
        <v>530</v>
      </c>
      <c r="R11" s="256">
        <v>182.5</v>
      </c>
      <c r="S11" s="256">
        <v>227.5</v>
      </c>
      <c r="T11" s="256">
        <v>0</v>
      </c>
      <c r="U11" s="257"/>
      <c r="V11" s="257">
        <v>227.5</v>
      </c>
      <c r="W11" s="258">
        <v>757.5</v>
      </c>
      <c r="X11" s="258">
        <v>446.016</v>
      </c>
      <c r="Y11" s="258">
        <v>459.842496</v>
      </c>
      <c r="Z11" s="259">
        <v>2</v>
      </c>
      <c r="AA11" s="259" t="s">
        <v>290</v>
      </c>
      <c r="AB11" s="257">
        <v>1</v>
      </c>
      <c r="AC11" s="257"/>
    </row>
    <row r="12" spans="1:29" s="260" customFormat="1" ht="12.75">
      <c r="A12" s="256" t="s">
        <v>235</v>
      </c>
      <c r="B12" s="257">
        <v>41</v>
      </c>
      <c r="C12" s="256" t="s">
        <v>205</v>
      </c>
      <c r="D12" s="257">
        <v>181.75</v>
      </c>
      <c r="E12" s="256">
        <v>181</v>
      </c>
      <c r="F12" s="257">
        <v>0.6704</v>
      </c>
      <c r="G12" s="256">
        <v>112.5</v>
      </c>
      <c r="H12" s="257">
        <v>125</v>
      </c>
      <c r="I12" s="256">
        <v>-132.5</v>
      </c>
      <c r="J12" s="256"/>
      <c r="K12" s="256">
        <v>125</v>
      </c>
      <c r="L12" s="257">
        <v>102.5</v>
      </c>
      <c r="M12" s="256">
        <v>110</v>
      </c>
      <c r="N12" s="256">
        <v>117.5</v>
      </c>
      <c r="O12" s="256"/>
      <c r="P12" s="257">
        <v>117.5</v>
      </c>
      <c r="Q12" s="257">
        <v>242.5</v>
      </c>
      <c r="R12" s="256">
        <v>150</v>
      </c>
      <c r="S12" s="256">
        <v>162.5</v>
      </c>
      <c r="T12" s="256">
        <v>167.5</v>
      </c>
      <c r="U12" s="257"/>
      <c r="V12" s="257">
        <v>167.5</v>
      </c>
      <c r="W12" s="258">
        <v>410</v>
      </c>
      <c r="X12" s="258">
        <v>274.864</v>
      </c>
      <c r="Y12" s="258">
        <v>277.61264</v>
      </c>
      <c r="Z12" s="259">
        <v>2</v>
      </c>
      <c r="AA12" s="259" t="s">
        <v>283</v>
      </c>
      <c r="AB12" s="257">
        <v>7</v>
      </c>
      <c r="AC12" s="257"/>
    </row>
    <row r="13" spans="1:29" s="260" customFormat="1" ht="12.75">
      <c r="A13" s="256" t="s">
        <v>234</v>
      </c>
      <c r="B13" s="257">
        <v>42</v>
      </c>
      <c r="C13" s="256" t="s">
        <v>205</v>
      </c>
      <c r="D13" s="257">
        <v>196</v>
      </c>
      <c r="E13" s="256">
        <v>198</v>
      </c>
      <c r="F13" s="257">
        <v>0.6424</v>
      </c>
      <c r="G13" s="256">
        <v>97.5</v>
      </c>
      <c r="H13" s="257">
        <v>-100</v>
      </c>
      <c r="I13" s="256">
        <v>100</v>
      </c>
      <c r="J13" s="256"/>
      <c r="K13" s="256">
        <v>100</v>
      </c>
      <c r="L13" s="257">
        <v>102.5</v>
      </c>
      <c r="M13" s="256">
        <v>110</v>
      </c>
      <c r="N13" s="256">
        <v>-115</v>
      </c>
      <c r="O13" s="256"/>
      <c r="P13" s="257">
        <v>110</v>
      </c>
      <c r="Q13" s="257">
        <v>210</v>
      </c>
      <c r="R13" s="256">
        <v>102.5</v>
      </c>
      <c r="S13" s="256">
        <v>125</v>
      </c>
      <c r="T13" s="256">
        <v>145</v>
      </c>
      <c r="U13" s="257"/>
      <c r="V13" s="257">
        <v>145</v>
      </c>
      <c r="W13" s="258">
        <v>355</v>
      </c>
      <c r="X13" s="258">
        <v>228.052</v>
      </c>
      <c r="Y13" s="258">
        <v>232.61303999999998</v>
      </c>
      <c r="Z13" s="259">
        <v>2</v>
      </c>
      <c r="AA13" s="259" t="s">
        <v>280</v>
      </c>
      <c r="AB13" s="257">
        <v>5</v>
      </c>
      <c r="AC13" s="257"/>
    </row>
    <row r="14" spans="1:28" ht="12.75">
      <c r="A14" s="144" t="s">
        <v>239</v>
      </c>
      <c r="B14" s="5">
        <v>36</v>
      </c>
      <c r="C14" s="144" t="s">
        <v>204</v>
      </c>
      <c r="D14" s="5">
        <v>178</v>
      </c>
      <c r="E14" s="144">
        <v>181</v>
      </c>
      <c r="F14" s="5">
        <v>0.679</v>
      </c>
      <c r="G14" s="144">
        <v>152.5</v>
      </c>
      <c r="H14" s="5">
        <v>160</v>
      </c>
      <c r="I14" s="144">
        <v>182.5</v>
      </c>
      <c r="K14" s="144">
        <v>182.5</v>
      </c>
      <c r="L14" s="5">
        <v>155</v>
      </c>
      <c r="M14" s="144">
        <v>-162.5</v>
      </c>
      <c r="N14" s="144">
        <v>-172.5</v>
      </c>
      <c r="P14" s="5">
        <v>155</v>
      </c>
      <c r="Q14" s="5">
        <v>337.5</v>
      </c>
      <c r="R14" s="144">
        <v>200</v>
      </c>
      <c r="S14" s="144">
        <v>210</v>
      </c>
      <c r="T14" s="144">
        <v>215</v>
      </c>
      <c r="V14" s="5">
        <v>215</v>
      </c>
      <c r="W14" s="141">
        <v>552.5</v>
      </c>
      <c r="X14" s="141">
        <v>375.14750000000004</v>
      </c>
      <c r="Y14" s="141">
        <v>0</v>
      </c>
      <c r="Z14" s="139">
        <v>2</v>
      </c>
      <c r="AA14" s="139" t="s">
        <v>286</v>
      </c>
      <c r="AB14" s="5">
        <v>7</v>
      </c>
    </row>
    <row r="15" spans="1:29" s="260" customFormat="1" ht="12.75">
      <c r="A15" s="256" t="s">
        <v>257</v>
      </c>
      <c r="B15" s="257">
        <v>38</v>
      </c>
      <c r="C15" s="256" t="s">
        <v>204</v>
      </c>
      <c r="D15" s="257">
        <v>242</v>
      </c>
      <c r="E15" s="256">
        <v>242</v>
      </c>
      <c r="F15" s="257">
        <v>0.5888</v>
      </c>
      <c r="G15" s="256">
        <v>185</v>
      </c>
      <c r="H15" s="257">
        <v>215</v>
      </c>
      <c r="I15" s="256">
        <v>-240</v>
      </c>
      <c r="J15" s="256"/>
      <c r="K15" s="256">
        <v>215</v>
      </c>
      <c r="L15" s="257">
        <v>147.5</v>
      </c>
      <c r="M15" s="256">
        <v>-175</v>
      </c>
      <c r="N15" s="256">
        <v>-175</v>
      </c>
      <c r="O15" s="256"/>
      <c r="P15" s="257">
        <v>147.5</v>
      </c>
      <c r="Q15" s="257">
        <v>362.5</v>
      </c>
      <c r="R15" s="256">
        <v>225</v>
      </c>
      <c r="S15" s="256">
        <v>242.5</v>
      </c>
      <c r="T15" s="256">
        <v>252.5</v>
      </c>
      <c r="U15" s="257"/>
      <c r="V15" s="257">
        <v>252.5</v>
      </c>
      <c r="W15" s="258">
        <v>615</v>
      </c>
      <c r="X15" s="258">
        <v>362.11199999999997</v>
      </c>
      <c r="Y15" s="258">
        <v>0</v>
      </c>
      <c r="Z15" s="259">
        <v>2</v>
      </c>
      <c r="AA15" s="259" t="s">
        <v>293</v>
      </c>
      <c r="AB15" s="257">
        <v>5</v>
      </c>
      <c r="AC15" s="257"/>
    </row>
    <row r="16" spans="1:29" s="260" customFormat="1" ht="12.75">
      <c r="A16" s="256" t="s">
        <v>259</v>
      </c>
      <c r="B16" s="257">
        <v>23</v>
      </c>
      <c r="C16" s="256" t="s">
        <v>203</v>
      </c>
      <c r="D16" s="257">
        <v>242</v>
      </c>
      <c r="E16" s="256">
        <v>242</v>
      </c>
      <c r="F16" s="257">
        <v>0.5888</v>
      </c>
      <c r="G16" s="256">
        <v>250</v>
      </c>
      <c r="H16" s="257">
        <v>272.5</v>
      </c>
      <c r="I16" s="256">
        <v>295</v>
      </c>
      <c r="J16" s="256"/>
      <c r="K16" s="256">
        <v>295</v>
      </c>
      <c r="L16" s="257">
        <v>-190</v>
      </c>
      <c r="M16" s="256">
        <v>197.5</v>
      </c>
      <c r="N16" s="256">
        <v>205</v>
      </c>
      <c r="O16" s="256"/>
      <c r="P16" s="257">
        <v>205</v>
      </c>
      <c r="Q16" s="257">
        <v>500</v>
      </c>
      <c r="R16" s="256">
        <v>295</v>
      </c>
      <c r="S16" s="256">
        <v>307.5</v>
      </c>
      <c r="T16" s="256">
        <v>-320</v>
      </c>
      <c r="U16" s="257"/>
      <c r="V16" s="257">
        <v>307.5</v>
      </c>
      <c r="W16" s="258">
        <v>807.5</v>
      </c>
      <c r="X16" s="258">
        <v>475.456</v>
      </c>
      <c r="Y16" s="258">
        <v>0</v>
      </c>
      <c r="Z16" s="259">
        <v>2</v>
      </c>
      <c r="AA16" s="259" t="s">
        <v>297</v>
      </c>
      <c r="AB16" s="257">
        <v>7</v>
      </c>
      <c r="AC16" s="257"/>
    </row>
    <row r="17" spans="1:29" s="260" customFormat="1" ht="12.75">
      <c r="A17" s="256" t="s">
        <v>242</v>
      </c>
      <c r="B17" s="257">
        <v>22</v>
      </c>
      <c r="C17" s="256" t="s">
        <v>203</v>
      </c>
      <c r="D17" s="257">
        <v>186</v>
      </c>
      <c r="E17" s="256">
        <v>198</v>
      </c>
      <c r="F17" s="257">
        <v>0.661</v>
      </c>
      <c r="G17" s="256">
        <v>265</v>
      </c>
      <c r="H17" s="257">
        <v>-272.5</v>
      </c>
      <c r="I17" s="256">
        <v>-272.5</v>
      </c>
      <c r="J17" s="256"/>
      <c r="K17" s="256">
        <v>265</v>
      </c>
      <c r="L17" s="257">
        <v>177.5</v>
      </c>
      <c r="M17" s="256">
        <v>187.5</v>
      </c>
      <c r="N17" s="256">
        <v>-197.5</v>
      </c>
      <c r="O17" s="256"/>
      <c r="P17" s="257">
        <v>187.5</v>
      </c>
      <c r="Q17" s="257">
        <v>452.5</v>
      </c>
      <c r="R17" s="256">
        <v>260</v>
      </c>
      <c r="S17" s="256">
        <v>-280</v>
      </c>
      <c r="T17" s="256">
        <v>-280</v>
      </c>
      <c r="U17" s="257"/>
      <c r="V17" s="257">
        <v>260</v>
      </c>
      <c r="W17" s="258">
        <v>712.5</v>
      </c>
      <c r="X17" s="258">
        <v>470.96250000000003</v>
      </c>
      <c r="Y17" s="258">
        <v>475.67212500000005</v>
      </c>
      <c r="Z17" s="259">
        <v>2</v>
      </c>
      <c r="AA17" s="259" t="s">
        <v>289</v>
      </c>
      <c r="AB17" s="257">
        <v>5</v>
      </c>
      <c r="AC17" s="257"/>
    </row>
    <row r="18" spans="1:29" s="260" customFormat="1" ht="12.75">
      <c r="A18" s="256" t="s">
        <v>240</v>
      </c>
      <c r="B18" s="257">
        <v>22</v>
      </c>
      <c r="C18" s="256" t="s">
        <v>203</v>
      </c>
      <c r="D18" s="257">
        <v>181.25</v>
      </c>
      <c r="E18" s="256">
        <v>181</v>
      </c>
      <c r="F18" s="257">
        <v>0.6714</v>
      </c>
      <c r="G18" s="256">
        <v>182.5</v>
      </c>
      <c r="H18" s="257">
        <v>190</v>
      </c>
      <c r="I18" s="256">
        <v>-200</v>
      </c>
      <c r="J18" s="256"/>
      <c r="K18" s="256">
        <v>190</v>
      </c>
      <c r="L18" s="257">
        <v>132.5</v>
      </c>
      <c r="M18" s="256">
        <v>142.5</v>
      </c>
      <c r="N18" s="256">
        <v>-147.5</v>
      </c>
      <c r="O18" s="256"/>
      <c r="P18" s="257">
        <v>142.5</v>
      </c>
      <c r="Q18" s="257">
        <v>332.5</v>
      </c>
      <c r="R18" s="256">
        <v>205</v>
      </c>
      <c r="S18" s="256">
        <v>220</v>
      </c>
      <c r="T18" s="256">
        <v>-222.5</v>
      </c>
      <c r="U18" s="257"/>
      <c r="V18" s="257">
        <v>220</v>
      </c>
      <c r="W18" s="258">
        <v>552.5</v>
      </c>
      <c r="X18" s="258">
        <v>370.9485</v>
      </c>
      <c r="Y18" s="258">
        <v>374.65798500000005</v>
      </c>
      <c r="Z18" s="259">
        <v>2</v>
      </c>
      <c r="AA18" s="259" t="s">
        <v>287</v>
      </c>
      <c r="AB18" s="257">
        <v>3</v>
      </c>
      <c r="AC18" s="257"/>
    </row>
    <row r="19" spans="1:30" s="260" customFormat="1" ht="12.75">
      <c r="A19" s="256" t="s">
        <v>238</v>
      </c>
      <c r="B19" s="257">
        <v>23</v>
      </c>
      <c r="C19" s="256" t="s">
        <v>203</v>
      </c>
      <c r="D19" s="257">
        <v>123</v>
      </c>
      <c r="E19" s="256">
        <v>123</v>
      </c>
      <c r="F19" s="257">
        <v>0.9135</v>
      </c>
      <c r="G19" s="256">
        <v>132.5</v>
      </c>
      <c r="H19" s="257">
        <v>-155</v>
      </c>
      <c r="I19" s="256">
        <v>-155</v>
      </c>
      <c r="J19" s="256"/>
      <c r="K19" s="256">
        <v>132.5</v>
      </c>
      <c r="L19" s="257">
        <v>105</v>
      </c>
      <c r="M19" s="256">
        <v>-110</v>
      </c>
      <c r="N19" s="256">
        <v>-110</v>
      </c>
      <c r="O19" s="256"/>
      <c r="P19" s="257">
        <v>105</v>
      </c>
      <c r="Q19" s="257">
        <v>237.5</v>
      </c>
      <c r="R19" s="256">
        <v>147.5</v>
      </c>
      <c r="S19" s="256">
        <v>162.5</v>
      </c>
      <c r="T19" s="256">
        <v>0</v>
      </c>
      <c r="U19" s="257"/>
      <c r="V19" s="257">
        <v>162.5</v>
      </c>
      <c r="W19" s="258">
        <v>400</v>
      </c>
      <c r="X19" s="258">
        <v>365.4</v>
      </c>
      <c r="Y19" s="258">
        <v>0</v>
      </c>
      <c r="Z19" s="259">
        <v>2</v>
      </c>
      <c r="AA19" s="259" t="s">
        <v>282</v>
      </c>
      <c r="AB19" s="257">
        <v>2</v>
      </c>
      <c r="AC19" s="257"/>
      <c r="AD19" s="260" t="s">
        <v>310</v>
      </c>
    </row>
    <row r="20" spans="1:29" s="260" customFormat="1" ht="12.75">
      <c r="A20" s="256" t="s">
        <v>258</v>
      </c>
      <c r="B20" s="257">
        <v>21</v>
      </c>
      <c r="C20" s="256" t="s">
        <v>203</v>
      </c>
      <c r="D20" s="257">
        <v>260</v>
      </c>
      <c r="E20" s="256">
        <v>275</v>
      </c>
      <c r="F20" s="257">
        <v>0.5774</v>
      </c>
      <c r="G20" s="256">
        <v>215</v>
      </c>
      <c r="H20" s="257">
        <v>227.5</v>
      </c>
      <c r="I20" s="256">
        <v>240</v>
      </c>
      <c r="J20" s="256"/>
      <c r="K20" s="256">
        <v>240</v>
      </c>
      <c r="L20" s="257">
        <v>140</v>
      </c>
      <c r="M20" s="256">
        <v>150</v>
      </c>
      <c r="N20" s="256">
        <v>160</v>
      </c>
      <c r="O20" s="256"/>
      <c r="P20" s="257">
        <v>160</v>
      </c>
      <c r="Q20" s="257">
        <v>400</v>
      </c>
      <c r="R20" s="256">
        <v>215</v>
      </c>
      <c r="S20" s="256">
        <v>227.5</v>
      </c>
      <c r="T20" s="256">
        <v>-237.5</v>
      </c>
      <c r="U20" s="257"/>
      <c r="V20" s="257">
        <v>227.5</v>
      </c>
      <c r="W20" s="258">
        <v>627.5</v>
      </c>
      <c r="X20" s="258">
        <v>362.31850000000003</v>
      </c>
      <c r="Y20" s="258">
        <v>369.56487000000004</v>
      </c>
      <c r="Z20" s="259">
        <v>2</v>
      </c>
      <c r="AA20" s="259" t="s">
        <v>292</v>
      </c>
      <c r="AB20" s="257">
        <v>1</v>
      </c>
      <c r="AC20" s="257"/>
    </row>
    <row r="21" spans="1:28" ht="12.75">
      <c r="A21" s="144" t="s">
        <v>237</v>
      </c>
      <c r="B21" s="5">
        <v>22</v>
      </c>
      <c r="C21" s="144" t="s">
        <v>203</v>
      </c>
      <c r="D21" s="5">
        <v>158.75</v>
      </c>
      <c r="E21" s="144">
        <v>165</v>
      </c>
      <c r="F21" s="5">
        <v>0.7337</v>
      </c>
      <c r="G21" s="144">
        <v>125</v>
      </c>
      <c r="H21" s="5">
        <v>140</v>
      </c>
      <c r="I21" s="144">
        <v>152.5</v>
      </c>
      <c r="K21" s="144">
        <v>152.5</v>
      </c>
      <c r="L21" s="5">
        <v>85</v>
      </c>
      <c r="M21" s="144">
        <v>95</v>
      </c>
      <c r="N21" s="144">
        <v>-105</v>
      </c>
      <c r="P21" s="5">
        <v>95</v>
      </c>
      <c r="Q21" s="5">
        <v>247.5</v>
      </c>
      <c r="R21" s="144">
        <v>195</v>
      </c>
      <c r="S21" s="144">
        <v>207.5</v>
      </c>
      <c r="T21" s="144">
        <v>215</v>
      </c>
      <c r="V21" s="5">
        <v>215</v>
      </c>
      <c r="W21" s="141">
        <v>462.5</v>
      </c>
      <c r="X21" s="141">
        <v>339.33625</v>
      </c>
      <c r="Y21" s="141">
        <v>342.72961250000003</v>
      </c>
      <c r="Z21" s="139">
        <v>2</v>
      </c>
      <c r="AA21" s="139" t="s">
        <v>285</v>
      </c>
      <c r="AB21" s="5">
        <v>1</v>
      </c>
    </row>
    <row r="22" spans="1:29" s="260" customFormat="1" ht="12.75">
      <c r="A22" s="256" t="s">
        <v>256</v>
      </c>
      <c r="B22" s="257">
        <v>23</v>
      </c>
      <c r="C22" s="256" t="s">
        <v>203</v>
      </c>
      <c r="D22" s="257">
        <v>208</v>
      </c>
      <c r="E22" s="256">
        <v>220</v>
      </c>
      <c r="F22" s="257">
        <v>0.6241</v>
      </c>
      <c r="G22" s="256">
        <v>165</v>
      </c>
      <c r="H22" s="257">
        <v>175</v>
      </c>
      <c r="I22" s="256">
        <v>-182.5</v>
      </c>
      <c r="J22" s="256"/>
      <c r="K22" s="256">
        <v>175</v>
      </c>
      <c r="L22" s="257">
        <v>125</v>
      </c>
      <c r="M22" s="256">
        <v>135</v>
      </c>
      <c r="N22" s="256">
        <v>140</v>
      </c>
      <c r="O22" s="256"/>
      <c r="P22" s="257">
        <v>140</v>
      </c>
      <c r="Q22" s="257">
        <v>315</v>
      </c>
      <c r="R22" s="256">
        <v>200</v>
      </c>
      <c r="S22" s="256">
        <v>210</v>
      </c>
      <c r="T22" s="256">
        <v>225</v>
      </c>
      <c r="U22" s="257"/>
      <c r="V22" s="257">
        <v>225</v>
      </c>
      <c r="W22" s="258">
        <v>540</v>
      </c>
      <c r="X22" s="258">
        <v>337.014</v>
      </c>
      <c r="Y22" s="258">
        <v>0</v>
      </c>
      <c r="Z22" s="259">
        <v>2</v>
      </c>
      <c r="AA22" s="259" t="s">
        <v>291</v>
      </c>
      <c r="AB22" s="257">
        <v>1</v>
      </c>
      <c r="AC22" s="257"/>
    </row>
    <row r="24" ht="13.5" thickBot="1"/>
    <row r="25" spans="1:29" ht="26.25" thickBot="1">
      <c r="A25" s="99" t="s">
        <v>0</v>
      </c>
      <c r="B25" s="100" t="s">
        <v>1</v>
      </c>
      <c r="C25" s="101" t="s">
        <v>29</v>
      </c>
      <c r="D25" s="101" t="s">
        <v>171</v>
      </c>
      <c r="E25" s="101" t="s">
        <v>173</v>
      </c>
      <c r="F25" s="107" t="s">
        <v>196</v>
      </c>
      <c r="G25" s="102" t="s">
        <v>22</v>
      </c>
      <c r="H25" s="102" t="s">
        <v>23</v>
      </c>
      <c r="I25" s="102" t="s">
        <v>24</v>
      </c>
      <c r="J25" s="102" t="s">
        <v>25</v>
      </c>
      <c r="K25" s="101" t="s">
        <v>11</v>
      </c>
      <c r="L25" s="102" t="s">
        <v>12</v>
      </c>
      <c r="M25" s="102" t="s">
        <v>13</v>
      </c>
      <c r="N25" s="102" t="s">
        <v>14</v>
      </c>
      <c r="O25" s="102" t="s">
        <v>158</v>
      </c>
      <c r="P25" s="101" t="s">
        <v>15</v>
      </c>
      <c r="Q25" s="101" t="s">
        <v>16</v>
      </c>
      <c r="R25" s="102" t="s">
        <v>17</v>
      </c>
      <c r="S25" s="102" t="s">
        <v>18</v>
      </c>
      <c r="T25" s="102" t="s">
        <v>19</v>
      </c>
      <c r="U25" s="102" t="s">
        <v>20</v>
      </c>
      <c r="V25" s="102" t="s">
        <v>21</v>
      </c>
      <c r="W25" s="142" t="s">
        <v>69</v>
      </c>
      <c r="X25" s="143" t="s">
        <v>135</v>
      </c>
      <c r="Y25" s="143" t="s">
        <v>140</v>
      </c>
      <c r="Z25" s="140" t="s">
        <v>183</v>
      </c>
      <c r="AA25" s="140" t="s">
        <v>31</v>
      </c>
      <c r="AB25" s="101" t="s">
        <v>184</v>
      </c>
      <c r="AC25" s="123" t="s">
        <v>45</v>
      </c>
    </row>
    <row r="26" spans="1:28" ht="12.75">
      <c r="A26" s="144" t="s">
        <v>236</v>
      </c>
      <c r="B26" s="5">
        <v>42</v>
      </c>
      <c r="C26" s="144" t="s">
        <v>202</v>
      </c>
      <c r="D26" s="5">
        <v>130</v>
      </c>
      <c r="E26" s="144">
        <v>132</v>
      </c>
      <c r="F26" s="5">
        <v>1.1295</v>
      </c>
      <c r="G26" s="144">
        <v>-248.0175</v>
      </c>
      <c r="H26" s="5">
        <v>248.0175</v>
      </c>
      <c r="I26" s="144">
        <v>275.575</v>
      </c>
      <c r="J26" s="144">
        <v>0</v>
      </c>
      <c r="K26" s="144">
        <v>275.575</v>
      </c>
      <c r="L26" s="5">
        <v>148.81050000000002</v>
      </c>
      <c r="M26" s="144">
        <v>-165.345</v>
      </c>
      <c r="N26" s="144">
        <v>-165.345</v>
      </c>
      <c r="O26" s="144">
        <v>0</v>
      </c>
      <c r="P26" s="5">
        <v>148.81050000000002</v>
      </c>
      <c r="Q26" s="5">
        <v>424.38550000000004</v>
      </c>
      <c r="R26" s="144">
        <v>275.575</v>
      </c>
      <c r="S26" s="144">
        <v>303.1325</v>
      </c>
      <c r="T26" s="144">
        <v>308.644</v>
      </c>
      <c r="U26" s="5">
        <v>0</v>
      </c>
      <c r="V26" s="5">
        <v>308.644</v>
      </c>
      <c r="W26" s="141">
        <v>733.0295</v>
      </c>
      <c r="X26" s="141">
        <v>375.55875</v>
      </c>
      <c r="Y26" s="141">
        <v>383.06992499999996</v>
      </c>
      <c r="Z26" s="139">
        <v>2</v>
      </c>
      <c r="AA26" s="139" t="s">
        <v>281</v>
      </c>
      <c r="AB26" s="5">
        <v>7</v>
      </c>
    </row>
    <row r="27" spans="1:28" ht="12.75">
      <c r="A27" s="144" t="s">
        <v>232</v>
      </c>
      <c r="B27" s="5">
        <v>56</v>
      </c>
      <c r="C27" s="144" t="s">
        <v>200</v>
      </c>
      <c r="D27" s="5">
        <v>102</v>
      </c>
      <c r="E27" s="144">
        <v>105</v>
      </c>
      <c r="F27" s="5">
        <v>1.3594</v>
      </c>
      <c r="G27" s="144">
        <v>93.69550000000001</v>
      </c>
      <c r="H27" s="5">
        <v>99.20700000000001</v>
      </c>
      <c r="I27" s="144">
        <v>104.7185</v>
      </c>
      <c r="J27" s="144">
        <v>0</v>
      </c>
      <c r="K27" s="144">
        <v>104.7185</v>
      </c>
      <c r="L27" s="5">
        <v>-77.161</v>
      </c>
      <c r="M27" s="144">
        <v>77.161</v>
      </c>
      <c r="N27" s="144">
        <v>-82.6725</v>
      </c>
      <c r="O27" s="144">
        <v>0</v>
      </c>
      <c r="P27" s="5">
        <v>77.161</v>
      </c>
      <c r="Q27" s="5">
        <v>181.8795</v>
      </c>
      <c r="R27" s="144">
        <v>126.76450000000001</v>
      </c>
      <c r="S27" s="144">
        <v>159.83350000000002</v>
      </c>
      <c r="T27" s="144">
        <v>-176.368</v>
      </c>
      <c r="U27" s="5">
        <v>0</v>
      </c>
      <c r="V27" s="5">
        <v>159.83350000000002</v>
      </c>
      <c r="W27" s="141">
        <v>341.713</v>
      </c>
      <c r="X27" s="141">
        <v>210.707</v>
      </c>
      <c r="Y27" s="141">
        <v>262.54092199999997</v>
      </c>
      <c r="Z27" s="139">
        <v>2</v>
      </c>
      <c r="AA27" s="139" t="s">
        <v>279</v>
      </c>
      <c r="AB27" s="5">
        <v>7</v>
      </c>
    </row>
    <row r="28" spans="1:28" ht="12.75">
      <c r="A28" s="144" t="s">
        <v>233</v>
      </c>
      <c r="B28" s="5">
        <v>72</v>
      </c>
      <c r="C28" s="144" t="s">
        <v>230</v>
      </c>
      <c r="D28" s="5">
        <v>146</v>
      </c>
      <c r="E28" s="144">
        <v>148</v>
      </c>
      <c r="F28" s="5">
        <v>0.7832</v>
      </c>
      <c r="G28" s="144">
        <v>187.39100000000002</v>
      </c>
      <c r="H28" s="5">
        <v>198.41400000000002</v>
      </c>
      <c r="I28" s="144">
        <v>-214.94850000000002</v>
      </c>
      <c r="J28" s="144">
        <v>0</v>
      </c>
      <c r="K28" s="144">
        <v>198.41400000000002</v>
      </c>
      <c r="L28" s="5">
        <v>209.437</v>
      </c>
      <c r="M28" s="144">
        <v>220.46</v>
      </c>
      <c r="N28" s="144">
        <v>231.483</v>
      </c>
      <c r="O28" s="144">
        <v>0</v>
      </c>
      <c r="P28" s="5">
        <v>231.483</v>
      </c>
      <c r="Q28" s="5">
        <v>429.89700000000005</v>
      </c>
      <c r="R28" s="144">
        <v>363.759</v>
      </c>
      <c r="S28" s="144">
        <v>385.805</v>
      </c>
      <c r="T28" s="144">
        <v>396.82800000000003</v>
      </c>
      <c r="U28" s="5">
        <v>0</v>
      </c>
      <c r="V28" s="5">
        <v>396.82800000000003</v>
      </c>
      <c r="W28" s="141">
        <v>826.725</v>
      </c>
      <c r="X28" s="141">
        <v>293.7</v>
      </c>
      <c r="Y28" s="141">
        <v>504.5766</v>
      </c>
      <c r="Z28" s="139">
        <v>2</v>
      </c>
      <c r="AA28" s="139" t="s">
        <v>284</v>
      </c>
      <c r="AB28" s="5">
        <v>7</v>
      </c>
    </row>
    <row r="29" spans="1:28" ht="12.75">
      <c r="A29" s="144" t="s">
        <v>264</v>
      </c>
      <c r="B29" s="5">
        <v>38</v>
      </c>
      <c r="C29" s="144" t="s">
        <v>213</v>
      </c>
      <c r="D29" s="5">
        <v>274</v>
      </c>
      <c r="E29" s="144">
        <v>275</v>
      </c>
      <c r="F29" s="5">
        <v>0.5705</v>
      </c>
      <c r="G29" s="144">
        <v>959.0010000000001</v>
      </c>
      <c r="H29" s="5">
        <v>1014.1160000000001</v>
      </c>
      <c r="I29" s="144">
        <v>0</v>
      </c>
      <c r="J29" s="144">
        <v>0</v>
      </c>
      <c r="K29" s="144">
        <v>1014.1160000000001</v>
      </c>
      <c r="L29" s="5">
        <v>661.38</v>
      </c>
      <c r="M29" s="144">
        <v>710.9835</v>
      </c>
      <c r="N29" s="144">
        <v>-733.0295</v>
      </c>
      <c r="O29" s="144">
        <v>0</v>
      </c>
      <c r="P29" s="5">
        <v>710.9835</v>
      </c>
      <c r="Q29" s="5">
        <v>1725.0995</v>
      </c>
      <c r="R29" s="144">
        <v>688.9375</v>
      </c>
      <c r="S29" s="144">
        <v>727.518</v>
      </c>
      <c r="T29" s="144">
        <v>760.587</v>
      </c>
      <c r="U29" s="5">
        <v>0</v>
      </c>
      <c r="V29" s="5">
        <v>760.587</v>
      </c>
      <c r="W29" s="141">
        <v>2485.6865000000003</v>
      </c>
      <c r="X29" s="141">
        <v>643.23875</v>
      </c>
      <c r="Y29" s="141">
        <v>0</v>
      </c>
      <c r="Z29" s="139">
        <v>2</v>
      </c>
      <c r="AA29" s="139" t="s">
        <v>298</v>
      </c>
      <c r="AB29" s="5">
        <v>7</v>
      </c>
    </row>
    <row r="30" spans="1:28" ht="12.75">
      <c r="A30" s="144" t="s">
        <v>263</v>
      </c>
      <c r="B30" s="5">
        <v>22</v>
      </c>
      <c r="C30" s="144" t="s">
        <v>213</v>
      </c>
      <c r="D30" s="5">
        <v>270</v>
      </c>
      <c r="E30" s="144">
        <v>275</v>
      </c>
      <c r="F30" s="5">
        <v>0.5723</v>
      </c>
      <c r="G30" s="144">
        <v>705.472</v>
      </c>
      <c r="H30" s="5">
        <v>738.541</v>
      </c>
      <c r="I30" s="144">
        <v>755.0755</v>
      </c>
      <c r="J30" s="144">
        <v>0</v>
      </c>
      <c r="K30" s="144">
        <v>755.0755</v>
      </c>
      <c r="L30" s="5">
        <v>-562.173</v>
      </c>
      <c r="M30" s="144">
        <v>562.173</v>
      </c>
      <c r="N30" s="144">
        <v>-578.7075</v>
      </c>
      <c r="O30" s="144">
        <v>0</v>
      </c>
      <c r="P30" s="5">
        <v>562.173</v>
      </c>
      <c r="Q30" s="5">
        <v>1317.2485000000001</v>
      </c>
      <c r="R30" s="144">
        <v>606.265</v>
      </c>
      <c r="S30" s="144">
        <v>644.8455</v>
      </c>
      <c r="T30" s="144">
        <v>-677.9145000000001</v>
      </c>
      <c r="U30" s="5">
        <v>0</v>
      </c>
      <c r="V30" s="5">
        <v>644.8455</v>
      </c>
      <c r="W30" s="141">
        <v>1962.094</v>
      </c>
      <c r="X30" s="141">
        <v>509.34700000000004</v>
      </c>
      <c r="Y30" s="141">
        <v>514.44047</v>
      </c>
      <c r="Z30" s="139">
        <v>2</v>
      </c>
      <c r="AA30" s="139" t="s">
        <v>296</v>
      </c>
      <c r="AB30" s="5">
        <v>5</v>
      </c>
    </row>
    <row r="31" spans="1:28" ht="12.75">
      <c r="A31" s="144" t="s">
        <v>262</v>
      </c>
      <c r="B31" s="5">
        <v>21</v>
      </c>
      <c r="C31" s="144" t="s">
        <v>213</v>
      </c>
      <c r="D31" s="5">
        <v>218</v>
      </c>
      <c r="E31" s="144">
        <v>220</v>
      </c>
      <c r="F31" s="5">
        <v>0.6113</v>
      </c>
      <c r="G31" s="144">
        <v>-705.472</v>
      </c>
      <c r="H31" s="5">
        <v>749.5640000000001</v>
      </c>
      <c r="I31" s="144">
        <v>-804.6790000000001</v>
      </c>
      <c r="J31" s="144">
        <v>0</v>
      </c>
      <c r="K31" s="144">
        <v>749.5640000000001</v>
      </c>
      <c r="L31" s="5">
        <v>462.966</v>
      </c>
      <c r="M31" s="144">
        <v>512.5695000000001</v>
      </c>
      <c r="N31" s="144">
        <v>-540.1270000000001</v>
      </c>
      <c r="O31" s="144">
        <v>0</v>
      </c>
      <c r="P31" s="5">
        <v>512.5695000000001</v>
      </c>
      <c r="Q31" s="5">
        <v>1262.1335000000001</v>
      </c>
      <c r="R31" s="144">
        <v>562.173</v>
      </c>
      <c r="S31" s="144">
        <v>-617.288</v>
      </c>
      <c r="T31" s="144">
        <v>-617.288</v>
      </c>
      <c r="U31" s="5">
        <v>0</v>
      </c>
      <c r="V31" s="5">
        <v>562.173</v>
      </c>
      <c r="W31" s="141">
        <v>1824.3065000000001</v>
      </c>
      <c r="X31" s="141">
        <v>505.85074999999995</v>
      </c>
      <c r="Y31" s="141">
        <v>515.967765</v>
      </c>
      <c r="Z31" s="139">
        <v>2</v>
      </c>
      <c r="AA31" s="139" t="s">
        <v>294</v>
      </c>
      <c r="AB31" s="5">
        <v>3</v>
      </c>
    </row>
    <row r="32" spans="1:28" ht="12.75">
      <c r="A32" s="144" t="s">
        <v>260</v>
      </c>
      <c r="B32" s="5">
        <v>31</v>
      </c>
      <c r="C32" s="144" t="s">
        <v>213</v>
      </c>
      <c r="D32" s="5">
        <v>233</v>
      </c>
      <c r="E32" s="144">
        <v>242</v>
      </c>
      <c r="F32" s="5">
        <v>0.5962</v>
      </c>
      <c r="G32" s="144">
        <v>644.8455</v>
      </c>
      <c r="H32" s="5">
        <v>-683.426</v>
      </c>
      <c r="I32" s="144">
        <v>-705.472</v>
      </c>
      <c r="J32" s="144">
        <v>0</v>
      </c>
      <c r="K32" s="144">
        <v>644.8455</v>
      </c>
      <c r="L32" s="5">
        <v>446.4315</v>
      </c>
      <c r="M32" s="144">
        <v>507.05800000000005</v>
      </c>
      <c r="N32" s="144">
        <v>-518.081</v>
      </c>
      <c r="O32" s="144">
        <v>0</v>
      </c>
      <c r="P32" s="5">
        <v>507.05800000000005</v>
      </c>
      <c r="Q32" s="5">
        <v>1151.9035000000001</v>
      </c>
      <c r="R32" s="144">
        <v>584.219</v>
      </c>
      <c r="S32" s="144">
        <v>644.8455</v>
      </c>
      <c r="T32" s="144">
        <v>672.403</v>
      </c>
      <c r="U32" s="5">
        <v>0</v>
      </c>
      <c r="V32" s="5">
        <v>672.403</v>
      </c>
      <c r="W32" s="141">
        <v>1824.3065000000001</v>
      </c>
      <c r="X32" s="141">
        <v>493.35549999999995</v>
      </c>
      <c r="Y32" s="141">
        <v>0</v>
      </c>
      <c r="Z32" s="139">
        <v>2</v>
      </c>
      <c r="AA32" s="139" t="s">
        <v>295</v>
      </c>
      <c r="AB32" s="5">
        <v>2</v>
      </c>
    </row>
    <row r="33" spans="1:28" ht="12.75">
      <c r="A33" s="144" t="s">
        <v>241</v>
      </c>
      <c r="B33" s="5">
        <v>26</v>
      </c>
      <c r="C33" s="144" t="s">
        <v>213</v>
      </c>
      <c r="D33" s="5">
        <v>198</v>
      </c>
      <c r="E33" s="144">
        <v>198</v>
      </c>
      <c r="F33" s="5">
        <v>0.6391</v>
      </c>
      <c r="G33" s="144">
        <v>573.196</v>
      </c>
      <c r="H33" s="5">
        <v>600.7535</v>
      </c>
      <c r="I33" s="144">
        <v>-661.38</v>
      </c>
      <c r="J33" s="144">
        <v>0</v>
      </c>
      <c r="K33" s="144">
        <v>600.7535</v>
      </c>
      <c r="L33" s="5">
        <v>473.98900000000003</v>
      </c>
      <c r="M33" s="144">
        <v>501.54650000000004</v>
      </c>
      <c r="N33" s="144">
        <v>-523.5925</v>
      </c>
      <c r="O33" s="144">
        <v>0</v>
      </c>
      <c r="P33" s="5">
        <v>501.54650000000004</v>
      </c>
      <c r="Q33" s="5">
        <v>1102.3</v>
      </c>
      <c r="R33" s="144">
        <v>529.104</v>
      </c>
      <c r="S33" s="144">
        <v>556.6615</v>
      </c>
      <c r="T33" s="144">
        <v>-573.196</v>
      </c>
      <c r="U33" s="5">
        <v>0</v>
      </c>
      <c r="V33" s="5">
        <v>556.6615</v>
      </c>
      <c r="W33" s="141">
        <v>1658.9615000000001</v>
      </c>
      <c r="X33" s="141">
        <v>480.92275</v>
      </c>
      <c r="Y33" s="141">
        <v>0</v>
      </c>
      <c r="Z33" s="139">
        <v>2</v>
      </c>
      <c r="AA33" s="139" t="s">
        <v>288</v>
      </c>
      <c r="AB33" s="5">
        <v>1</v>
      </c>
    </row>
    <row r="34" spans="1:28" ht="12.75">
      <c r="A34" s="144" t="s">
        <v>261</v>
      </c>
      <c r="B34" s="5">
        <v>43</v>
      </c>
      <c r="C34" s="144" t="s">
        <v>213</v>
      </c>
      <c r="D34" s="5">
        <v>242</v>
      </c>
      <c r="E34" s="144">
        <v>242</v>
      </c>
      <c r="F34" s="5">
        <v>0.5888</v>
      </c>
      <c r="G34" s="144">
        <v>650.3570000000001</v>
      </c>
      <c r="H34" s="5">
        <v>705.472</v>
      </c>
      <c r="I34" s="144">
        <v>-749.5640000000001</v>
      </c>
      <c r="J34" s="144">
        <v>0</v>
      </c>
      <c r="K34" s="144">
        <v>705.472</v>
      </c>
      <c r="L34" s="5">
        <v>429.89700000000005</v>
      </c>
      <c r="M34" s="144">
        <v>462.966</v>
      </c>
      <c r="N34" s="144">
        <v>-485.012</v>
      </c>
      <c r="O34" s="144">
        <v>0</v>
      </c>
      <c r="P34" s="5">
        <v>462.966</v>
      </c>
      <c r="Q34" s="5">
        <v>1168.438</v>
      </c>
      <c r="R34" s="144">
        <v>402.33950000000004</v>
      </c>
      <c r="S34" s="144">
        <v>501.54650000000004</v>
      </c>
      <c r="T34" s="144">
        <v>0</v>
      </c>
      <c r="U34" s="5">
        <v>0</v>
      </c>
      <c r="V34" s="5">
        <v>501.54650000000004</v>
      </c>
      <c r="W34" s="141">
        <v>1669.9845</v>
      </c>
      <c r="X34" s="141">
        <v>446.016</v>
      </c>
      <c r="Y34" s="141">
        <v>459.842496</v>
      </c>
      <c r="Z34" s="139">
        <v>2</v>
      </c>
      <c r="AA34" s="139" t="s">
        <v>290</v>
      </c>
      <c r="AB34" s="5">
        <v>1</v>
      </c>
    </row>
    <row r="35" spans="1:28" ht="12.75">
      <c r="A35" s="144" t="s">
        <v>235</v>
      </c>
      <c r="B35" s="5">
        <v>41</v>
      </c>
      <c r="C35" s="144" t="s">
        <v>205</v>
      </c>
      <c r="D35" s="5">
        <v>181.75</v>
      </c>
      <c r="E35" s="144">
        <v>181</v>
      </c>
      <c r="F35" s="5">
        <v>0.6704</v>
      </c>
      <c r="G35" s="144">
        <v>248.0175</v>
      </c>
      <c r="H35" s="5">
        <v>275.575</v>
      </c>
      <c r="I35" s="144">
        <v>-292.1095</v>
      </c>
      <c r="J35" s="144">
        <v>0</v>
      </c>
      <c r="K35" s="144">
        <v>275.575</v>
      </c>
      <c r="L35" s="5">
        <v>225.97150000000002</v>
      </c>
      <c r="M35" s="144">
        <v>242.506</v>
      </c>
      <c r="N35" s="144">
        <v>259.0405</v>
      </c>
      <c r="O35" s="144">
        <v>0</v>
      </c>
      <c r="P35" s="5">
        <v>259.0405</v>
      </c>
      <c r="Q35" s="5">
        <v>534.6155</v>
      </c>
      <c r="R35" s="144">
        <v>330.69</v>
      </c>
      <c r="S35" s="144">
        <v>358.2475</v>
      </c>
      <c r="T35" s="144">
        <v>369.2705</v>
      </c>
      <c r="U35" s="5">
        <v>0</v>
      </c>
      <c r="V35" s="5">
        <v>369.2705</v>
      </c>
      <c r="W35" s="141">
        <v>903.8860000000001</v>
      </c>
      <c r="X35" s="141">
        <v>274.864</v>
      </c>
      <c r="Y35" s="141">
        <v>277.61264</v>
      </c>
      <c r="Z35" s="139">
        <v>2</v>
      </c>
      <c r="AA35" s="139" t="s">
        <v>283</v>
      </c>
      <c r="AB35" s="5">
        <v>7</v>
      </c>
    </row>
    <row r="36" spans="1:28" ht="12.75">
      <c r="A36" s="144" t="s">
        <v>234</v>
      </c>
      <c r="B36" s="5">
        <v>42</v>
      </c>
      <c r="C36" s="144" t="s">
        <v>205</v>
      </c>
      <c r="D36" s="5">
        <v>196</v>
      </c>
      <c r="E36" s="144">
        <v>198</v>
      </c>
      <c r="F36" s="5">
        <v>0.6424</v>
      </c>
      <c r="G36" s="144">
        <v>214.94850000000002</v>
      </c>
      <c r="H36" s="5">
        <v>-220.46</v>
      </c>
      <c r="I36" s="144">
        <v>220.46</v>
      </c>
      <c r="J36" s="144">
        <v>0</v>
      </c>
      <c r="K36" s="144">
        <v>220.46</v>
      </c>
      <c r="L36" s="5">
        <v>225.97150000000002</v>
      </c>
      <c r="M36" s="144">
        <v>242.506</v>
      </c>
      <c r="N36" s="144">
        <v>-253.52900000000002</v>
      </c>
      <c r="O36" s="144">
        <v>0</v>
      </c>
      <c r="P36" s="5">
        <v>242.506</v>
      </c>
      <c r="Q36" s="5">
        <v>462.966</v>
      </c>
      <c r="R36" s="144">
        <v>225.97150000000002</v>
      </c>
      <c r="S36" s="144">
        <v>275.575</v>
      </c>
      <c r="T36" s="144">
        <v>319.66700000000003</v>
      </c>
      <c r="U36" s="5">
        <v>0</v>
      </c>
      <c r="V36" s="5">
        <v>319.66700000000003</v>
      </c>
      <c r="W36" s="141">
        <v>782.633</v>
      </c>
      <c r="X36" s="141">
        <v>228.052</v>
      </c>
      <c r="Y36" s="141">
        <v>232.61303999999998</v>
      </c>
      <c r="Z36" s="139">
        <v>2</v>
      </c>
      <c r="AA36" s="139" t="s">
        <v>280</v>
      </c>
      <c r="AB36" s="5">
        <v>5</v>
      </c>
    </row>
    <row r="37" spans="1:28" ht="12.75">
      <c r="A37" s="144" t="s">
        <v>239</v>
      </c>
      <c r="B37" s="5">
        <v>36</v>
      </c>
      <c r="C37" s="144" t="s">
        <v>204</v>
      </c>
      <c r="D37" s="5">
        <v>178</v>
      </c>
      <c r="E37" s="144">
        <v>181</v>
      </c>
      <c r="F37" s="5">
        <v>0.679</v>
      </c>
      <c r="G37" s="144">
        <v>336.2015</v>
      </c>
      <c r="H37" s="5">
        <v>352.736</v>
      </c>
      <c r="I37" s="144">
        <v>402.33950000000004</v>
      </c>
      <c r="J37" s="144">
        <v>0</v>
      </c>
      <c r="K37" s="144">
        <v>402.33950000000004</v>
      </c>
      <c r="L37" s="5">
        <v>341.713</v>
      </c>
      <c r="M37" s="144">
        <v>-358.2475</v>
      </c>
      <c r="N37" s="144">
        <v>-380.2935</v>
      </c>
      <c r="O37" s="144">
        <v>0</v>
      </c>
      <c r="P37" s="5">
        <v>341.713</v>
      </c>
      <c r="Q37" s="5">
        <v>744.0525</v>
      </c>
      <c r="R37" s="144">
        <v>440.92</v>
      </c>
      <c r="S37" s="144">
        <v>462.966</v>
      </c>
      <c r="T37" s="144">
        <v>473.98900000000003</v>
      </c>
      <c r="U37" s="5">
        <v>0</v>
      </c>
      <c r="V37" s="5">
        <v>473.98900000000003</v>
      </c>
      <c r="W37" s="141">
        <v>1218.0415</v>
      </c>
      <c r="X37" s="141">
        <v>375.14750000000004</v>
      </c>
      <c r="Y37" s="141">
        <v>0</v>
      </c>
      <c r="Z37" s="139">
        <v>2</v>
      </c>
      <c r="AA37" s="139" t="s">
        <v>286</v>
      </c>
      <c r="AB37" s="5">
        <v>7</v>
      </c>
    </row>
    <row r="38" spans="1:28" ht="12.75">
      <c r="A38" s="144" t="s">
        <v>257</v>
      </c>
      <c r="B38" s="5">
        <v>38</v>
      </c>
      <c r="C38" s="144" t="s">
        <v>204</v>
      </c>
      <c r="D38" s="5">
        <v>242</v>
      </c>
      <c r="E38" s="144">
        <v>242</v>
      </c>
      <c r="F38" s="5">
        <v>0.5888</v>
      </c>
      <c r="G38" s="144">
        <v>407.851</v>
      </c>
      <c r="H38" s="5">
        <v>473.98900000000003</v>
      </c>
      <c r="I38" s="144">
        <v>-529.104</v>
      </c>
      <c r="J38" s="144">
        <v>0</v>
      </c>
      <c r="K38" s="144">
        <v>473.98900000000003</v>
      </c>
      <c r="L38" s="5">
        <v>325.17850000000004</v>
      </c>
      <c r="M38" s="144">
        <v>-385.805</v>
      </c>
      <c r="N38" s="144">
        <v>-385.805</v>
      </c>
      <c r="O38" s="144">
        <v>0</v>
      </c>
      <c r="P38" s="5">
        <v>325.17850000000004</v>
      </c>
      <c r="Q38" s="5">
        <v>799.1675</v>
      </c>
      <c r="R38" s="144">
        <v>496.035</v>
      </c>
      <c r="S38" s="144">
        <v>534.6155</v>
      </c>
      <c r="T38" s="144">
        <v>556.6615</v>
      </c>
      <c r="U38" s="5">
        <v>0</v>
      </c>
      <c r="V38" s="5">
        <v>556.6615</v>
      </c>
      <c r="W38" s="141">
        <v>1355.8290000000002</v>
      </c>
      <c r="X38" s="141">
        <v>362.11199999999997</v>
      </c>
      <c r="Y38" s="141">
        <v>0</v>
      </c>
      <c r="Z38" s="139">
        <v>2</v>
      </c>
      <c r="AA38" s="139" t="s">
        <v>293</v>
      </c>
      <c r="AB38" s="5">
        <v>5</v>
      </c>
    </row>
    <row r="39" spans="1:28" ht="12.75">
      <c r="A39" s="144" t="s">
        <v>259</v>
      </c>
      <c r="B39" s="5">
        <v>23</v>
      </c>
      <c r="C39" s="144" t="s">
        <v>203</v>
      </c>
      <c r="D39" s="5">
        <v>242</v>
      </c>
      <c r="E39" s="144">
        <v>242</v>
      </c>
      <c r="F39" s="5">
        <v>0.5888</v>
      </c>
      <c r="G39" s="144">
        <v>551.15</v>
      </c>
      <c r="H39" s="5">
        <v>600.7535</v>
      </c>
      <c r="I39" s="144">
        <v>650.3570000000001</v>
      </c>
      <c r="J39" s="144">
        <v>0</v>
      </c>
      <c r="K39" s="144">
        <v>650.3570000000001</v>
      </c>
      <c r="L39" s="5">
        <v>-418.874</v>
      </c>
      <c r="M39" s="144">
        <v>435.4085</v>
      </c>
      <c r="N39" s="144">
        <v>451.94300000000004</v>
      </c>
      <c r="O39" s="144">
        <v>0</v>
      </c>
      <c r="P39" s="5">
        <v>451.94300000000004</v>
      </c>
      <c r="Q39" s="5">
        <v>1102.3</v>
      </c>
      <c r="R39" s="144">
        <v>650.3570000000001</v>
      </c>
      <c r="S39" s="144">
        <v>677.9145000000001</v>
      </c>
      <c r="T39" s="144">
        <v>-705.472</v>
      </c>
      <c r="U39" s="5">
        <v>0</v>
      </c>
      <c r="V39" s="5">
        <v>677.9145000000001</v>
      </c>
      <c r="W39" s="141">
        <v>1780.2145</v>
      </c>
      <c r="X39" s="141">
        <v>475.456</v>
      </c>
      <c r="Y39" s="141">
        <v>0</v>
      </c>
      <c r="Z39" s="139">
        <v>2</v>
      </c>
      <c r="AA39" s="139" t="s">
        <v>297</v>
      </c>
      <c r="AB39" s="5">
        <v>7</v>
      </c>
    </row>
    <row r="40" spans="1:28" ht="12.75">
      <c r="A40" s="144" t="s">
        <v>242</v>
      </c>
      <c r="B40" s="5">
        <v>22</v>
      </c>
      <c r="C40" s="144" t="s">
        <v>203</v>
      </c>
      <c r="D40" s="5">
        <v>186</v>
      </c>
      <c r="E40" s="144">
        <v>198</v>
      </c>
      <c r="F40" s="5">
        <v>0.661</v>
      </c>
      <c r="G40" s="144">
        <v>584.219</v>
      </c>
      <c r="H40" s="5">
        <v>-600.7535</v>
      </c>
      <c r="I40" s="144">
        <v>-600.7535</v>
      </c>
      <c r="J40" s="144">
        <v>0</v>
      </c>
      <c r="K40" s="144">
        <v>584.219</v>
      </c>
      <c r="L40" s="5">
        <v>391.3165</v>
      </c>
      <c r="M40" s="144">
        <v>413.3625</v>
      </c>
      <c r="N40" s="144">
        <v>-435.4085</v>
      </c>
      <c r="O40" s="144">
        <v>0</v>
      </c>
      <c r="P40" s="5">
        <v>413.3625</v>
      </c>
      <c r="Q40" s="5">
        <v>997.5815</v>
      </c>
      <c r="R40" s="144">
        <v>573.196</v>
      </c>
      <c r="S40" s="144">
        <v>-617.288</v>
      </c>
      <c r="T40" s="144">
        <v>-617.288</v>
      </c>
      <c r="U40" s="5">
        <v>0</v>
      </c>
      <c r="V40" s="5">
        <v>573.196</v>
      </c>
      <c r="W40" s="141">
        <v>1570.7775000000001</v>
      </c>
      <c r="X40" s="141">
        <v>470.96250000000003</v>
      </c>
      <c r="Y40" s="141">
        <v>475.67212500000005</v>
      </c>
      <c r="Z40" s="139">
        <v>2</v>
      </c>
      <c r="AA40" s="139" t="s">
        <v>289</v>
      </c>
      <c r="AB40" s="5">
        <v>5</v>
      </c>
    </row>
    <row r="41" spans="1:28" ht="12.75">
      <c r="A41" s="144" t="s">
        <v>240</v>
      </c>
      <c r="B41" s="5">
        <v>22</v>
      </c>
      <c r="C41" s="144" t="s">
        <v>203</v>
      </c>
      <c r="D41" s="5">
        <v>181.25</v>
      </c>
      <c r="E41" s="144">
        <v>181</v>
      </c>
      <c r="F41" s="5">
        <v>0.6714</v>
      </c>
      <c r="G41" s="144">
        <v>402.33950000000004</v>
      </c>
      <c r="H41" s="5">
        <v>418.874</v>
      </c>
      <c r="I41" s="144">
        <v>-440.92</v>
      </c>
      <c r="J41" s="144">
        <v>0</v>
      </c>
      <c r="K41" s="144">
        <v>418.874</v>
      </c>
      <c r="L41" s="5">
        <v>292.1095</v>
      </c>
      <c r="M41" s="144">
        <v>314.1555</v>
      </c>
      <c r="N41" s="144">
        <v>-325.17850000000004</v>
      </c>
      <c r="O41" s="144">
        <v>0</v>
      </c>
      <c r="P41" s="5">
        <v>314.1555</v>
      </c>
      <c r="Q41" s="5">
        <v>733.0295</v>
      </c>
      <c r="R41" s="144">
        <v>451.94300000000004</v>
      </c>
      <c r="S41" s="144">
        <v>485.012</v>
      </c>
      <c r="T41" s="144">
        <v>-490.5235</v>
      </c>
      <c r="U41" s="5">
        <v>0</v>
      </c>
      <c r="V41" s="5">
        <v>485.012</v>
      </c>
      <c r="W41" s="141">
        <v>1218.0415</v>
      </c>
      <c r="X41" s="141">
        <v>370.9485</v>
      </c>
      <c r="Y41" s="141">
        <v>374.65798500000005</v>
      </c>
      <c r="Z41" s="139">
        <v>2</v>
      </c>
      <c r="AA41" s="139" t="s">
        <v>287</v>
      </c>
      <c r="AB41" s="5">
        <v>3</v>
      </c>
    </row>
    <row r="42" spans="1:28" ht="12.75">
      <c r="A42" s="144" t="s">
        <v>238</v>
      </c>
      <c r="B42" s="5">
        <v>23</v>
      </c>
      <c r="C42" s="144" t="s">
        <v>203</v>
      </c>
      <c r="D42" s="5">
        <v>123</v>
      </c>
      <c r="E42" s="144">
        <v>123</v>
      </c>
      <c r="F42" s="5">
        <v>0.9135</v>
      </c>
      <c r="G42" s="144">
        <v>292.1095</v>
      </c>
      <c r="H42" s="5">
        <v>-341.713</v>
      </c>
      <c r="I42" s="144">
        <v>-341.713</v>
      </c>
      <c r="J42" s="144">
        <v>0</v>
      </c>
      <c r="K42" s="144">
        <v>292.1095</v>
      </c>
      <c r="L42" s="5">
        <v>231.483</v>
      </c>
      <c r="M42" s="144">
        <v>-242.506</v>
      </c>
      <c r="N42" s="144">
        <v>-242.506</v>
      </c>
      <c r="O42" s="144">
        <v>0</v>
      </c>
      <c r="P42" s="5">
        <v>231.483</v>
      </c>
      <c r="Q42" s="5">
        <v>523.5925</v>
      </c>
      <c r="R42" s="144">
        <v>325.17850000000004</v>
      </c>
      <c r="S42" s="144">
        <v>358.2475</v>
      </c>
      <c r="T42" s="144">
        <v>0</v>
      </c>
      <c r="U42" s="5">
        <v>0</v>
      </c>
      <c r="V42" s="5">
        <v>358.2475</v>
      </c>
      <c r="W42" s="141">
        <v>881.84</v>
      </c>
      <c r="X42" s="141">
        <v>365.4</v>
      </c>
      <c r="Y42" s="141">
        <v>0</v>
      </c>
      <c r="Z42" s="139">
        <v>2</v>
      </c>
      <c r="AA42" s="139" t="s">
        <v>282</v>
      </c>
      <c r="AB42" s="5">
        <v>2</v>
      </c>
    </row>
    <row r="43" spans="1:28" ht="12.75">
      <c r="A43" s="144" t="s">
        <v>258</v>
      </c>
      <c r="B43" s="5">
        <v>21</v>
      </c>
      <c r="C43" s="144" t="s">
        <v>203</v>
      </c>
      <c r="D43" s="5">
        <v>260</v>
      </c>
      <c r="E43" s="144">
        <v>275</v>
      </c>
      <c r="F43" s="5">
        <v>0.5774</v>
      </c>
      <c r="G43" s="144">
        <v>473.98900000000003</v>
      </c>
      <c r="H43" s="5">
        <v>501.54650000000004</v>
      </c>
      <c r="I43" s="144">
        <v>529.104</v>
      </c>
      <c r="J43" s="144">
        <v>0</v>
      </c>
      <c r="K43" s="144">
        <v>529.104</v>
      </c>
      <c r="L43" s="5">
        <v>308.644</v>
      </c>
      <c r="M43" s="144">
        <v>330.69</v>
      </c>
      <c r="N43" s="144">
        <v>352.736</v>
      </c>
      <c r="O43" s="144">
        <v>0</v>
      </c>
      <c r="P43" s="5">
        <v>352.736</v>
      </c>
      <c r="Q43" s="5">
        <v>881.84</v>
      </c>
      <c r="R43" s="144">
        <v>473.98900000000003</v>
      </c>
      <c r="S43" s="144">
        <v>501.54650000000004</v>
      </c>
      <c r="T43" s="144">
        <v>-523.5925</v>
      </c>
      <c r="U43" s="5">
        <v>0</v>
      </c>
      <c r="V43" s="5">
        <v>501.54650000000004</v>
      </c>
      <c r="W43" s="141">
        <v>1383.3865</v>
      </c>
      <c r="X43" s="141">
        <v>362.31850000000003</v>
      </c>
      <c r="Y43" s="141">
        <v>369.56487000000004</v>
      </c>
      <c r="Z43" s="139">
        <v>2</v>
      </c>
      <c r="AA43" s="139" t="s">
        <v>292</v>
      </c>
      <c r="AB43" s="5">
        <v>1</v>
      </c>
    </row>
    <row r="44" spans="1:28" ht="12.75">
      <c r="A44" s="144" t="s">
        <v>237</v>
      </c>
      <c r="B44" s="5">
        <v>22</v>
      </c>
      <c r="C44" s="144" t="s">
        <v>203</v>
      </c>
      <c r="D44" s="5">
        <v>158.75</v>
      </c>
      <c r="E44" s="144">
        <v>165</v>
      </c>
      <c r="F44" s="5">
        <v>0.7337</v>
      </c>
      <c r="G44" s="144">
        <v>275.575</v>
      </c>
      <c r="H44" s="5">
        <v>308.644</v>
      </c>
      <c r="I44" s="144">
        <v>336.2015</v>
      </c>
      <c r="J44" s="144">
        <v>0</v>
      </c>
      <c r="K44" s="144">
        <v>336.2015</v>
      </c>
      <c r="L44" s="5">
        <v>187.39100000000002</v>
      </c>
      <c r="M44" s="144">
        <v>209.437</v>
      </c>
      <c r="N44" s="144">
        <v>-231.483</v>
      </c>
      <c r="O44" s="144">
        <v>0</v>
      </c>
      <c r="P44" s="5">
        <v>209.437</v>
      </c>
      <c r="Q44" s="5">
        <v>545.6385</v>
      </c>
      <c r="R44" s="144">
        <v>429.89700000000005</v>
      </c>
      <c r="S44" s="144">
        <v>457.4545</v>
      </c>
      <c r="T44" s="144">
        <v>473.98900000000003</v>
      </c>
      <c r="U44" s="5">
        <v>0</v>
      </c>
      <c r="V44" s="5">
        <v>473.98900000000003</v>
      </c>
      <c r="W44" s="141">
        <v>1019.6275</v>
      </c>
      <c r="X44" s="141">
        <v>339.33625</v>
      </c>
      <c r="Y44" s="141">
        <v>342.72961250000003</v>
      </c>
      <c r="Z44" s="139">
        <v>2</v>
      </c>
      <c r="AA44" s="139" t="s">
        <v>285</v>
      </c>
      <c r="AB44" s="5">
        <v>1</v>
      </c>
    </row>
    <row r="45" spans="1:28" ht="12.75">
      <c r="A45" s="144" t="s">
        <v>256</v>
      </c>
      <c r="B45" s="5">
        <v>23</v>
      </c>
      <c r="C45" s="144" t="s">
        <v>203</v>
      </c>
      <c r="D45" s="5">
        <v>208</v>
      </c>
      <c r="E45" s="144">
        <v>220</v>
      </c>
      <c r="F45" s="5">
        <v>0.6241</v>
      </c>
      <c r="G45" s="144">
        <v>363.759</v>
      </c>
      <c r="H45" s="5">
        <v>385.805</v>
      </c>
      <c r="I45" s="144">
        <v>-402.33950000000004</v>
      </c>
      <c r="J45" s="144">
        <v>0</v>
      </c>
      <c r="K45" s="144">
        <v>385.805</v>
      </c>
      <c r="L45" s="5">
        <v>275.575</v>
      </c>
      <c r="M45" s="144">
        <v>297.62100000000004</v>
      </c>
      <c r="N45" s="144">
        <v>308.644</v>
      </c>
      <c r="O45" s="144">
        <v>0</v>
      </c>
      <c r="P45" s="5">
        <v>308.644</v>
      </c>
      <c r="Q45" s="5">
        <v>694.4490000000001</v>
      </c>
      <c r="R45" s="144">
        <v>440.92</v>
      </c>
      <c r="S45" s="144">
        <v>462.966</v>
      </c>
      <c r="T45" s="144">
        <v>496.035</v>
      </c>
      <c r="U45" s="5">
        <v>0</v>
      </c>
      <c r="V45" s="5">
        <v>496.035</v>
      </c>
      <c r="W45" s="141">
        <v>1190.4840000000002</v>
      </c>
      <c r="X45" s="141">
        <v>337.014</v>
      </c>
      <c r="Y45" s="141">
        <v>0</v>
      </c>
      <c r="Z45" s="139">
        <v>2</v>
      </c>
      <c r="AA45" s="139" t="s">
        <v>291</v>
      </c>
      <c r="AB45" s="5">
        <v>1</v>
      </c>
    </row>
  </sheetData>
  <sheetProtection/>
  <conditionalFormatting sqref="G2 D2:E2 A2:B2">
    <cfRule type="cellIs" priority="6" dxfId="0" operator="equal" stopIfTrue="1">
      <formula>#REF!</formula>
    </cfRule>
  </conditionalFormatting>
  <conditionalFormatting sqref="R2:U2 C2:P2">
    <cfRule type="cellIs" priority="5" dxfId="0" operator="equal" stopIfTrue="1">
      <formula>#REF!</formula>
    </cfRule>
  </conditionalFormatting>
  <conditionalFormatting sqref="G25 D25:E25 A25:B25">
    <cfRule type="cellIs" priority="2" dxfId="0" operator="equal" stopIfTrue="1">
      <formula>#REF!</formula>
    </cfRule>
  </conditionalFormatting>
  <conditionalFormatting sqref="R25:U25 C25:P25">
    <cfRule type="cellIs" priority="1" dxfId="0" operator="equal" stopIfTrue="1">
      <formula>#REF!</formula>
    </cfRule>
  </conditionalFormatting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144" customWidth="1"/>
    <col min="2" max="2" width="5.7109375" style="144" customWidth="1"/>
    <col min="3" max="3" width="6.28125" style="144" customWidth="1"/>
    <col min="4" max="4" width="6.57421875" style="144" customWidth="1"/>
    <col min="5" max="9" width="7.57421875" style="144" customWidth="1"/>
    <col min="10" max="10" width="7.57421875" style="5" customWidth="1"/>
    <col min="11" max="13" width="9.7109375" style="141" customWidth="1"/>
    <col min="14" max="15" width="11.7109375" style="139" customWidth="1"/>
    <col min="16" max="17" width="9.140625" style="5" customWidth="1"/>
  </cols>
  <sheetData>
    <row r="1" spans="1:17" s="145" customFormat="1" ht="30" customHeight="1" thickBot="1">
      <c r="A1" s="181">
        <v>40159</v>
      </c>
      <c r="B1" s="145" t="s">
        <v>215</v>
      </c>
      <c r="C1" s="148"/>
      <c r="D1" s="148"/>
      <c r="E1" s="148"/>
      <c r="F1" s="148"/>
      <c r="G1" s="148"/>
      <c r="H1" s="148"/>
      <c r="I1" s="148"/>
      <c r="J1" s="146"/>
      <c r="K1" s="149"/>
      <c r="L1" s="149"/>
      <c r="M1" s="149"/>
      <c r="N1" s="147"/>
      <c r="O1" s="147"/>
      <c r="P1" s="146"/>
      <c r="Q1" s="146"/>
    </row>
    <row r="2" spans="1:33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22</v>
      </c>
      <c r="H2" s="102" t="s">
        <v>23</v>
      </c>
      <c r="I2" s="102" t="s">
        <v>24</v>
      </c>
      <c r="J2" s="102" t="s">
        <v>25</v>
      </c>
      <c r="K2" s="142" t="s">
        <v>11</v>
      </c>
      <c r="L2" s="143" t="s">
        <v>135</v>
      </c>
      <c r="M2" s="143" t="s">
        <v>140</v>
      </c>
      <c r="N2" s="140" t="s">
        <v>183</v>
      </c>
      <c r="O2" s="140" t="s">
        <v>31</v>
      </c>
      <c r="P2" s="101" t="s">
        <v>184</v>
      </c>
      <c r="Q2" s="123" t="s">
        <v>45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</sheetData>
  <sheetProtection/>
  <conditionalFormatting sqref="A2:B2">
    <cfRule type="cellIs" priority="4" dxfId="0" operator="equal" stopIfTrue="1">
      <formula>#REF!</formula>
    </cfRule>
  </conditionalFormatting>
  <conditionalFormatting sqref="C2:J2">
    <cfRule type="cellIs" priority="3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G27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8.7109375" style="5" customWidth="1"/>
    <col min="2" max="2" width="5.7109375" style="5" customWidth="1"/>
    <col min="3" max="3" width="6.28125" style="5" customWidth="1"/>
    <col min="4" max="4" width="6.57421875" style="5" customWidth="1"/>
    <col min="5" max="10" width="7.57421875" style="5" customWidth="1"/>
    <col min="11" max="13" width="9.7109375" style="141" customWidth="1"/>
    <col min="14" max="15" width="11.7109375" style="139" customWidth="1"/>
    <col min="16" max="17" width="9.140625" style="5" customWidth="1"/>
  </cols>
  <sheetData>
    <row r="1" spans="1:17" s="145" customFormat="1" ht="30" customHeight="1" thickBot="1">
      <c r="A1" s="180">
        <v>40159</v>
      </c>
      <c r="B1" s="145" t="s">
        <v>215</v>
      </c>
      <c r="C1" s="146"/>
      <c r="D1" s="146"/>
      <c r="E1" s="146"/>
      <c r="F1" s="146"/>
      <c r="G1" s="146"/>
      <c r="H1" s="146"/>
      <c r="I1" s="146"/>
      <c r="J1" s="146"/>
      <c r="K1" s="149"/>
      <c r="L1" s="149"/>
      <c r="M1" s="149"/>
      <c r="N1" s="147"/>
      <c r="O1" s="147"/>
      <c r="P1" s="146"/>
      <c r="Q1" s="146"/>
    </row>
    <row r="2" spans="1:33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12</v>
      </c>
      <c r="H2" s="102" t="s">
        <v>13</v>
      </c>
      <c r="I2" s="102" t="s">
        <v>14</v>
      </c>
      <c r="J2" s="102" t="s">
        <v>158</v>
      </c>
      <c r="K2" s="142" t="s">
        <v>15</v>
      </c>
      <c r="L2" s="143" t="s">
        <v>135</v>
      </c>
      <c r="M2" s="143" t="s">
        <v>140</v>
      </c>
      <c r="N2" s="140" t="s">
        <v>183</v>
      </c>
      <c r="O2" s="140" t="s">
        <v>31</v>
      </c>
      <c r="P2" s="101" t="s">
        <v>184</v>
      </c>
      <c r="Q2" s="123" t="s">
        <v>45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16" ht="12.75">
      <c r="A3" s="5" t="s">
        <v>270</v>
      </c>
      <c r="B3" s="5">
        <v>12</v>
      </c>
      <c r="C3" s="5" t="s">
        <v>213</v>
      </c>
      <c r="D3" s="5">
        <v>275</v>
      </c>
      <c r="E3" s="5">
        <v>275</v>
      </c>
      <c r="F3" s="5">
        <v>0.5701</v>
      </c>
      <c r="G3" s="5">
        <v>467.5</v>
      </c>
      <c r="H3" s="5">
        <v>-507.5</v>
      </c>
      <c r="I3" s="5">
        <v>-515</v>
      </c>
      <c r="K3" s="141">
        <v>467.5</v>
      </c>
      <c r="L3" s="141">
        <v>266.52175</v>
      </c>
      <c r="M3" s="141" t="e">
        <v>#N/A</v>
      </c>
      <c r="N3" s="139">
        <v>2</v>
      </c>
      <c r="O3" s="139" t="s">
        <v>298</v>
      </c>
      <c r="P3" s="5">
        <v>7</v>
      </c>
    </row>
    <row r="4" spans="1:16" ht="12.75">
      <c r="A4" s="5" t="s">
        <v>245</v>
      </c>
      <c r="B4" s="5">
        <v>60</v>
      </c>
      <c r="C4" s="5" t="s">
        <v>211</v>
      </c>
      <c r="D4" s="5">
        <v>148</v>
      </c>
      <c r="E4" s="5">
        <v>148</v>
      </c>
      <c r="F4" s="5">
        <v>0.7747</v>
      </c>
      <c r="G4" s="5">
        <v>0</v>
      </c>
      <c r="H4" s="5">
        <v>0</v>
      </c>
      <c r="I4" s="5">
        <v>0</v>
      </c>
      <c r="K4" s="141">
        <v>0</v>
      </c>
      <c r="L4" s="141">
        <v>0</v>
      </c>
      <c r="M4" s="141">
        <v>0</v>
      </c>
      <c r="N4" s="139">
        <v>2</v>
      </c>
      <c r="O4" s="139">
        <v>0</v>
      </c>
      <c r="P4" s="5">
        <v>0</v>
      </c>
    </row>
    <row r="5" spans="1:17" s="260" customFormat="1" ht="12.75">
      <c r="A5" s="257" t="s">
        <v>247</v>
      </c>
      <c r="B5" s="257">
        <v>17</v>
      </c>
      <c r="C5" s="257" t="s">
        <v>209</v>
      </c>
      <c r="D5" s="257">
        <v>250</v>
      </c>
      <c r="E5" s="257">
        <v>275</v>
      </c>
      <c r="F5" s="257">
        <v>0.5833</v>
      </c>
      <c r="G5" s="257">
        <v>130</v>
      </c>
      <c r="H5" s="257">
        <v>140</v>
      </c>
      <c r="I5" s="257">
        <v>-147.5</v>
      </c>
      <c r="J5" s="257"/>
      <c r="K5" s="258">
        <v>140</v>
      </c>
      <c r="L5" s="258">
        <v>81.662</v>
      </c>
      <c r="M5" s="258">
        <v>88.19496000000001</v>
      </c>
      <c r="N5" s="259">
        <v>2</v>
      </c>
      <c r="O5" s="259" t="s">
        <v>300</v>
      </c>
      <c r="P5" s="257">
        <v>7</v>
      </c>
      <c r="Q5" s="257"/>
    </row>
    <row r="6" spans="1:17" s="260" customFormat="1" ht="12.75">
      <c r="A6" s="257" t="s">
        <v>244</v>
      </c>
      <c r="B6" s="257">
        <v>17</v>
      </c>
      <c r="C6" s="257" t="s">
        <v>209</v>
      </c>
      <c r="D6" s="257">
        <v>193</v>
      </c>
      <c r="E6" s="257">
        <v>198</v>
      </c>
      <c r="F6" s="257">
        <v>0.6479</v>
      </c>
      <c r="G6" s="257">
        <v>-115</v>
      </c>
      <c r="H6" s="257">
        <v>115</v>
      </c>
      <c r="I6" s="257">
        <v>125</v>
      </c>
      <c r="J6" s="257"/>
      <c r="K6" s="258">
        <v>125</v>
      </c>
      <c r="L6" s="258">
        <v>80.9875</v>
      </c>
      <c r="M6" s="258">
        <v>87.4665</v>
      </c>
      <c r="N6" s="259">
        <v>2</v>
      </c>
      <c r="O6" s="259" t="s">
        <v>299</v>
      </c>
      <c r="P6" s="257">
        <v>5</v>
      </c>
      <c r="Q6" s="257"/>
    </row>
    <row r="7" spans="1:17" s="260" customFormat="1" ht="12.75">
      <c r="A7" s="257" t="s">
        <v>255</v>
      </c>
      <c r="B7" s="257">
        <v>58</v>
      </c>
      <c r="C7" s="257" t="s">
        <v>208</v>
      </c>
      <c r="D7" s="257">
        <v>238.5</v>
      </c>
      <c r="E7" s="257">
        <v>242</v>
      </c>
      <c r="F7" s="257">
        <v>0.5916</v>
      </c>
      <c r="G7" s="257">
        <v>197.5</v>
      </c>
      <c r="H7" s="257">
        <v>-205</v>
      </c>
      <c r="I7" s="257">
        <v>205</v>
      </c>
      <c r="J7" s="257"/>
      <c r="K7" s="258">
        <v>205</v>
      </c>
      <c r="L7" s="258">
        <v>121.278</v>
      </c>
      <c r="M7" s="258">
        <v>156.569898</v>
      </c>
      <c r="N7" s="259">
        <v>2</v>
      </c>
      <c r="O7" s="259" t="s">
        <v>303</v>
      </c>
      <c r="P7" s="257">
        <v>7</v>
      </c>
      <c r="Q7" s="257"/>
    </row>
    <row r="8" spans="1:17" s="260" customFormat="1" ht="12.75">
      <c r="A8" s="257" t="s">
        <v>254</v>
      </c>
      <c r="B8" s="257">
        <v>45</v>
      </c>
      <c r="C8" s="257" t="s">
        <v>206</v>
      </c>
      <c r="D8" s="257">
        <v>272.25</v>
      </c>
      <c r="E8" s="257">
        <v>275</v>
      </c>
      <c r="F8" s="257">
        <v>0.5713</v>
      </c>
      <c r="G8" s="257">
        <v>195</v>
      </c>
      <c r="H8" s="257">
        <v>205</v>
      </c>
      <c r="I8" s="257">
        <v>-210</v>
      </c>
      <c r="J8" s="257"/>
      <c r="K8" s="258">
        <v>205</v>
      </c>
      <c r="L8" s="258">
        <v>117.1165</v>
      </c>
      <c r="M8" s="258">
        <v>123.5579075</v>
      </c>
      <c r="N8" s="259">
        <v>2</v>
      </c>
      <c r="O8" s="259" t="s">
        <v>304</v>
      </c>
      <c r="P8" s="257">
        <v>7</v>
      </c>
      <c r="Q8" s="257"/>
    </row>
    <row r="9" spans="1:17" s="260" customFormat="1" ht="12.75">
      <c r="A9" s="257" t="s">
        <v>251</v>
      </c>
      <c r="B9" s="257">
        <v>45</v>
      </c>
      <c r="C9" s="257" t="s">
        <v>206</v>
      </c>
      <c r="D9" s="257">
        <v>198</v>
      </c>
      <c r="E9" s="257">
        <v>198</v>
      </c>
      <c r="F9" s="257">
        <v>0.6391</v>
      </c>
      <c r="G9" s="257">
        <v>160</v>
      </c>
      <c r="H9" s="257">
        <v>-180</v>
      </c>
      <c r="I9" s="257">
        <v>-180</v>
      </c>
      <c r="J9" s="257"/>
      <c r="K9" s="258">
        <v>160</v>
      </c>
      <c r="L9" s="258">
        <v>102.256</v>
      </c>
      <c r="M9" s="258">
        <v>107.88007999999999</v>
      </c>
      <c r="N9" s="259">
        <v>2</v>
      </c>
      <c r="O9" s="259" t="s">
        <v>301</v>
      </c>
      <c r="P9" s="257">
        <v>5</v>
      </c>
      <c r="Q9" s="257"/>
    </row>
    <row r="10" spans="1:17" s="260" customFormat="1" ht="12.75">
      <c r="A10" s="257" t="s">
        <v>252</v>
      </c>
      <c r="B10" s="257">
        <v>47</v>
      </c>
      <c r="C10" s="257" t="s">
        <v>206</v>
      </c>
      <c r="D10" s="257">
        <v>235</v>
      </c>
      <c r="E10" s="257">
        <v>242</v>
      </c>
      <c r="F10" s="257">
        <v>0.5945</v>
      </c>
      <c r="G10" s="257">
        <v>165</v>
      </c>
      <c r="H10" s="257">
        <v>-185</v>
      </c>
      <c r="I10" s="257">
        <v>-185</v>
      </c>
      <c r="J10" s="257"/>
      <c r="K10" s="258">
        <v>165</v>
      </c>
      <c r="L10" s="258">
        <v>98.0925</v>
      </c>
      <c r="M10" s="258">
        <v>106.13608500000001</v>
      </c>
      <c r="N10" s="259">
        <v>2</v>
      </c>
      <c r="O10" s="259" t="s">
        <v>302</v>
      </c>
      <c r="P10" s="257">
        <v>3</v>
      </c>
      <c r="Q10" s="257"/>
    </row>
    <row r="11" spans="1:17" s="260" customFormat="1" ht="12.75">
      <c r="A11" s="257" t="s">
        <v>253</v>
      </c>
      <c r="B11" s="257">
        <v>42</v>
      </c>
      <c r="C11" s="257" t="s">
        <v>205</v>
      </c>
      <c r="D11" s="257">
        <v>241.75</v>
      </c>
      <c r="E11" s="257">
        <v>242</v>
      </c>
      <c r="F11" s="257">
        <v>0.589</v>
      </c>
      <c r="G11" s="257">
        <v>165</v>
      </c>
      <c r="H11" s="257">
        <v>187.5</v>
      </c>
      <c r="I11" s="257">
        <v>-200</v>
      </c>
      <c r="J11" s="257"/>
      <c r="K11" s="258">
        <v>187.5</v>
      </c>
      <c r="L11" s="258">
        <v>110.4375</v>
      </c>
      <c r="M11" s="258">
        <v>112.64625</v>
      </c>
      <c r="N11" s="259">
        <v>2</v>
      </c>
      <c r="O11" s="259" t="s">
        <v>283</v>
      </c>
      <c r="P11" s="257">
        <v>7</v>
      </c>
      <c r="Q11" s="257"/>
    </row>
    <row r="12" spans="1:17" s="260" customFormat="1" ht="12.75">
      <c r="A12" s="257" t="s">
        <v>250</v>
      </c>
      <c r="B12" s="257">
        <v>41</v>
      </c>
      <c r="C12" s="257" t="s">
        <v>205</v>
      </c>
      <c r="D12" s="257">
        <v>219</v>
      </c>
      <c r="E12" s="257">
        <v>220</v>
      </c>
      <c r="F12" s="257">
        <v>0.6103</v>
      </c>
      <c r="G12" s="257">
        <v>-157.5</v>
      </c>
      <c r="H12" s="257">
        <v>157.5</v>
      </c>
      <c r="I12" s="257">
        <v>-162.5</v>
      </c>
      <c r="J12" s="257"/>
      <c r="K12" s="258">
        <v>157.5</v>
      </c>
      <c r="L12" s="258">
        <v>96.12225</v>
      </c>
      <c r="M12" s="258">
        <v>97.0834725</v>
      </c>
      <c r="N12" s="259">
        <v>2</v>
      </c>
      <c r="O12" s="259" t="s">
        <v>280</v>
      </c>
      <c r="P12" s="257">
        <v>5</v>
      </c>
      <c r="Q12" s="257"/>
    </row>
    <row r="13" spans="1:16" ht="12.75">
      <c r="A13" s="5" t="s">
        <v>246</v>
      </c>
      <c r="B13" s="5">
        <v>35</v>
      </c>
      <c r="C13" s="5" t="s">
        <v>204</v>
      </c>
      <c r="D13" s="5">
        <v>181</v>
      </c>
      <c r="E13" s="5">
        <v>181</v>
      </c>
      <c r="F13" s="5">
        <v>0.6719</v>
      </c>
      <c r="G13" s="5">
        <v>125</v>
      </c>
      <c r="H13" s="5">
        <v>-135</v>
      </c>
      <c r="I13" s="5">
        <v>-135</v>
      </c>
      <c r="K13" s="141">
        <v>125</v>
      </c>
      <c r="L13" s="141">
        <v>83.98750000000001</v>
      </c>
      <c r="M13" s="141">
        <v>0</v>
      </c>
      <c r="N13" s="139">
        <v>2</v>
      </c>
      <c r="O13" s="139" t="s">
        <v>286</v>
      </c>
      <c r="P13" s="5">
        <v>7</v>
      </c>
    </row>
    <row r="15" ht="13.5" thickBot="1"/>
    <row r="16" spans="1:17" ht="26.25" thickBot="1">
      <c r="A16" s="99" t="s">
        <v>0</v>
      </c>
      <c r="B16" s="100" t="s">
        <v>1</v>
      </c>
      <c r="C16" s="101" t="s">
        <v>29</v>
      </c>
      <c r="D16" s="101" t="s">
        <v>171</v>
      </c>
      <c r="E16" s="101" t="s">
        <v>173</v>
      </c>
      <c r="F16" s="107" t="s">
        <v>196</v>
      </c>
      <c r="G16" s="102" t="s">
        <v>12</v>
      </c>
      <c r="H16" s="102" t="s">
        <v>13</v>
      </c>
      <c r="I16" s="102" t="s">
        <v>14</v>
      </c>
      <c r="J16" s="102" t="s">
        <v>158</v>
      </c>
      <c r="K16" s="142" t="s">
        <v>15</v>
      </c>
      <c r="L16" s="143" t="s">
        <v>135</v>
      </c>
      <c r="M16" s="143" t="s">
        <v>140</v>
      </c>
      <c r="N16" s="140" t="s">
        <v>183</v>
      </c>
      <c r="O16" s="140" t="s">
        <v>31</v>
      </c>
      <c r="P16" s="101" t="s">
        <v>184</v>
      </c>
      <c r="Q16" s="123" t="s">
        <v>45</v>
      </c>
    </row>
    <row r="17" spans="1:16" ht="12.75">
      <c r="A17" s="5" t="s">
        <v>270</v>
      </c>
      <c r="B17" s="5">
        <v>12</v>
      </c>
      <c r="C17" s="5" t="s">
        <v>213</v>
      </c>
      <c r="D17" s="5">
        <v>275</v>
      </c>
      <c r="E17" s="5">
        <v>275</v>
      </c>
      <c r="F17" s="5">
        <v>0.5701</v>
      </c>
      <c r="G17" s="5">
        <v>1030.6505</v>
      </c>
      <c r="H17" s="5">
        <v>-1118.8345000000002</v>
      </c>
      <c r="I17" s="5">
        <v>-1135.3690000000001</v>
      </c>
      <c r="J17" s="5">
        <v>0</v>
      </c>
      <c r="K17" s="141">
        <v>1030.6505</v>
      </c>
      <c r="L17" s="141">
        <v>266.52175</v>
      </c>
      <c r="M17" s="141" t="e">
        <v>#N/A</v>
      </c>
      <c r="N17" s="139">
        <v>2</v>
      </c>
      <c r="O17" s="139" t="s">
        <v>298</v>
      </c>
      <c r="P17" s="5">
        <v>7</v>
      </c>
    </row>
    <row r="18" spans="1:16" ht="12.75">
      <c r="A18" s="5" t="s">
        <v>245</v>
      </c>
      <c r="B18" s="5">
        <v>60</v>
      </c>
      <c r="C18" s="5" t="s">
        <v>211</v>
      </c>
      <c r="D18" s="5">
        <v>148</v>
      </c>
      <c r="E18" s="5">
        <v>148</v>
      </c>
      <c r="F18" s="5">
        <v>0.7747</v>
      </c>
      <c r="G18" s="5">
        <v>0</v>
      </c>
      <c r="H18" s="5">
        <v>0</v>
      </c>
      <c r="I18" s="5">
        <v>0</v>
      </c>
      <c r="J18" s="5">
        <v>0</v>
      </c>
      <c r="K18" s="141">
        <v>0</v>
      </c>
      <c r="L18" s="141">
        <v>0</v>
      </c>
      <c r="M18" s="141">
        <v>0</v>
      </c>
      <c r="N18" s="139">
        <v>2</v>
      </c>
      <c r="O18" s="139">
        <v>0</v>
      </c>
      <c r="P18" s="5">
        <v>0</v>
      </c>
    </row>
    <row r="19" spans="1:16" ht="12.75">
      <c r="A19" s="5" t="s">
        <v>247</v>
      </c>
      <c r="B19" s="5">
        <v>17</v>
      </c>
      <c r="C19" s="5" t="s">
        <v>209</v>
      </c>
      <c r="D19" s="5">
        <v>250</v>
      </c>
      <c r="E19" s="5">
        <v>275</v>
      </c>
      <c r="F19" s="5">
        <v>0.5833</v>
      </c>
      <c r="G19" s="5">
        <v>286.598</v>
      </c>
      <c r="H19" s="5">
        <v>308.644</v>
      </c>
      <c r="I19" s="5">
        <v>-325.17850000000004</v>
      </c>
      <c r="J19" s="5">
        <v>0</v>
      </c>
      <c r="K19" s="141">
        <v>308.644</v>
      </c>
      <c r="L19" s="141">
        <v>81.662</v>
      </c>
      <c r="M19" s="141">
        <v>88.19496000000001</v>
      </c>
      <c r="N19" s="139">
        <v>2</v>
      </c>
      <c r="O19" s="139" t="s">
        <v>300</v>
      </c>
      <c r="P19" s="5">
        <v>7</v>
      </c>
    </row>
    <row r="20" spans="1:16" ht="12.75">
      <c r="A20" s="5" t="s">
        <v>244</v>
      </c>
      <c r="B20" s="5">
        <v>17</v>
      </c>
      <c r="C20" s="5" t="s">
        <v>209</v>
      </c>
      <c r="D20" s="5">
        <v>193</v>
      </c>
      <c r="E20" s="5">
        <v>198</v>
      </c>
      <c r="F20" s="5">
        <v>0.6479</v>
      </c>
      <c r="G20" s="5">
        <v>-253.52900000000002</v>
      </c>
      <c r="H20" s="5">
        <v>253.52900000000002</v>
      </c>
      <c r="I20" s="5">
        <v>275.575</v>
      </c>
      <c r="J20" s="5">
        <v>0</v>
      </c>
      <c r="K20" s="141">
        <v>275.575</v>
      </c>
      <c r="L20" s="141">
        <v>80.9875</v>
      </c>
      <c r="M20" s="141">
        <v>87.4665</v>
      </c>
      <c r="N20" s="139">
        <v>2</v>
      </c>
      <c r="O20" s="139" t="s">
        <v>299</v>
      </c>
      <c r="P20" s="5">
        <v>5</v>
      </c>
    </row>
    <row r="21" spans="1:16" ht="12.75">
      <c r="A21" s="5" t="s">
        <v>255</v>
      </c>
      <c r="B21" s="5">
        <v>58</v>
      </c>
      <c r="C21" s="5" t="s">
        <v>208</v>
      </c>
      <c r="D21" s="5">
        <v>238.5</v>
      </c>
      <c r="E21" s="5">
        <v>242</v>
      </c>
      <c r="F21" s="5">
        <v>0.5916</v>
      </c>
      <c r="G21" s="5">
        <v>435.4085</v>
      </c>
      <c r="H21" s="5">
        <v>-451.94300000000004</v>
      </c>
      <c r="I21" s="5">
        <v>451.94300000000004</v>
      </c>
      <c r="J21" s="5">
        <v>0</v>
      </c>
      <c r="K21" s="141">
        <v>451.94300000000004</v>
      </c>
      <c r="L21" s="141">
        <v>121.278</v>
      </c>
      <c r="M21" s="141">
        <v>156.569898</v>
      </c>
      <c r="N21" s="139">
        <v>2</v>
      </c>
      <c r="O21" s="139" t="s">
        <v>303</v>
      </c>
      <c r="P21" s="5">
        <v>7</v>
      </c>
    </row>
    <row r="22" spans="1:16" ht="12.75">
      <c r="A22" s="5" t="s">
        <v>254</v>
      </c>
      <c r="B22" s="5">
        <v>45</v>
      </c>
      <c r="C22" s="5" t="s">
        <v>206</v>
      </c>
      <c r="D22" s="5">
        <v>272.25</v>
      </c>
      <c r="E22" s="5">
        <v>275</v>
      </c>
      <c r="F22" s="5">
        <v>0.5713</v>
      </c>
      <c r="G22" s="5">
        <v>429.89700000000005</v>
      </c>
      <c r="H22" s="5">
        <v>451.94300000000004</v>
      </c>
      <c r="I22" s="5">
        <v>-462.966</v>
      </c>
      <c r="J22" s="5">
        <v>0</v>
      </c>
      <c r="K22" s="141">
        <v>451.94300000000004</v>
      </c>
      <c r="L22" s="141">
        <v>117.1165</v>
      </c>
      <c r="M22" s="141">
        <v>123.5579075</v>
      </c>
      <c r="N22" s="139">
        <v>2</v>
      </c>
      <c r="O22" s="139" t="s">
        <v>304</v>
      </c>
      <c r="P22" s="5">
        <v>7</v>
      </c>
    </row>
    <row r="23" spans="1:16" ht="12.75">
      <c r="A23" s="5" t="s">
        <v>251</v>
      </c>
      <c r="B23" s="5">
        <v>45</v>
      </c>
      <c r="C23" s="5" t="s">
        <v>206</v>
      </c>
      <c r="D23" s="5">
        <v>198</v>
      </c>
      <c r="E23" s="5">
        <v>198</v>
      </c>
      <c r="F23" s="5">
        <v>0.6391</v>
      </c>
      <c r="G23" s="5">
        <v>352.736</v>
      </c>
      <c r="H23" s="5">
        <v>-396.82800000000003</v>
      </c>
      <c r="I23" s="5">
        <v>-396.82800000000003</v>
      </c>
      <c r="J23" s="5">
        <v>0</v>
      </c>
      <c r="K23" s="141">
        <v>352.736</v>
      </c>
      <c r="L23" s="141">
        <v>102.256</v>
      </c>
      <c r="M23" s="141">
        <v>107.88007999999999</v>
      </c>
      <c r="N23" s="139">
        <v>2</v>
      </c>
      <c r="O23" s="139" t="s">
        <v>301</v>
      </c>
      <c r="P23" s="5">
        <v>5</v>
      </c>
    </row>
    <row r="24" spans="1:16" ht="12.75">
      <c r="A24" s="5" t="s">
        <v>252</v>
      </c>
      <c r="B24" s="5">
        <v>47</v>
      </c>
      <c r="C24" s="5" t="s">
        <v>206</v>
      </c>
      <c r="D24" s="5">
        <v>235</v>
      </c>
      <c r="E24" s="5">
        <v>242</v>
      </c>
      <c r="F24" s="5">
        <v>0.5945</v>
      </c>
      <c r="G24" s="5">
        <v>363.759</v>
      </c>
      <c r="H24" s="5">
        <v>-407.851</v>
      </c>
      <c r="I24" s="5">
        <v>-407.851</v>
      </c>
      <c r="J24" s="5">
        <v>0</v>
      </c>
      <c r="K24" s="141">
        <v>363.759</v>
      </c>
      <c r="L24" s="141">
        <v>98.0925</v>
      </c>
      <c r="M24" s="141">
        <v>106.13608500000001</v>
      </c>
      <c r="N24" s="139">
        <v>2</v>
      </c>
      <c r="O24" s="139" t="s">
        <v>302</v>
      </c>
      <c r="P24" s="5">
        <v>3</v>
      </c>
    </row>
    <row r="25" spans="1:16" ht="12.75">
      <c r="A25" s="5" t="s">
        <v>253</v>
      </c>
      <c r="B25" s="5">
        <v>42</v>
      </c>
      <c r="C25" s="5" t="s">
        <v>205</v>
      </c>
      <c r="D25" s="5">
        <v>241.75</v>
      </c>
      <c r="E25" s="5">
        <v>242</v>
      </c>
      <c r="F25" s="5">
        <v>0.589</v>
      </c>
      <c r="G25" s="5">
        <v>363.759</v>
      </c>
      <c r="H25" s="5">
        <v>413.3625</v>
      </c>
      <c r="I25" s="5">
        <v>-440.92</v>
      </c>
      <c r="J25" s="5">
        <v>0</v>
      </c>
      <c r="K25" s="141">
        <v>413.3625</v>
      </c>
      <c r="L25" s="141">
        <v>110.4375</v>
      </c>
      <c r="M25" s="141">
        <v>112.64625</v>
      </c>
      <c r="N25" s="139">
        <v>2</v>
      </c>
      <c r="O25" s="139" t="s">
        <v>283</v>
      </c>
      <c r="P25" s="5">
        <v>7</v>
      </c>
    </row>
    <row r="26" spans="1:16" ht="12.75">
      <c r="A26" s="5" t="s">
        <v>250</v>
      </c>
      <c r="B26" s="5">
        <v>41</v>
      </c>
      <c r="C26" s="5" t="s">
        <v>205</v>
      </c>
      <c r="D26" s="5">
        <v>219</v>
      </c>
      <c r="E26" s="5">
        <v>220</v>
      </c>
      <c r="F26" s="5">
        <v>0.6103</v>
      </c>
      <c r="G26" s="5">
        <v>-347.22450000000003</v>
      </c>
      <c r="H26" s="5">
        <v>347.22450000000003</v>
      </c>
      <c r="I26" s="5">
        <v>-358.2475</v>
      </c>
      <c r="J26" s="5">
        <v>0</v>
      </c>
      <c r="K26" s="141">
        <v>347.22450000000003</v>
      </c>
      <c r="L26" s="141">
        <v>96.12225</v>
      </c>
      <c r="M26" s="141">
        <v>97.0834725</v>
      </c>
      <c r="N26" s="139">
        <v>2</v>
      </c>
      <c r="O26" s="139" t="s">
        <v>280</v>
      </c>
      <c r="P26" s="5">
        <v>5</v>
      </c>
    </row>
    <row r="27" spans="1:16" ht="12.75">
      <c r="A27" s="5" t="s">
        <v>246</v>
      </c>
      <c r="B27" s="5">
        <v>35</v>
      </c>
      <c r="C27" s="5" t="s">
        <v>204</v>
      </c>
      <c r="D27" s="5">
        <v>181</v>
      </c>
      <c r="E27" s="5">
        <v>181</v>
      </c>
      <c r="F27" s="5">
        <v>0.6719</v>
      </c>
      <c r="G27" s="5">
        <v>275.575</v>
      </c>
      <c r="H27" s="5">
        <v>-297.62100000000004</v>
      </c>
      <c r="I27" s="5">
        <v>-297.62100000000004</v>
      </c>
      <c r="J27" s="5">
        <v>0</v>
      </c>
      <c r="K27" s="141">
        <v>275.575</v>
      </c>
      <c r="L27" s="141">
        <v>83.98750000000001</v>
      </c>
      <c r="M27" s="141">
        <v>0</v>
      </c>
      <c r="N27" s="139">
        <v>2</v>
      </c>
      <c r="O27" s="139" t="s">
        <v>286</v>
      </c>
      <c r="P27" s="5">
        <v>7</v>
      </c>
    </row>
  </sheetData>
  <sheetProtection/>
  <conditionalFormatting sqref="A2:B2">
    <cfRule type="cellIs" priority="6" dxfId="0" operator="equal" stopIfTrue="1">
      <formula>#REF!</formula>
    </cfRule>
  </conditionalFormatting>
  <conditionalFormatting sqref="C2:J2">
    <cfRule type="cellIs" priority="5" dxfId="0" operator="equal" stopIfTrue="1">
      <formula>#REF!</formula>
    </cfRule>
  </conditionalFormatting>
  <conditionalFormatting sqref="A16:B16">
    <cfRule type="cellIs" priority="2" dxfId="0" operator="equal" stopIfTrue="1">
      <formula>#REF!</formula>
    </cfRule>
  </conditionalFormatting>
  <conditionalFormatting sqref="C16:J16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1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8.7109375" style="5" customWidth="1"/>
    <col min="2" max="2" width="5.7109375" style="5" customWidth="1"/>
    <col min="3" max="3" width="6.28125" style="5" customWidth="1"/>
    <col min="4" max="4" width="6.57421875" style="5" customWidth="1"/>
    <col min="5" max="10" width="7.57421875" style="5" customWidth="1"/>
    <col min="11" max="13" width="9.7109375" style="141" customWidth="1"/>
    <col min="14" max="15" width="11.7109375" style="139" customWidth="1"/>
    <col min="16" max="17" width="9.140625" style="5" customWidth="1"/>
  </cols>
  <sheetData>
    <row r="1" spans="1:17" s="145" customFormat="1" ht="30" customHeight="1" thickBot="1">
      <c r="A1" s="180">
        <v>40159</v>
      </c>
      <c r="B1" s="145" t="s">
        <v>215</v>
      </c>
      <c r="C1" s="146"/>
      <c r="D1" s="146"/>
      <c r="E1" s="146"/>
      <c r="F1" s="146"/>
      <c r="G1" s="146"/>
      <c r="H1" s="146"/>
      <c r="I1" s="146"/>
      <c r="J1" s="146"/>
      <c r="K1" s="149"/>
      <c r="L1" s="149"/>
      <c r="M1" s="149"/>
      <c r="N1" s="147"/>
      <c r="O1" s="147"/>
      <c r="P1" s="146"/>
      <c r="Q1" s="146"/>
    </row>
    <row r="2" spans="1:33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17</v>
      </c>
      <c r="H2" s="102" t="s">
        <v>18</v>
      </c>
      <c r="I2" s="102" t="s">
        <v>19</v>
      </c>
      <c r="J2" s="102" t="s">
        <v>20</v>
      </c>
      <c r="K2" s="142" t="s">
        <v>21</v>
      </c>
      <c r="L2" s="143" t="s">
        <v>135</v>
      </c>
      <c r="M2" s="143" t="s">
        <v>140</v>
      </c>
      <c r="N2" s="140" t="s">
        <v>183</v>
      </c>
      <c r="O2" s="140" t="s">
        <v>31</v>
      </c>
      <c r="P2" s="101" t="s">
        <v>184</v>
      </c>
      <c r="Q2" s="123" t="s">
        <v>45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16" ht="12.75">
      <c r="A3" s="5" t="s">
        <v>275</v>
      </c>
      <c r="B3" s="5">
        <v>64</v>
      </c>
      <c r="C3" s="5" t="s">
        <v>211</v>
      </c>
      <c r="D3" s="5">
        <v>205</v>
      </c>
      <c r="E3" s="5">
        <v>220</v>
      </c>
      <c r="F3" s="5">
        <v>0.6282</v>
      </c>
      <c r="G3" s="5">
        <v>257.5</v>
      </c>
      <c r="H3" s="5">
        <v>-277.5</v>
      </c>
      <c r="I3" s="5">
        <v>0</v>
      </c>
      <c r="K3" s="141">
        <v>257.5</v>
      </c>
      <c r="L3" s="141">
        <v>161.76149999999998</v>
      </c>
      <c r="M3" s="141">
        <v>234.55417499999996</v>
      </c>
      <c r="N3" s="139">
        <v>2</v>
      </c>
      <c r="O3" s="139" t="s">
        <v>306</v>
      </c>
      <c r="P3" s="5">
        <v>7</v>
      </c>
    </row>
    <row r="4" spans="1:16" ht="12.75">
      <c r="A4" s="5" t="s">
        <v>273</v>
      </c>
      <c r="B4" s="5">
        <v>15</v>
      </c>
      <c r="C4" s="5" t="s">
        <v>209</v>
      </c>
      <c r="D4" s="5">
        <v>145</v>
      </c>
      <c r="E4" s="5">
        <v>148</v>
      </c>
      <c r="F4" s="5">
        <v>0.7872</v>
      </c>
      <c r="G4" s="5">
        <v>107.5</v>
      </c>
      <c r="H4" s="5">
        <v>125</v>
      </c>
      <c r="I4" s="5">
        <v>130</v>
      </c>
      <c r="K4" s="141">
        <v>130</v>
      </c>
      <c r="L4" s="141">
        <v>102.336</v>
      </c>
      <c r="M4" s="141">
        <v>120.75648</v>
      </c>
      <c r="N4" s="139">
        <v>2</v>
      </c>
      <c r="O4" s="139" t="s">
        <v>300</v>
      </c>
      <c r="P4" s="5">
        <v>7</v>
      </c>
    </row>
    <row r="5" spans="1:16" ht="12.75">
      <c r="A5" s="5" t="s">
        <v>276</v>
      </c>
      <c r="B5" s="5">
        <v>58</v>
      </c>
      <c r="C5" s="5" t="s">
        <v>208</v>
      </c>
      <c r="D5" s="5">
        <v>242</v>
      </c>
      <c r="E5" s="5">
        <v>242</v>
      </c>
      <c r="F5" s="5">
        <v>0.5888</v>
      </c>
      <c r="G5" s="5">
        <v>185</v>
      </c>
      <c r="H5" s="5">
        <v>-195</v>
      </c>
      <c r="I5" s="5">
        <v>-195</v>
      </c>
      <c r="K5" s="141">
        <v>185</v>
      </c>
      <c r="L5" s="141">
        <v>108.928</v>
      </c>
      <c r="M5" s="141">
        <v>140.626048</v>
      </c>
      <c r="N5" s="139">
        <v>2</v>
      </c>
      <c r="O5" s="139" t="s">
        <v>303</v>
      </c>
      <c r="P5" s="5">
        <v>7</v>
      </c>
    </row>
    <row r="6" spans="1:16" ht="12.75">
      <c r="A6" s="5" t="s">
        <v>274</v>
      </c>
      <c r="B6" s="5">
        <v>54</v>
      </c>
      <c r="C6" s="5" t="s">
        <v>207</v>
      </c>
      <c r="D6" s="5">
        <v>273</v>
      </c>
      <c r="E6" s="5">
        <v>275</v>
      </c>
      <c r="F6" s="5">
        <v>0.571</v>
      </c>
      <c r="G6" s="5">
        <v>227.5</v>
      </c>
      <c r="H6" s="5">
        <v>-250</v>
      </c>
      <c r="I6" s="5">
        <v>-250</v>
      </c>
      <c r="K6" s="141">
        <v>227.5</v>
      </c>
      <c r="L6" s="141">
        <v>129.90249999999997</v>
      </c>
      <c r="M6" s="141">
        <v>156.40260999999995</v>
      </c>
      <c r="N6" s="139">
        <v>2</v>
      </c>
      <c r="O6" s="139" t="s">
        <v>305</v>
      </c>
      <c r="P6" s="5">
        <v>7</v>
      </c>
    </row>
    <row r="8" ht="13.5" thickBot="1"/>
    <row r="9" ht="13.5" thickBot="1">
      <c r="A9" s="99" t="s">
        <v>0</v>
      </c>
    </row>
    <row r="10" ht="12.75">
      <c r="A10" s="5" t="s">
        <v>275</v>
      </c>
    </row>
    <row r="11" ht="12.75">
      <c r="A11" s="5" t="s">
        <v>273</v>
      </c>
    </row>
    <row r="12" ht="12.75">
      <c r="A12" s="5" t="s">
        <v>276</v>
      </c>
    </row>
    <row r="13" ht="12.75">
      <c r="A13" s="5" t="s">
        <v>274</v>
      </c>
    </row>
  </sheetData>
  <sheetProtection/>
  <conditionalFormatting sqref="A2:B2">
    <cfRule type="cellIs" priority="5" dxfId="0" operator="equal" stopIfTrue="1">
      <formula>#REF!</formula>
    </cfRule>
  </conditionalFormatting>
  <conditionalFormatting sqref="C2:J2">
    <cfRule type="cellIs" priority="4" dxfId="0" operator="equal" stopIfTrue="1">
      <formula>#REF!</formula>
    </cfRule>
  </conditionalFormatting>
  <conditionalFormatting sqref="A9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M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144" customWidth="1"/>
    <col min="2" max="2" width="5.7109375" style="144" customWidth="1"/>
    <col min="3" max="3" width="6.28125" style="144" customWidth="1"/>
    <col min="4" max="4" width="6.57421875" style="144" customWidth="1"/>
    <col min="5" max="9" width="7.57421875" style="144" customWidth="1"/>
    <col min="10" max="16" width="7.57421875" style="5" customWidth="1"/>
    <col min="17" max="19" width="9.7109375" style="141" customWidth="1"/>
    <col min="20" max="21" width="11.7109375" style="139" customWidth="1"/>
    <col min="22" max="23" width="9.140625" style="5" customWidth="1"/>
  </cols>
  <sheetData>
    <row r="1" spans="1:23" s="145" customFormat="1" ht="30" customHeight="1" thickBot="1">
      <c r="A1" s="181">
        <v>40159</v>
      </c>
      <c r="B1" s="145" t="s">
        <v>215</v>
      </c>
      <c r="C1" s="148"/>
      <c r="D1" s="148"/>
      <c r="E1" s="148"/>
      <c r="F1" s="148"/>
      <c r="G1" s="148"/>
      <c r="H1" s="148"/>
      <c r="I1" s="148"/>
      <c r="J1" s="146"/>
      <c r="K1" s="146"/>
      <c r="L1" s="146"/>
      <c r="M1" s="146"/>
      <c r="N1" s="146"/>
      <c r="O1" s="146"/>
      <c r="P1" s="146"/>
      <c r="Q1" s="149"/>
      <c r="R1" s="149"/>
      <c r="S1" s="149"/>
      <c r="T1" s="147"/>
      <c r="U1" s="147"/>
      <c r="V1" s="146"/>
      <c r="W1" s="146"/>
    </row>
    <row r="2" spans="1:39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12</v>
      </c>
      <c r="H2" s="102" t="s">
        <v>13</v>
      </c>
      <c r="I2" s="102" t="s">
        <v>14</v>
      </c>
      <c r="J2" s="102" t="s">
        <v>158</v>
      </c>
      <c r="K2" s="101" t="s">
        <v>15</v>
      </c>
      <c r="L2" s="102" t="s">
        <v>17</v>
      </c>
      <c r="M2" s="102" t="s">
        <v>18</v>
      </c>
      <c r="N2" s="102" t="s">
        <v>19</v>
      </c>
      <c r="O2" s="102" t="s">
        <v>20</v>
      </c>
      <c r="P2" s="102" t="s">
        <v>21</v>
      </c>
      <c r="Q2" s="142" t="s">
        <v>68</v>
      </c>
      <c r="R2" s="143" t="s">
        <v>135</v>
      </c>
      <c r="S2" s="143" t="s">
        <v>140</v>
      </c>
      <c r="T2" s="140" t="s">
        <v>183</v>
      </c>
      <c r="U2" s="140" t="s">
        <v>31</v>
      </c>
      <c r="V2" s="101" t="s">
        <v>184</v>
      </c>
      <c r="W2" s="123" t="s">
        <v>45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</sheetData>
  <sheetProtection/>
  <conditionalFormatting sqref="C2:D2">
    <cfRule type="cellIs" priority="3" dxfId="0" operator="equal" stopIfTrue="1">
      <formula>#REF!</formula>
    </cfRule>
  </conditionalFormatting>
  <conditionalFormatting sqref="L2:O2 E2:J2">
    <cfRule type="cellIs" priority="2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A1">
      <pane ySplit="1" topLeftCell="BM32" activePane="bottomLeft" state="frozen"/>
      <selection pane="topLeft" activeCell="J1" sqref="J1"/>
      <selection pane="bottomLeft" activeCell="N2" sqref="N2:N1910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0" width="9.140625" style="2" customWidth="1"/>
  </cols>
  <sheetData>
    <row r="1" spans="1:20" ht="26.25">
      <c r="A1" s="46" t="s">
        <v>1</v>
      </c>
      <c r="B1" s="46" t="s">
        <v>3</v>
      </c>
      <c r="E1" s="75" t="s">
        <v>41</v>
      </c>
      <c r="F1" s="75"/>
      <c r="G1" s="75"/>
      <c r="H1" s="75"/>
      <c r="L1" s="104" t="s">
        <v>127</v>
      </c>
      <c r="M1" s="154" t="s">
        <v>161</v>
      </c>
      <c r="N1" s="154" t="s">
        <v>162</v>
      </c>
      <c r="O1" s="105" t="s">
        <v>166</v>
      </c>
      <c r="P1" s="105" t="s">
        <v>165</v>
      </c>
      <c r="Q1" s="104" t="s">
        <v>136</v>
      </c>
      <c r="R1" s="104" t="s">
        <v>137</v>
      </c>
      <c r="S1" s="105" t="s">
        <v>163</v>
      </c>
      <c r="T1" s="105" t="s">
        <v>164</v>
      </c>
    </row>
    <row r="2" spans="1:20" ht="12.75">
      <c r="A2" s="47">
        <v>14</v>
      </c>
      <c r="B2" s="47">
        <v>1.23</v>
      </c>
      <c r="C2" s="358" t="s">
        <v>73</v>
      </c>
      <c r="L2" s="2">
        <v>40</v>
      </c>
      <c r="M2" s="2">
        <v>1.3354</v>
      </c>
      <c r="N2" s="2">
        <v>1.4936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</row>
    <row r="3" spans="1:20" ht="12.75">
      <c r="A3" s="47">
        <v>15</v>
      </c>
      <c r="B3" s="47">
        <v>1.18</v>
      </c>
      <c r="C3" s="358"/>
      <c r="L3" s="2">
        <v>40.1</v>
      </c>
      <c r="M3" s="2">
        <v>1.3311</v>
      </c>
      <c r="N3" s="2">
        <v>1.4915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</row>
    <row r="4" spans="1:20" ht="12.75">
      <c r="A4" s="47">
        <v>16</v>
      </c>
      <c r="B4" s="47">
        <v>1.13</v>
      </c>
      <c r="C4" s="358"/>
      <c r="L4" s="2">
        <v>40.2</v>
      </c>
      <c r="M4" s="2">
        <v>1.3268</v>
      </c>
      <c r="N4" s="2">
        <v>1.4894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</row>
    <row r="5" spans="1:20" ht="12.75">
      <c r="A5" s="48">
        <v>17</v>
      </c>
      <c r="B5" s="48">
        <v>1.08</v>
      </c>
      <c r="C5" s="358"/>
      <c r="L5" s="2">
        <v>40.3</v>
      </c>
      <c r="M5" s="2">
        <v>1.3225</v>
      </c>
      <c r="N5" s="2">
        <v>1.4872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</row>
    <row r="6" spans="1:20" ht="12.75">
      <c r="A6" s="48">
        <v>18</v>
      </c>
      <c r="B6" s="48">
        <v>1.06</v>
      </c>
      <c r="C6" s="358"/>
      <c r="L6" s="2">
        <v>40.4</v>
      </c>
      <c r="M6" s="2">
        <v>1.3182</v>
      </c>
      <c r="N6" s="2">
        <v>1.4851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</row>
    <row r="7" spans="1:20" ht="12.75">
      <c r="A7" s="48">
        <v>19</v>
      </c>
      <c r="B7" s="48">
        <v>1.04</v>
      </c>
      <c r="C7" s="358"/>
      <c r="L7" s="2">
        <v>40.5</v>
      </c>
      <c r="M7" s="2">
        <v>1.314</v>
      </c>
      <c r="N7" s="2">
        <v>1.483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</row>
    <row r="8" spans="1:20" ht="12.75">
      <c r="A8" s="48">
        <v>20</v>
      </c>
      <c r="B8" s="48">
        <v>1.03</v>
      </c>
      <c r="C8" s="358"/>
      <c r="L8" s="2">
        <v>40.6</v>
      </c>
      <c r="M8" s="2">
        <v>1.3098</v>
      </c>
      <c r="N8" s="2">
        <v>1.4809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</row>
    <row r="9" spans="1:20" ht="12.75">
      <c r="A9" s="48">
        <v>21</v>
      </c>
      <c r="B9" s="48">
        <v>1.02</v>
      </c>
      <c r="C9" s="358"/>
      <c r="L9" s="2">
        <v>40.7</v>
      </c>
      <c r="M9" s="2">
        <v>1.3057</v>
      </c>
      <c r="N9" s="2">
        <v>1.4788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</row>
    <row r="10" spans="1:20" ht="12.75">
      <c r="A10" s="48">
        <v>22</v>
      </c>
      <c r="B10" s="48">
        <v>1.01</v>
      </c>
      <c r="C10" s="358"/>
      <c r="L10" s="2">
        <v>40.8</v>
      </c>
      <c r="M10" s="2">
        <v>1.3016</v>
      </c>
      <c r="N10" s="2">
        <v>1.4766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</row>
    <row r="11" spans="1:20" ht="12.75">
      <c r="A11" s="2">
        <v>23</v>
      </c>
      <c r="B11" s="2">
        <v>1</v>
      </c>
      <c r="C11" s="358"/>
      <c r="L11" s="2">
        <v>41</v>
      </c>
      <c r="M11" s="2">
        <v>1.2934</v>
      </c>
      <c r="N11" s="2">
        <v>1.4724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</row>
    <row r="12" spans="1:20" ht="12.75" customHeight="1">
      <c r="A12" s="2">
        <v>30</v>
      </c>
      <c r="B12" s="2">
        <v>1</v>
      </c>
      <c r="D12" s="76"/>
      <c r="E12" s="356" t="s">
        <v>40</v>
      </c>
      <c r="F12" s="357"/>
      <c r="G12" s="77"/>
      <c r="L12" s="2">
        <v>41.1</v>
      </c>
      <c r="M12" s="2">
        <v>1.2894</v>
      </c>
      <c r="N12" s="2">
        <v>1.4702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</row>
    <row r="13" spans="1:20" ht="17.25" customHeight="1">
      <c r="A13" s="49">
        <v>40</v>
      </c>
      <c r="B13" s="49" t="s">
        <v>84</v>
      </c>
      <c r="C13" s="358" t="s">
        <v>74</v>
      </c>
      <c r="D13" s="1"/>
      <c r="E13" s="79" t="s">
        <v>127</v>
      </c>
      <c r="F13" s="82" t="s">
        <v>128</v>
      </c>
      <c r="G13" s="3" t="s">
        <v>181</v>
      </c>
      <c r="L13" s="2">
        <v>41.2</v>
      </c>
      <c r="M13" s="2">
        <v>1.2854</v>
      </c>
      <c r="N13" s="2">
        <v>1.4681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</row>
    <row r="14" spans="1:20" ht="12.75">
      <c r="A14" s="49">
        <v>41</v>
      </c>
      <c r="B14" s="49" t="s">
        <v>85</v>
      </c>
      <c r="C14" s="358"/>
      <c r="E14" s="79">
        <v>44</v>
      </c>
      <c r="F14" s="82">
        <v>97</v>
      </c>
      <c r="G14" s="3">
        <v>97.00240000000001</v>
      </c>
      <c r="L14" s="2">
        <v>41.3</v>
      </c>
      <c r="M14" s="2">
        <v>1.2814</v>
      </c>
      <c r="N14" s="2">
        <v>1.466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</row>
    <row r="15" spans="1:20" ht="12.75">
      <c r="A15" s="49">
        <v>42</v>
      </c>
      <c r="B15" s="49" t="s">
        <v>86</v>
      </c>
      <c r="C15" s="358"/>
      <c r="E15" s="79">
        <v>48</v>
      </c>
      <c r="F15" s="82">
        <v>105</v>
      </c>
      <c r="G15" s="3">
        <v>105.8208</v>
      </c>
      <c r="L15" s="2">
        <v>41.4</v>
      </c>
      <c r="M15" s="2">
        <v>1.2775</v>
      </c>
      <c r="N15" s="2">
        <v>1.4638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</row>
    <row r="16" spans="1:20" ht="12.75">
      <c r="A16" s="49">
        <v>43</v>
      </c>
      <c r="B16" s="49" t="s">
        <v>87</v>
      </c>
      <c r="C16" s="358"/>
      <c r="E16" s="79">
        <v>52</v>
      </c>
      <c r="F16" s="82">
        <v>114</v>
      </c>
      <c r="G16" s="3">
        <v>114.6392</v>
      </c>
      <c r="L16" s="2">
        <v>41.5</v>
      </c>
      <c r="M16" s="2">
        <v>1.2736</v>
      </c>
      <c r="N16" s="2">
        <v>1.4617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</row>
    <row r="17" spans="1:20" ht="12.75">
      <c r="A17" s="49">
        <v>44</v>
      </c>
      <c r="B17" s="49" t="s">
        <v>88</v>
      </c>
      <c r="C17" s="358"/>
      <c r="E17" s="79">
        <v>56</v>
      </c>
      <c r="F17" s="82">
        <v>123</v>
      </c>
      <c r="G17" s="3">
        <v>123.45760000000001</v>
      </c>
      <c r="L17" s="2">
        <v>41.6</v>
      </c>
      <c r="M17" s="2">
        <v>1.2697</v>
      </c>
      <c r="N17" s="2">
        <v>1.4595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</row>
    <row r="18" spans="1:25" ht="12.75" customHeight="1">
      <c r="A18" s="49">
        <v>45</v>
      </c>
      <c r="B18" s="49" t="s">
        <v>89</v>
      </c>
      <c r="C18" s="358"/>
      <c r="E18" s="79">
        <v>60</v>
      </c>
      <c r="F18" s="82">
        <v>132</v>
      </c>
      <c r="G18" s="3">
        <v>132.276</v>
      </c>
      <c r="J18" s="66"/>
      <c r="K18" s="66"/>
      <c r="L18" s="106">
        <v>41.7</v>
      </c>
      <c r="M18" s="106">
        <v>1.2658</v>
      </c>
      <c r="N18" s="106">
        <v>1.4574</v>
      </c>
      <c r="O18" s="106">
        <v>1.2467</v>
      </c>
      <c r="P18" s="106">
        <v>1.1579</v>
      </c>
      <c r="Q18" s="106">
        <v>1.2658</v>
      </c>
      <c r="R18" s="106">
        <v>1.4574</v>
      </c>
      <c r="S18" s="2">
        <v>1.25625</v>
      </c>
      <c r="T18" s="2">
        <v>1.3065</v>
      </c>
      <c r="U18" s="66"/>
      <c r="V18" s="66"/>
      <c r="W18" s="66"/>
      <c r="X18" s="67"/>
      <c r="Y18" s="67"/>
    </row>
    <row r="19" spans="1:20" ht="12.75" customHeight="1">
      <c r="A19" s="49">
        <v>46</v>
      </c>
      <c r="B19" s="49" t="s">
        <v>90</v>
      </c>
      <c r="C19" s="358"/>
      <c r="E19" s="79">
        <v>67.5</v>
      </c>
      <c r="F19" s="82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</row>
    <row r="20" spans="1:20" ht="12.75" customHeight="1">
      <c r="A20" s="49">
        <v>47</v>
      </c>
      <c r="B20" s="49" t="s">
        <v>91</v>
      </c>
      <c r="C20" s="358"/>
      <c r="E20" s="79">
        <v>75</v>
      </c>
      <c r="F20" s="82">
        <v>165</v>
      </c>
      <c r="G20" s="3">
        <v>165.345</v>
      </c>
      <c r="L20" s="2">
        <v>41.9</v>
      </c>
      <c r="M20" s="2">
        <v>1.2582</v>
      </c>
      <c r="N20" s="2">
        <v>1.4531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</row>
    <row r="21" spans="1:20" ht="12.75">
      <c r="A21" s="49">
        <v>48</v>
      </c>
      <c r="B21" s="49" t="s">
        <v>92</v>
      </c>
      <c r="C21" s="358"/>
      <c r="E21" s="79">
        <v>82.5</v>
      </c>
      <c r="F21" s="82">
        <v>181</v>
      </c>
      <c r="G21" s="3">
        <v>181.8795</v>
      </c>
      <c r="L21" s="2">
        <v>42</v>
      </c>
      <c r="M21" s="2">
        <v>1.2545</v>
      </c>
      <c r="N21" s="2">
        <v>1.451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</row>
    <row r="22" spans="1:20" ht="12.75">
      <c r="A22" s="49">
        <v>49</v>
      </c>
      <c r="B22" s="49" t="s">
        <v>93</v>
      </c>
      <c r="C22" s="358"/>
      <c r="E22" s="79">
        <v>90</v>
      </c>
      <c r="F22" s="82">
        <v>198</v>
      </c>
      <c r="G22" s="3">
        <v>198.41400000000002</v>
      </c>
      <c r="L22" s="2">
        <v>42.1</v>
      </c>
      <c r="M22" s="2">
        <v>1.2507</v>
      </c>
      <c r="N22" s="2">
        <v>1.4488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</row>
    <row r="23" spans="1:20" ht="12.75">
      <c r="A23" s="49">
        <v>50</v>
      </c>
      <c r="B23" s="49" t="s">
        <v>94</v>
      </c>
      <c r="E23" s="79">
        <v>100</v>
      </c>
      <c r="F23" s="82">
        <v>220</v>
      </c>
      <c r="G23" s="3">
        <v>220.46</v>
      </c>
      <c r="L23" s="2">
        <v>42.2</v>
      </c>
      <c r="M23" s="2">
        <v>1.247</v>
      </c>
      <c r="N23" s="2">
        <v>1.4467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</row>
    <row r="24" spans="1:20" ht="12.75">
      <c r="A24" s="49">
        <v>51</v>
      </c>
      <c r="B24" s="49" t="s">
        <v>95</v>
      </c>
      <c r="E24" s="79">
        <v>110</v>
      </c>
      <c r="F24" s="82">
        <v>242</v>
      </c>
      <c r="G24" s="3">
        <v>242.506</v>
      </c>
      <c r="I24" s="4"/>
      <c r="L24" s="2">
        <v>42.3</v>
      </c>
      <c r="M24" s="2">
        <v>1.2433</v>
      </c>
      <c r="N24" s="2">
        <v>1.4445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</row>
    <row r="25" spans="1:20" ht="12.75">
      <c r="A25" s="49">
        <v>52</v>
      </c>
      <c r="B25" s="49" t="s">
        <v>96</v>
      </c>
      <c r="E25" s="79">
        <v>125</v>
      </c>
      <c r="F25" s="82">
        <v>275</v>
      </c>
      <c r="G25" s="3">
        <v>275.575</v>
      </c>
      <c r="I25" s="4"/>
      <c r="L25" s="2">
        <v>42.4</v>
      </c>
      <c r="M25" s="2">
        <v>1.2397</v>
      </c>
      <c r="N25" s="2">
        <v>1.4424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</row>
    <row r="26" spans="1:20" ht="12.75">
      <c r="A26" s="49">
        <v>53</v>
      </c>
      <c r="B26" s="49" t="s">
        <v>97</v>
      </c>
      <c r="E26" s="79">
        <v>140</v>
      </c>
      <c r="F26" s="82">
        <v>308</v>
      </c>
      <c r="G26" s="3">
        <v>308.644</v>
      </c>
      <c r="L26" s="2">
        <v>42.5</v>
      </c>
      <c r="M26" s="2">
        <v>1.236</v>
      </c>
      <c r="N26" s="2">
        <v>1.4402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</row>
    <row r="27" spans="1:20" ht="12.75">
      <c r="A27" s="49">
        <v>54</v>
      </c>
      <c r="B27" s="49" t="s">
        <v>98</v>
      </c>
      <c r="E27" s="80">
        <v>145</v>
      </c>
      <c r="F27" s="82">
        <v>319</v>
      </c>
      <c r="G27" s="3">
        <v>319.66700000000003</v>
      </c>
      <c r="L27" s="2">
        <v>42.6</v>
      </c>
      <c r="M27" s="2">
        <v>1.2324</v>
      </c>
      <c r="N27" s="2">
        <v>1.4381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</row>
    <row r="28" spans="1:20" ht="12.75">
      <c r="A28" s="49">
        <v>55</v>
      </c>
      <c r="B28" s="49" t="s">
        <v>99</v>
      </c>
      <c r="E28" s="81" t="s">
        <v>126</v>
      </c>
      <c r="F28" s="83" t="s">
        <v>126</v>
      </c>
      <c r="G28" s="203" t="s">
        <v>182</v>
      </c>
      <c r="L28" s="2">
        <v>42.7</v>
      </c>
      <c r="M28" s="2">
        <v>1.2289</v>
      </c>
      <c r="N28" s="2">
        <v>1.4359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</row>
    <row r="29" spans="1:20" ht="12.75">
      <c r="A29" s="49">
        <v>56</v>
      </c>
      <c r="B29" s="49" t="s">
        <v>100</v>
      </c>
      <c r="D29" s="78"/>
      <c r="L29" s="2">
        <v>42.8</v>
      </c>
      <c r="M29" s="2">
        <v>1.2253</v>
      </c>
      <c r="N29" s="2">
        <v>1.4338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</row>
    <row r="30" spans="1:20" ht="12.75">
      <c r="A30" s="50">
        <v>57</v>
      </c>
      <c r="B30" s="50" t="s">
        <v>101</v>
      </c>
      <c r="L30" s="2">
        <v>42.9</v>
      </c>
      <c r="M30" s="2">
        <v>1.2218</v>
      </c>
      <c r="N30" s="2">
        <v>1.4316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</row>
    <row r="31" spans="1:20" ht="12.75">
      <c r="A31" s="51">
        <v>58</v>
      </c>
      <c r="B31" s="51" t="s">
        <v>102</v>
      </c>
      <c r="L31" s="2">
        <v>43</v>
      </c>
      <c r="M31" s="2">
        <v>1.2183</v>
      </c>
      <c r="N31" s="2">
        <v>1.4295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</row>
    <row r="32" spans="1:20" ht="12.75">
      <c r="A32" s="51">
        <v>59</v>
      </c>
      <c r="B32" s="51" t="s">
        <v>103</v>
      </c>
      <c r="F32" s="5">
        <v>44</v>
      </c>
      <c r="G32" s="5">
        <v>44</v>
      </c>
      <c r="L32" s="2">
        <v>43.1</v>
      </c>
      <c r="M32" s="2">
        <v>1.2148</v>
      </c>
      <c r="N32" s="2">
        <v>1.4273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</row>
    <row r="33" spans="1:20" ht="12.75" customHeight="1">
      <c r="A33" s="51">
        <v>60</v>
      </c>
      <c r="B33" s="51" t="s">
        <v>104</v>
      </c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</row>
    <row r="34" spans="1:20" ht="12.75" customHeight="1">
      <c r="A34" s="51">
        <v>61</v>
      </c>
      <c r="B34" s="51" t="s">
        <v>105</v>
      </c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</row>
    <row r="35" spans="1:20" ht="12.75" customHeight="1">
      <c r="A35" s="51">
        <v>62</v>
      </c>
      <c r="B35" s="51" t="s">
        <v>106</v>
      </c>
      <c r="F35" s="5">
        <v>56</v>
      </c>
      <c r="G35" s="5">
        <v>56</v>
      </c>
      <c r="L35" s="2">
        <v>43.4</v>
      </c>
      <c r="M35" s="2">
        <v>1.2045</v>
      </c>
      <c r="N35" s="2">
        <v>1.4209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</row>
    <row r="36" spans="1:20" ht="12.75" customHeight="1">
      <c r="A36" s="51">
        <v>63</v>
      </c>
      <c r="B36" s="51" t="s">
        <v>107</v>
      </c>
      <c r="F36" s="5">
        <v>60</v>
      </c>
      <c r="G36" s="5">
        <v>60</v>
      </c>
      <c r="L36" s="2">
        <v>43.5</v>
      </c>
      <c r="M36" s="2">
        <v>1.2011</v>
      </c>
      <c r="N36" s="2">
        <v>1.4188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</row>
    <row r="37" spans="1:20" ht="12.75">
      <c r="A37" s="51">
        <v>64</v>
      </c>
      <c r="B37" s="51" t="s">
        <v>108</v>
      </c>
      <c r="F37" s="5">
        <v>67.5</v>
      </c>
      <c r="G37" s="5">
        <v>67.5</v>
      </c>
      <c r="L37" s="2">
        <v>43.6</v>
      </c>
      <c r="M37" s="2">
        <v>1.1978</v>
      </c>
      <c r="N37" s="2">
        <v>1.4166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</row>
    <row r="38" spans="1:20" ht="12.75" customHeight="1">
      <c r="A38" s="51">
        <v>65</v>
      </c>
      <c r="B38" s="51" t="s">
        <v>109</v>
      </c>
      <c r="F38" s="5">
        <v>75</v>
      </c>
      <c r="G38" s="5">
        <v>75</v>
      </c>
      <c r="L38" s="2">
        <v>43.7</v>
      </c>
      <c r="M38" s="2">
        <v>1.1944</v>
      </c>
      <c r="N38" s="2">
        <v>1.4145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</row>
    <row r="39" spans="1:20" ht="13.5" customHeight="1">
      <c r="A39" s="51">
        <v>66</v>
      </c>
      <c r="B39" s="51" t="s">
        <v>110</v>
      </c>
      <c r="F39" s="5">
        <v>82.5</v>
      </c>
      <c r="G39" s="5">
        <v>82.5</v>
      </c>
      <c r="L39" s="2">
        <v>43.8</v>
      </c>
      <c r="M39" s="2">
        <v>1.1911</v>
      </c>
      <c r="N39" s="2">
        <v>1.4123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</row>
    <row r="40" spans="1:20" ht="12.75" customHeight="1">
      <c r="A40" s="51">
        <v>67</v>
      </c>
      <c r="B40" s="51" t="s">
        <v>111</v>
      </c>
      <c r="F40" s="5">
        <v>90</v>
      </c>
      <c r="G40" s="5">
        <v>90</v>
      </c>
      <c r="L40" s="2">
        <v>43.9</v>
      </c>
      <c r="M40" s="2">
        <v>1.1878</v>
      </c>
      <c r="N40" s="2">
        <v>1.4102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</row>
    <row r="41" spans="1:20" ht="12.75" customHeight="1">
      <c r="A41" s="51">
        <v>68</v>
      </c>
      <c r="B41" s="51" t="s">
        <v>112</v>
      </c>
      <c r="F41" s="5">
        <v>97</v>
      </c>
      <c r="G41" s="5">
        <v>97.00240000000001</v>
      </c>
      <c r="L41" s="2">
        <v>44</v>
      </c>
      <c r="M41" s="2">
        <v>1.1846</v>
      </c>
      <c r="N41" s="2">
        <v>1.4081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</row>
    <row r="42" spans="1:20" ht="12.75">
      <c r="A42" s="51">
        <v>69</v>
      </c>
      <c r="B42" s="51" t="s">
        <v>113</v>
      </c>
      <c r="F42" s="5">
        <v>100</v>
      </c>
      <c r="G42" s="5">
        <v>100</v>
      </c>
      <c r="L42" s="2">
        <v>44.1</v>
      </c>
      <c r="M42" s="2">
        <v>1.1813</v>
      </c>
      <c r="N42" s="2">
        <v>1.4059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</row>
    <row r="43" spans="1:20" ht="12.75">
      <c r="A43" s="51">
        <v>70</v>
      </c>
      <c r="B43" s="51" t="s">
        <v>114</v>
      </c>
      <c r="F43" s="5">
        <v>105</v>
      </c>
      <c r="G43" s="5">
        <v>105.8208</v>
      </c>
      <c r="L43" s="2">
        <v>44.2</v>
      </c>
      <c r="M43" s="2">
        <v>1.1781</v>
      </c>
      <c r="N43" s="2">
        <v>1.4038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</row>
    <row r="44" spans="1:20" ht="12.75">
      <c r="A44" s="51">
        <v>71</v>
      </c>
      <c r="B44" s="51" t="s">
        <v>115</v>
      </c>
      <c r="F44" s="5">
        <v>110</v>
      </c>
      <c r="G44" s="5">
        <v>110</v>
      </c>
      <c r="L44" s="2">
        <v>44.3</v>
      </c>
      <c r="M44" s="2">
        <v>1.1749</v>
      </c>
      <c r="N44" s="2">
        <v>1.4017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</row>
    <row r="45" spans="1:20" ht="12.75">
      <c r="A45" s="51">
        <v>72</v>
      </c>
      <c r="B45" s="51" t="s">
        <v>116</v>
      </c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</row>
    <row r="46" spans="1:20" ht="12.75">
      <c r="A46" s="51">
        <v>73</v>
      </c>
      <c r="B46" s="51" t="s">
        <v>117</v>
      </c>
      <c r="F46" s="5">
        <v>123</v>
      </c>
      <c r="G46" s="5">
        <v>123.45760000000001</v>
      </c>
      <c r="L46" s="2">
        <v>44.5</v>
      </c>
      <c r="M46" s="2">
        <v>1.1686</v>
      </c>
      <c r="N46" s="2">
        <v>1.3974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</row>
    <row r="47" spans="1:20" ht="12.75">
      <c r="A47" s="51">
        <v>74</v>
      </c>
      <c r="B47" s="51" t="s">
        <v>118</v>
      </c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</row>
    <row r="48" spans="1:20" ht="12.75">
      <c r="A48" s="51">
        <v>75</v>
      </c>
      <c r="B48" s="51" t="s">
        <v>119</v>
      </c>
      <c r="F48" s="5">
        <v>132</v>
      </c>
      <c r="G48" s="5">
        <v>132.276</v>
      </c>
      <c r="L48" s="2">
        <v>44.7</v>
      </c>
      <c r="M48" s="2">
        <v>1.1623</v>
      </c>
      <c r="N48" s="2">
        <v>1.3932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</row>
    <row r="49" spans="1:20" ht="12.75">
      <c r="A49" s="51">
        <v>76</v>
      </c>
      <c r="B49" s="51" t="s">
        <v>120</v>
      </c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</row>
    <row r="50" spans="1:20" ht="12.75">
      <c r="A50" s="51">
        <v>77</v>
      </c>
      <c r="B50" s="51" t="s">
        <v>121</v>
      </c>
      <c r="F50" s="5">
        <v>145</v>
      </c>
      <c r="G50" s="5">
        <v>145</v>
      </c>
      <c r="L50" s="2">
        <v>44.9</v>
      </c>
      <c r="M50" s="2">
        <v>1.1562</v>
      </c>
      <c r="N50" s="2">
        <v>1.3889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</row>
    <row r="51" spans="1:20" ht="12.75">
      <c r="A51" s="51">
        <v>78</v>
      </c>
      <c r="B51" s="51" t="s">
        <v>122</v>
      </c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</row>
    <row r="52" spans="1:20" ht="12.75">
      <c r="A52" s="51">
        <v>79</v>
      </c>
      <c r="B52" s="51" t="s">
        <v>123</v>
      </c>
      <c r="F52" s="5">
        <v>165</v>
      </c>
      <c r="G52" s="5">
        <v>165.345</v>
      </c>
      <c r="L52" s="2">
        <v>45.1</v>
      </c>
      <c r="M52" s="2">
        <v>1.1501</v>
      </c>
      <c r="N52" s="2">
        <v>1.3847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</row>
    <row r="53" spans="1:20" ht="12.75">
      <c r="A53" s="51">
        <v>80</v>
      </c>
      <c r="B53" s="51" t="s">
        <v>124</v>
      </c>
      <c r="F53" s="5">
        <v>181</v>
      </c>
      <c r="G53" s="5">
        <v>181.8795</v>
      </c>
      <c r="L53" s="2">
        <v>45.2</v>
      </c>
      <c r="M53" s="2">
        <v>1.1471</v>
      </c>
      <c r="N53" s="2">
        <v>1.3825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</row>
    <row r="54" spans="6:20" ht="12.75">
      <c r="F54" s="5">
        <v>198</v>
      </c>
      <c r="G54" s="5">
        <v>198.41400000000002</v>
      </c>
      <c r="L54" s="2">
        <v>45.3</v>
      </c>
      <c r="M54" s="2">
        <v>1.1441</v>
      </c>
      <c r="N54" s="2">
        <v>1.3804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</row>
    <row r="55" spans="6:20" ht="12.75">
      <c r="F55" s="5">
        <v>220</v>
      </c>
      <c r="G55" s="5">
        <v>220.46</v>
      </c>
      <c r="L55" s="2">
        <v>45.4</v>
      </c>
      <c r="M55" s="2">
        <v>1.1411</v>
      </c>
      <c r="N55" s="2">
        <v>1.3783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</row>
    <row r="56" spans="6:20" ht="12.75">
      <c r="F56" s="5">
        <v>242</v>
      </c>
      <c r="G56" s="5">
        <v>242.506</v>
      </c>
      <c r="L56" s="2">
        <v>45.5</v>
      </c>
      <c r="M56" s="2">
        <v>1.1382</v>
      </c>
      <c r="N56" s="2">
        <v>1.3762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</row>
    <row r="57" spans="6:20" ht="12.75">
      <c r="F57" s="5">
        <v>275</v>
      </c>
      <c r="G57" s="5">
        <v>275.575</v>
      </c>
      <c r="L57" s="2">
        <v>45.6</v>
      </c>
      <c r="M57" s="2">
        <v>1.1352</v>
      </c>
      <c r="N57" s="2">
        <v>1.3741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</row>
    <row r="58" spans="6:20" ht="12.75">
      <c r="F58" s="5">
        <v>308</v>
      </c>
      <c r="G58" s="5">
        <v>308.644</v>
      </c>
      <c r="L58" s="2">
        <v>45.7</v>
      </c>
      <c r="M58" s="2">
        <v>1.1323</v>
      </c>
      <c r="N58" s="2">
        <v>1.372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</row>
    <row r="59" spans="6:20" ht="12.75">
      <c r="F59" s="5">
        <v>319</v>
      </c>
      <c r="G59" s="5">
        <v>319.66700000000003</v>
      </c>
      <c r="L59" s="2">
        <v>45.8</v>
      </c>
      <c r="M59" s="2">
        <v>1.1294</v>
      </c>
      <c r="N59" s="2">
        <v>1.3699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</row>
    <row r="60" spans="12:20" ht="12.75">
      <c r="L60" s="2">
        <v>45.9</v>
      </c>
      <c r="M60" s="2">
        <v>1.1266</v>
      </c>
      <c r="N60" s="2">
        <v>1.3678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</row>
    <row r="61" spans="12:20" ht="12.75">
      <c r="L61" s="2">
        <v>46</v>
      </c>
      <c r="M61" s="2">
        <v>1.1237</v>
      </c>
      <c r="N61" s="2">
        <v>1.3657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</row>
    <row r="62" spans="12:20" ht="12.75">
      <c r="L62" s="2">
        <v>46.1</v>
      </c>
      <c r="M62" s="2">
        <v>1.1209</v>
      </c>
      <c r="N62" s="2">
        <v>1.3636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</row>
    <row r="63" spans="12:20" ht="12.75">
      <c r="L63" s="2">
        <v>46.2</v>
      </c>
      <c r="M63" s="2">
        <v>1.1181</v>
      </c>
      <c r="N63" s="2">
        <v>1.3615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</row>
    <row r="64" spans="12:20" ht="12.75">
      <c r="L64" s="2">
        <v>46.3</v>
      </c>
      <c r="M64" s="2">
        <v>1.1153</v>
      </c>
      <c r="N64" s="2">
        <v>1.3594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</row>
    <row r="65" spans="12:20" ht="12.75">
      <c r="L65" s="2">
        <v>46.4</v>
      </c>
      <c r="M65" s="2">
        <v>1.1125</v>
      </c>
      <c r="N65" s="2">
        <v>1.3573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</row>
    <row r="66" spans="12:20" ht="12.75">
      <c r="L66" s="2">
        <v>46.5</v>
      </c>
      <c r="M66" s="2">
        <v>1.1097</v>
      </c>
      <c r="N66" s="2">
        <v>1.3553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</row>
    <row r="67" spans="12:20" ht="12.75">
      <c r="L67" s="2">
        <v>46.6</v>
      </c>
      <c r="M67" s="2">
        <v>1.107</v>
      </c>
      <c r="N67" s="2">
        <v>1.3532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</row>
    <row r="68" spans="12:20" ht="12.75">
      <c r="L68" s="2">
        <v>46.7</v>
      </c>
      <c r="M68" s="2">
        <v>1.1042</v>
      </c>
      <c r="N68" s="2">
        <v>1.3511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</row>
    <row r="69" spans="12:20" ht="12.75">
      <c r="L69" s="2">
        <v>46.8</v>
      </c>
      <c r="M69" s="2">
        <v>1.1015</v>
      </c>
      <c r="N69" s="2">
        <v>1.349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</row>
    <row r="70" spans="12:20" ht="12.75">
      <c r="L70" s="2">
        <v>46.9</v>
      </c>
      <c r="M70" s="2">
        <v>1.0988</v>
      </c>
      <c r="N70" s="2">
        <v>1.347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</row>
    <row r="71" spans="12:20" ht="12.75">
      <c r="L71" s="2">
        <v>47</v>
      </c>
      <c r="M71" s="2">
        <v>1.0962</v>
      </c>
      <c r="N71" s="2">
        <v>1.3449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</row>
    <row r="72" spans="12:20" ht="12.75">
      <c r="L72" s="2">
        <v>47.1</v>
      </c>
      <c r="M72" s="2">
        <v>1.0935</v>
      </c>
      <c r="N72" s="2">
        <v>1.3428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</row>
    <row r="73" spans="12:20" ht="12.75">
      <c r="L73" s="2">
        <v>47.2</v>
      </c>
      <c r="M73" s="2">
        <v>1.0909</v>
      </c>
      <c r="N73" s="2">
        <v>1.3408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</row>
    <row r="74" spans="12:20" ht="12.75">
      <c r="L74" s="2">
        <v>47.3</v>
      </c>
      <c r="M74" s="2">
        <v>1.0882</v>
      </c>
      <c r="N74" s="2">
        <v>1.3387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</row>
    <row r="75" spans="12:20" ht="12.75">
      <c r="L75" s="2">
        <v>47.4</v>
      </c>
      <c r="M75" s="2">
        <v>1.0856</v>
      </c>
      <c r="N75" s="2">
        <v>1.3367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</row>
    <row r="76" spans="12:20" ht="12.75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</row>
    <row r="77" spans="12:20" ht="12.75">
      <c r="L77" s="2">
        <v>47.6</v>
      </c>
      <c r="M77" s="2">
        <v>1.0805</v>
      </c>
      <c r="N77" s="2">
        <v>1.3326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</row>
    <row r="78" spans="12:20" ht="12.75">
      <c r="L78" s="2">
        <v>47.7</v>
      </c>
      <c r="M78" s="2">
        <v>1.0779</v>
      </c>
      <c r="N78" s="2">
        <v>1.3305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</row>
    <row r="79" spans="12:20" ht="12.75">
      <c r="L79" s="2">
        <v>47.8</v>
      </c>
      <c r="M79" s="2">
        <v>1.0754</v>
      </c>
      <c r="N79" s="2">
        <v>1.3285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</row>
    <row r="80" spans="12:20" ht="12.75">
      <c r="L80" s="2">
        <v>47.9</v>
      </c>
      <c r="M80" s="2">
        <v>1.0728</v>
      </c>
      <c r="N80" s="2">
        <v>1.3265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</row>
    <row r="81" spans="12:20" ht="12.75">
      <c r="L81" s="2">
        <v>48</v>
      </c>
      <c r="M81" s="2">
        <v>1.0703</v>
      </c>
      <c r="N81" s="2">
        <v>1.3244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</row>
    <row r="82" spans="12:20" ht="12.75">
      <c r="L82" s="2">
        <v>48.1</v>
      </c>
      <c r="M82" s="2">
        <v>1.0678</v>
      </c>
      <c r="N82" s="2">
        <v>1.3224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</row>
    <row r="83" spans="12:20" ht="12.75">
      <c r="L83" s="2">
        <v>48.2</v>
      </c>
      <c r="M83" s="2">
        <v>1.0653</v>
      </c>
      <c r="N83" s="2">
        <v>1.3204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</row>
    <row r="84" spans="12:20" ht="12.75">
      <c r="L84" s="2">
        <v>48.3</v>
      </c>
      <c r="M84" s="2">
        <v>1.0629</v>
      </c>
      <c r="N84" s="2">
        <v>1.3183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</row>
    <row r="85" spans="12:20" ht="12.75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</row>
    <row r="86" spans="12:20" ht="12.75">
      <c r="L86" s="2">
        <v>48.5</v>
      </c>
      <c r="M86" s="2">
        <v>1.058</v>
      </c>
      <c r="N86" s="2">
        <v>1.3143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</row>
    <row r="87" spans="12:20" ht="12.75">
      <c r="L87" s="2">
        <v>48.6</v>
      </c>
      <c r="M87" s="2">
        <v>1.0556</v>
      </c>
      <c r="N87" s="2">
        <v>1.3123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</row>
    <row r="88" spans="12:20" ht="12.75">
      <c r="L88" s="2">
        <v>48.7</v>
      </c>
      <c r="M88" s="2">
        <v>1.0532</v>
      </c>
      <c r="N88" s="2">
        <v>1.3103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</row>
    <row r="89" spans="12:20" ht="12.75">
      <c r="L89" s="2">
        <v>48.8</v>
      </c>
      <c r="M89" s="2">
        <v>1.0508</v>
      </c>
      <c r="N89" s="2">
        <v>1.3083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</row>
    <row r="90" spans="12:20" ht="12.75">
      <c r="L90" s="2">
        <v>48.9</v>
      </c>
      <c r="M90" s="2">
        <v>1.0484</v>
      </c>
      <c r="N90" s="2">
        <v>1.3063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</row>
    <row r="91" spans="12:20" ht="12.75">
      <c r="L91" s="2">
        <v>49</v>
      </c>
      <c r="M91" s="2">
        <v>1.046</v>
      </c>
      <c r="N91" s="2">
        <v>1.3043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</row>
    <row r="92" spans="12:20" ht="12.75">
      <c r="L92" s="2">
        <v>49.1</v>
      </c>
      <c r="M92" s="2">
        <v>1.0437</v>
      </c>
      <c r="N92" s="2">
        <v>1.3023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</row>
    <row r="93" spans="12:20" ht="12.75">
      <c r="L93" s="2">
        <v>49.2</v>
      </c>
      <c r="M93" s="2">
        <v>1.0413</v>
      </c>
      <c r="N93" s="2">
        <v>1.3004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</row>
    <row r="94" spans="12:20" ht="12.75">
      <c r="L94" s="2">
        <v>49.3</v>
      </c>
      <c r="M94" s="2">
        <v>1.039</v>
      </c>
      <c r="N94" s="2">
        <v>1.2984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</row>
    <row r="95" spans="12:20" ht="12.75">
      <c r="L95" s="2">
        <v>49.4</v>
      </c>
      <c r="M95" s="2">
        <v>1.0367</v>
      </c>
      <c r="N95" s="2">
        <v>1.2964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</row>
    <row r="96" spans="12:20" ht="12.75">
      <c r="L96" s="2">
        <v>49.5</v>
      </c>
      <c r="M96" s="2">
        <v>1.0344</v>
      </c>
      <c r="N96" s="2">
        <v>1.2944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</row>
    <row r="97" spans="12:20" ht="12.75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</row>
    <row r="98" spans="12:20" ht="12.75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</row>
    <row r="99" spans="12:20" ht="12.75">
      <c r="L99" s="2">
        <v>49.8</v>
      </c>
      <c r="M99" s="2">
        <v>1.0276</v>
      </c>
      <c r="N99" s="2">
        <v>1.2885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</row>
    <row r="100" spans="12:20" ht="12.75">
      <c r="L100" s="2">
        <v>49.9</v>
      </c>
      <c r="M100" s="2">
        <v>1.0254</v>
      </c>
      <c r="N100" s="2">
        <v>1.2866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</row>
    <row r="101" spans="12:20" ht="12.75">
      <c r="L101" s="2">
        <v>50</v>
      </c>
      <c r="M101" s="2">
        <v>1.0232</v>
      </c>
      <c r="N101" s="2">
        <v>1.2846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</row>
    <row r="102" spans="12:20" ht="12.75">
      <c r="L102" s="2">
        <v>50.1</v>
      </c>
      <c r="M102" s="2">
        <v>1.021</v>
      </c>
      <c r="N102" s="2">
        <v>1.2827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</row>
    <row r="103" spans="12:20" ht="12.75">
      <c r="L103" s="2">
        <v>50.2</v>
      </c>
      <c r="M103" s="2">
        <v>1.0188</v>
      </c>
      <c r="N103" s="2">
        <v>1.2808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</row>
    <row r="104" spans="12:20" ht="12.75">
      <c r="L104" s="2">
        <v>50.3</v>
      </c>
      <c r="M104" s="2">
        <v>1.0166</v>
      </c>
      <c r="N104" s="2">
        <v>1.2788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</row>
    <row r="105" spans="12:20" ht="12.75">
      <c r="L105" s="2">
        <v>50.4</v>
      </c>
      <c r="M105" s="2">
        <v>1.0144</v>
      </c>
      <c r="N105" s="2">
        <v>1.2769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</row>
    <row r="106" spans="12:20" ht="12.75">
      <c r="L106" s="2">
        <v>50.5</v>
      </c>
      <c r="M106" s="2">
        <v>1.0122</v>
      </c>
      <c r="N106" s="2">
        <v>1.275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</row>
    <row r="107" spans="12:20" ht="12.75">
      <c r="L107" s="2">
        <v>50.6</v>
      </c>
      <c r="M107" s="2">
        <v>1.0101</v>
      </c>
      <c r="N107" s="2">
        <v>1.273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</row>
    <row r="108" spans="12:20" ht="12.75">
      <c r="L108" s="2">
        <v>50.7</v>
      </c>
      <c r="M108" s="2">
        <v>1.0079</v>
      </c>
      <c r="N108" s="2">
        <v>1.2711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</row>
    <row r="109" spans="12:20" ht="12.75">
      <c r="L109" s="2">
        <v>50.8</v>
      </c>
      <c r="M109" s="2">
        <v>1.0058</v>
      </c>
      <c r="N109" s="2">
        <v>1.2692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</row>
    <row r="110" spans="12:20" ht="12.75">
      <c r="L110" s="2">
        <v>50.9</v>
      </c>
      <c r="M110" s="2">
        <v>1.0037</v>
      </c>
      <c r="N110" s="2">
        <v>1.2673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</row>
    <row r="111" spans="12:20" ht="12.75">
      <c r="L111" s="2">
        <v>51</v>
      </c>
      <c r="M111" s="2">
        <v>1.0016</v>
      </c>
      <c r="N111" s="2">
        <v>1.2654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</row>
    <row r="112" spans="12:20" ht="12.75">
      <c r="L112" s="2">
        <v>51.1</v>
      </c>
      <c r="M112" s="2">
        <v>0.9995</v>
      </c>
      <c r="N112" s="2">
        <v>1.2635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</row>
    <row r="113" spans="12:20" ht="12.75">
      <c r="L113" s="2">
        <v>51.2</v>
      </c>
      <c r="M113" s="2">
        <v>0.9975</v>
      </c>
      <c r="N113" s="2">
        <v>1.2616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</row>
    <row r="114" spans="12:20" ht="12.75">
      <c r="L114" s="2">
        <v>51.3</v>
      </c>
      <c r="M114" s="2">
        <v>0.9954</v>
      </c>
      <c r="N114" s="2">
        <v>1.2597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</row>
    <row r="115" spans="12:20" ht="12.75">
      <c r="L115" s="2">
        <v>51.4</v>
      </c>
      <c r="M115" s="2">
        <v>0.9933</v>
      </c>
      <c r="N115" s="2">
        <v>1.2578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</row>
    <row r="116" spans="12:20" ht="12.75">
      <c r="L116" s="2">
        <v>51.5</v>
      </c>
      <c r="M116" s="2">
        <v>0.9913</v>
      </c>
      <c r="N116" s="2">
        <v>1.256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</row>
    <row r="117" spans="12:20" ht="12.75">
      <c r="L117" s="2">
        <v>51.6</v>
      </c>
      <c r="M117" s="2">
        <v>0.9893</v>
      </c>
      <c r="N117" s="2">
        <v>1.2541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</row>
    <row r="118" spans="12:20" ht="12.75">
      <c r="L118" s="2">
        <v>51.7</v>
      </c>
      <c r="M118" s="2">
        <v>0.9873</v>
      </c>
      <c r="N118" s="2">
        <v>1.2522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</row>
    <row r="119" spans="12:20" ht="12.75">
      <c r="L119" s="2">
        <v>51.8</v>
      </c>
      <c r="M119" s="2">
        <v>0.9853</v>
      </c>
      <c r="N119" s="2">
        <v>1.2504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</row>
    <row r="120" spans="12:20" ht="12.75">
      <c r="L120" s="2">
        <v>51.9</v>
      </c>
      <c r="M120" s="2">
        <v>0.9833</v>
      </c>
      <c r="N120" s="2">
        <v>1.2485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</row>
    <row r="121" spans="12:20" ht="12.75">
      <c r="L121" s="2">
        <v>52</v>
      </c>
      <c r="M121" s="2">
        <v>0.9813</v>
      </c>
      <c r="N121" s="2">
        <v>1.2466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</row>
    <row r="122" spans="12:20" ht="12.75">
      <c r="L122" s="2">
        <v>52.1</v>
      </c>
      <c r="M122" s="2">
        <v>0.9793</v>
      </c>
      <c r="N122" s="2">
        <v>1.2448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</row>
    <row r="123" spans="12:20" ht="12.75">
      <c r="L123" s="2">
        <v>52.2</v>
      </c>
      <c r="M123" s="2">
        <v>0.9773</v>
      </c>
      <c r="N123" s="2">
        <v>1.2429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</row>
    <row r="124" spans="12:20" ht="12.75">
      <c r="L124" s="2">
        <v>52.3</v>
      </c>
      <c r="M124" s="2">
        <v>0.9754</v>
      </c>
      <c r="N124" s="2">
        <v>1.2411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</row>
    <row r="125" spans="12:20" ht="12.75">
      <c r="L125" s="2">
        <v>52.4</v>
      </c>
      <c r="M125" s="2">
        <v>0.9735</v>
      </c>
      <c r="N125" s="2">
        <v>1.2393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</row>
    <row r="126" spans="12:20" ht="12.75">
      <c r="L126" s="2">
        <v>52.5</v>
      </c>
      <c r="M126" s="2">
        <v>0.9715</v>
      </c>
      <c r="N126" s="2">
        <v>1.2374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</row>
    <row r="127" spans="12:20" ht="12.75">
      <c r="L127" s="2">
        <v>52.6</v>
      </c>
      <c r="M127" s="2">
        <v>0.9696</v>
      </c>
      <c r="N127" s="2">
        <v>1.2356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</row>
    <row r="128" spans="12:20" ht="12.75">
      <c r="L128" s="2">
        <v>52.7</v>
      </c>
      <c r="M128" s="2">
        <v>0.9677</v>
      </c>
      <c r="N128" s="2">
        <v>1.2338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</row>
    <row r="129" spans="12:20" ht="12.75">
      <c r="L129" s="2">
        <v>52.8</v>
      </c>
      <c r="M129" s="2">
        <v>0.9658</v>
      </c>
      <c r="N129" s="2">
        <v>1.232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</row>
    <row r="130" spans="12:20" ht="12.75">
      <c r="L130" s="2">
        <v>52.9</v>
      </c>
      <c r="M130" s="2">
        <v>0.9639</v>
      </c>
      <c r="N130" s="2">
        <v>1.2302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</row>
    <row r="131" spans="12:20" ht="12.75">
      <c r="L131" s="2">
        <v>53</v>
      </c>
      <c r="M131" s="2">
        <v>0.9621</v>
      </c>
      <c r="N131" s="2">
        <v>1.2284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</row>
    <row r="132" spans="12:20" ht="12.75">
      <c r="L132" s="2">
        <v>53.1</v>
      </c>
      <c r="M132" s="2">
        <v>0.9602</v>
      </c>
      <c r="N132" s="2">
        <v>1.2266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</row>
    <row r="133" spans="12:20" ht="12.75">
      <c r="L133" s="2">
        <v>53.2</v>
      </c>
      <c r="M133" s="2">
        <v>0.9583</v>
      </c>
      <c r="N133" s="2">
        <v>1.2248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</row>
    <row r="134" spans="12:20" ht="12.75">
      <c r="L134" s="2">
        <v>53.3</v>
      </c>
      <c r="M134" s="2">
        <v>0.9565</v>
      </c>
      <c r="N134" s="2">
        <v>1.223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</row>
    <row r="135" spans="12:20" ht="12.75">
      <c r="L135" s="2">
        <v>53.4</v>
      </c>
      <c r="M135" s="2">
        <v>0.9547</v>
      </c>
      <c r="N135" s="2">
        <v>1.2212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</row>
    <row r="136" spans="12:20" ht="12.75">
      <c r="L136" s="2">
        <v>53.5</v>
      </c>
      <c r="M136" s="2">
        <v>0.9528</v>
      </c>
      <c r="N136" s="2">
        <v>1.2194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</row>
    <row r="137" spans="12:20" ht="12.75">
      <c r="L137" s="2">
        <v>53.6</v>
      </c>
      <c r="M137" s="2">
        <v>0.951</v>
      </c>
      <c r="N137" s="2">
        <v>1.2176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</row>
    <row r="138" spans="12:20" ht="12.75">
      <c r="L138" s="2">
        <v>53.7</v>
      </c>
      <c r="M138" s="2">
        <v>0.9492</v>
      </c>
      <c r="N138" s="2">
        <v>1.2159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</row>
    <row r="139" spans="12:20" ht="12.75">
      <c r="L139" s="2">
        <v>53.8</v>
      </c>
      <c r="M139" s="2">
        <v>0.9474</v>
      </c>
      <c r="N139" s="2">
        <v>1.2141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</row>
    <row r="140" spans="12:20" ht="12.75">
      <c r="L140" s="2">
        <v>53.9</v>
      </c>
      <c r="M140" s="2">
        <v>0.9457</v>
      </c>
      <c r="N140" s="2">
        <v>1.2123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</row>
    <row r="141" spans="12:20" ht="12.75">
      <c r="L141" s="2">
        <v>54</v>
      </c>
      <c r="M141" s="2">
        <v>0.9439</v>
      </c>
      <c r="N141" s="2">
        <v>1.2106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</row>
    <row r="142" spans="12:20" ht="12.75">
      <c r="L142" s="2">
        <v>54.1</v>
      </c>
      <c r="M142" s="2">
        <v>0.9421</v>
      </c>
      <c r="N142" s="2">
        <v>1.2088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</row>
    <row r="143" spans="12:20" ht="12.75">
      <c r="L143" s="2">
        <v>54.2</v>
      </c>
      <c r="M143" s="2">
        <v>0.9404</v>
      </c>
      <c r="N143" s="2">
        <v>1.2071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</row>
    <row r="144" spans="12:20" ht="12.75">
      <c r="L144" s="2">
        <v>54.3</v>
      </c>
      <c r="M144" s="2">
        <v>0.9386</v>
      </c>
      <c r="N144" s="2">
        <v>1.2054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</row>
    <row r="145" spans="12:20" ht="12.75">
      <c r="L145" s="2">
        <v>54.4</v>
      </c>
      <c r="M145" s="2">
        <v>0.9369</v>
      </c>
      <c r="N145" s="2">
        <v>1.2036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</row>
    <row r="146" spans="12:20" ht="12.75">
      <c r="L146" s="2">
        <v>54.5</v>
      </c>
      <c r="M146" s="2">
        <v>0.9352</v>
      </c>
      <c r="N146" s="2">
        <v>1.2019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</row>
    <row r="147" spans="12:20" ht="12.75">
      <c r="L147" s="2">
        <v>54.6</v>
      </c>
      <c r="M147" s="2">
        <v>0.9334</v>
      </c>
      <c r="N147" s="2">
        <v>1.2002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</row>
    <row r="148" spans="12:20" ht="12.75">
      <c r="L148" s="2">
        <v>54.7</v>
      </c>
      <c r="M148" s="2">
        <v>0.9317</v>
      </c>
      <c r="N148" s="2">
        <v>1.1985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</row>
    <row r="149" spans="12:20" ht="12.75">
      <c r="L149" s="2">
        <v>54.8</v>
      </c>
      <c r="M149" s="2">
        <v>0.93</v>
      </c>
      <c r="N149" s="2">
        <v>1.1967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</row>
    <row r="150" spans="12:20" ht="12.75">
      <c r="L150" s="2">
        <v>54.9</v>
      </c>
      <c r="M150" s="2">
        <v>0.9283</v>
      </c>
      <c r="N150" s="2">
        <v>1.195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</row>
    <row r="151" spans="12:20" ht="12.75">
      <c r="L151" s="2">
        <v>55</v>
      </c>
      <c r="M151" s="2">
        <v>0.9267</v>
      </c>
      <c r="N151" s="2">
        <v>1.1933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</row>
    <row r="152" spans="12:20" ht="12.75">
      <c r="L152" s="2">
        <v>55.1</v>
      </c>
      <c r="M152" s="2">
        <v>0.925</v>
      </c>
      <c r="N152" s="2">
        <v>1.1916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</row>
    <row r="153" spans="12:20" ht="12.75">
      <c r="L153" s="2">
        <v>55.2</v>
      </c>
      <c r="M153" s="2">
        <v>0.9233</v>
      </c>
      <c r="N153" s="2">
        <v>1.19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</row>
    <row r="154" spans="12:20" ht="12.75">
      <c r="L154" s="2">
        <v>55.3</v>
      </c>
      <c r="M154" s="2">
        <v>0.9217</v>
      </c>
      <c r="N154" s="2">
        <v>1.1883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</row>
    <row r="155" spans="12:20" ht="12.75">
      <c r="L155" s="2">
        <v>55.4</v>
      </c>
      <c r="M155" s="2">
        <v>0.92</v>
      </c>
      <c r="N155" s="2">
        <v>1.1866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</row>
    <row r="156" spans="12:20" ht="12.75">
      <c r="L156" s="2">
        <v>55.5</v>
      </c>
      <c r="M156" s="2">
        <v>0.9184</v>
      </c>
      <c r="N156" s="2">
        <v>1.1849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</row>
    <row r="157" spans="12:20" ht="12.75">
      <c r="L157" s="2">
        <v>55.6</v>
      </c>
      <c r="M157" s="2">
        <v>0.9168</v>
      </c>
      <c r="N157" s="2">
        <v>1.1832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</row>
    <row r="158" spans="12:20" ht="12.75">
      <c r="L158" s="2">
        <v>55.7</v>
      </c>
      <c r="M158" s="2">
        <v>0.9152</v>
      </c>
      <c r="N158" s="2">
        <v>1.1816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</row>
    <row r="159" spans="12:20" ht="12.75">
      <c r="L159" s="2">
        <v>55.8</v>
      </c>
      <c r="M159" s="2">
        <v>0.9135</v>
      </c>
      <c r="N159" s="2">
        <v>1.1799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</row>
    <row r="160" spans="12:20" ht="12.75">
      <c r="L160" s="2">
        <v>55.9</v>
      </c>
      <c r="M160" s="2">
        <v>0.9119</v>
      </c>
      <c r="N160" s="2">
        <v>1.1783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</row>
    <row r="161" spans="12:20" ht="12.75">
      <c r="L161" s="2">
        <v>56</v>
      </c>
      <c r="M161" s="2">
        <v>0.9103</v>
      </c>
      <c r="N161" s="2">
        <v>1.1766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</row>
    <row r="162" spans="12:20" ht="12.75">
      <c r="L162" s="2">
        <v>56.1</v>
      </c>
      <c r="M162" s="2">
        <v>0.9088</v>
      </c>
      <c r="N162" s="2">
        <v>1.175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</row>
    <row r="163" spans="12:20" ht="12.75">
      <c r="L163" s="2">
        <v>56.2</v>
      </c>
      <c r="M163" s="2">
        <v>0.9072</v>
      </c>
      <c r="N163" s="2">
        <v>1.1733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</row>
    <row r="164" spans="12:20" ht="12.75">
      <c r="L164" s="2">
        <v>56.3</v>
      </c>
      <c r="M164" s="2">
        <v>0.9056</v>
      </c>
      <c r="N164" s="2">
        <v>1.1717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</row>
    <row r="165" spans="12:20" ht="12.75">
      <c r="L165" s="2">
        <v>56.4</v>
      </c>
      <c r="M165" s="2">
        <v>0.9041</v>
      </c>
      <c r="N165" s="2">
        <v>1.1701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</row>
    <row r="166" spans="12:20" ht="12.75">
      <c r="L166" s="2">
        <v>56.5</v>
      </c>
      <c r="M166" s="2">
        <v>0.9025</v>
      </c>
      <c r="N166" s="2">
        <v>1.1684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</row>
    <row r="167" spans="12:20" ht="12.75">
      <c r="L167" s="2">
        <v>56.6</v>
      </c>
      <c r="M167" s="2">
        <v>0.901</v>
      </c>
      <c r="N167" s="2">
        <v>1.1668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</row>
    <row r="168" spans="12:20" ht="12.75">
      <c r="L168" s="2">
        <v>56.7</v>
      </c>
      <c r="M168" s="2">
        <v>0.8994</v>
      </c>
      <c r="N168" s="2">
        <v>1.1652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</row>
    <row r="169" spans="12:20" ht="12.75">
      <c r="L169" s="2">
        <v>56.8</v>
      </c>
      <c r="M169" s="2">
        <v>0.8979</v>
      </c>
      <c r="N169" s="2">
        <v>1.1636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</row>
    <row r="170" spans="12:20" ht="12.75">
      <c r="L170" s="2">
        <v>56.9</v>
      </c>
      <c r="M170" s="2">
        <v>0.8964</v>
      </c>
      <c r="N170" s="2">
        <v>1.162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</row>
    <row r="171" spans="12:20" ht="12.75">
      <c r="L171" s="2">
        <v>57</v>
      </c>
      <c r="M171" s="2">
        <v>0.8949</v>
      </c>
      <c r="N171" s="2">
        <v>1.1604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</row>
    <row r="172" spans="12:20" ht="12.75">
      <c r="L172" s="2">
        <v>57.1</v>
      </c>
      <c r="M172" s="2">
        <v>0.8934</v>
      </c>
      <c r="N172" s="2">
        <v>1.1588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</row>
    <row r="173" spans="12:20" ht="12.75">
      <c r="L173" s="2">
        <v>57.2</v>
      </c>
      <c r="M173" s="2">
        <v>0.8919</v>
      </c>
      <c r="N173" s="2">
        <v>1.1572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</row>
    <row r="174" spans="12:20" ht="12.75">
      <c r="L174" s="2">
        <v>57.3</v>
      </c>
      <c r="M174" s="2">
        <v>0.8904</v>
      </c>
      <c r="N174" s="2">
        <v>1.1556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</row>
    <row r="175" spans="12:20" ht="12.75">
      <c r="L175" s="2">
        <v>57.4</v>
      </c>
      <c r="M175" s="2">
        <v>0.8889</v>
      </c>
      <c r="N175" s="2">
        <v>1.1541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</row>
    <row r="176" spans="12:20" ht="12.75">
      <c r="L176" s="2">
        <v>57.5</v>
      </c>
      <c r="M176" s="2">
        <v>0.8874</v>
      </c>
      <c r="N176" s="2">
        <v>1.1525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</row>
    <row r="177" spans="12:20" ht="12.75">
      <c r="L177" s="2">
        <v>57.6</v>
      </c>
      <c r="M177" s="2">
        <v>0.8859</v>
      </c>
      <c r="N177" s="2">
        <v>1.1509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</row>
    <row r="178" spans="12:20" ht="12.75">
      <c r="L178" s="2">
        <v>57.7</v>
      </c>
      <c r="M178" s="2">
        <v>0.8845</v>
      </c>
      <c r="N178" s="2">
        <v>1.1494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</row>
    <row r="179" spans="12:20" ht="12.75">
      <c r="L179" s="2">
        <v>57.8</v>
      </c>
      <c r="M179" s="2">
        <v>0.883</v>
      </c>
      <c r="N179" s="2">
        <v>1.1478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</row>
    <row r="180" spans="12:20" ht="12.75">
      <c r="L180" s="2">
        <v>57.9</v>
      </c>
      <c r="M180" s="2">
        <v>0.8816</v>
      </c>
      <c r="N180" s="2">
        <v>1.1463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</row>
    <row r="181" spans="12:20" ht="12.75">
      <c r="L181" s="2">
        <v>58</v>
      </c>
      <c r="M181" s="2">
        <v>0.8802</v>
      </c>
      <c r="N181" s="2">
        <v>1.1447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</row>
    <row r="182" spans="12:20" ht="12.75">
      <c r="L182" s="2">
        <v>58.1</v>
      </c>
      <c r="M182" s="2">
        <v>0.8787</v>
      </c>
      <c r="N182" s="2">
        <v>1.1432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</row>
    <row r="183" spans="12:20" ht="12.75">
      <c r="L183" s="2">
        <v>58.2</v>
      </c>
      <c r="M183" s="2">
        <v>0.8773</v>
      </c>
      <c r="N183" s="2">
        <v>1.1416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</row>
    <row r="184" spans="12:20" ht="12.75">
      <c r="L184" s="2">
        <v>58.3</v>
      </c>
      <c r="M184" s="2">
        <v>0.8759</v>
      </c>
      <c r="N184" s="2">
        <v>1.1401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</row>
    <row r="185" spans="12:20" ht="12.75">
      <c r="L185" s="2">
        <v>58.4</v>
      </c>
      <c r="M185" s="2">
        <v>0.8745</v>
      </c>
      <c r="N185" s="2">
        <v>1.1386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</row>
    <row r="186" spans="12:20" ht="12.75">
      <c r="L186" s="2">
        <v>58.5</v>
      </c>
      <c r="M186" s="2">
        <v>0.8731</v>
      </c>
      <c r="N186" s="2">
        <v>1.1371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</row>
    <row r="187" spans="12:20" ht="12.75">
      <c r="L187" s="2">
        <v>58.6</v>
      </c>
      <c r="M187" s="2">
        <v>0.8717</v>
      </c>
      <c r="N187" s="2">
        <v>1.1355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</row>
    <row r="188" spans="12:20" ht="12.75">
      <c r="L188" s="2">
        <v>58.7</v>
      </c>
      <c r="M188" s="2">
        <v>0.8703</v>
      </c>
      <c r="N188" s="2">
        <v>1.134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</row>
    <row r="189" spans="12:20" ht="12.75">
      <c r="L189" s="2">
        <v>58.8</v>
      </c>
      <c r="M189" s="2">
        <v>0.8689</v>
      </c>
      <c r="N189" s="2">
        <v>1.1325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</row>
    <row r="190" spans="12:20" ht="12.75">
      <c r="L190" s="2">
        <v>58.9</v>
      </c>
      <c r="M190" s="2">
        <v>0.8675</v>
      </c>
      <c r="N190" s="2">
        <v>1.131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</row>
    <row r="191" spans="12:20" ht="12.75">
      <c r="L191" s="2">
        <v>59</v>
      </c>
      <c r="M191" s="2">
        <v>0.8662</v>
      </c>
      <c r="N191" s="2">
        <v>1.1295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</row>
    <row r="192" spans="12:20" ht="12.75">
      <c r="L192" s="2">
        <v>59.1</v>
      </c>
      <c r="M192" s="2">
        <v>0.8648</v>
      </c>
      <c r="N192" s="2">
        <v>1.1281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</row>
    <row r="193" spans="12:20" ht="12.75">
      <c r="L193" s="2">
        <v>59.2</v>
      </c>
      <c r="M193" s="2">
        <v>0.8635</v>
      </c>
      <c r="N193" s="2">
        <v>1.1266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</row>
    <row r="194" spans="12:20" ht="12.75">
      <c r="L194" s="2">
        <v>59.3</v>
      </c>
      <c r="M194" s="2">
        <v>0.8621</v>
      </c>
      <c r="N194" s="2">
        <v>1.1251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</row>
    <row r="195" spans="12:20" ht="12.75">
      <c r="L195" s="2">
        <v>59.4</v>
      </c>
      <c r="M195" s="2">
        <v>0.8608</v>
      </c>
      <c r="N195" s="2">
        <v>1.1236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</row>
    <row r="196" spans="12:20" ht="12.75">
      <c r="L196" s="2">
        <v>59.5</v>
      </c>
      <c r="M196" s="2">
        <v>0.8594</v>
      </c>
      <c r="N196" s="2">
        <v>1.1221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</row>
    <row r="197" spans="12:20" ht="12.75">
      <c r="L197" s="2">
        <v>59.6</v>
      </c>
      <c r="M197" s="2">
        <v>0.8581</v>
      </c>
      <c r="N197" s="2">
        <v>1.1207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</row>
    <row r="198" spans="12:20" ht="12.75">
      <c r="L198" s="2">
        <v>59.7</v>
      </c>
      <c r="M198" s="2">
        <v>0.8568</v>
      </c>
      <c r="N198" s="2">
        <v>1.1192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</row>
    <row r="199" spans="12:20" ht="12.75">
      <c r="L199" s="2">
        <v>59.8</v>
      </c>
      <c r="M199" s="2">
        <v>0.8555</v>
      </c>
      <c r="N199" s="2">
        <v>1.1178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</row>
    <row r="200" spans="12:20" ht="12.75">
      <c r="L200" s="2">
        <v>59.9</v>
      </c>
      <c r="M200" s="2">
        <v>0.8542</v>
      </c>
      <c r="N200" s="2">
        <v>1.1163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</row>
    <row r="201" spans="12:20" ht="12.75">
      <c r="L201" s="2">
        <v>60</v>
      </c>
      <c r="M201" s="2">
        <v>0.8529</v>
      </c>
      <c r="N201" s="2">
        <v>1.1149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</row>
    <row r="202" spans="12:20" ht="12.75">
      <c r="L202" s="2">
        <v>60.1</v>
      </c>
      <c r="M202" s="2">
        <v>0.8516</v>
      </c>
      <c r="N202" s="2">
        <v>1.1134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</row>
    <row r="203" spans="12:20" ht="12.75">
      <c r="L203" s="2">
        <v>60.2</v>
      </c>
      <c r="M203" s="2">
        <v>0.8503</v>
      </c>
      <c r="N203" s="2">
        <v>1.112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</row>
    <row r="204" spans="12:20" ht="12.75">
      <c r="L204" s="2">
        <v>60.3</v>
      </c>
      <c r="M204" s="2">
        <v>0.849</v>
      </c>
      <c r="N204" s="2">
        <v>1.1106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</row>
    <row r="205" spans="12:20" ht="12.75">
      <c r="L205" s="2">
        <v>60.4</v>
      </c>
      <c r="M205" s="2">
        <v>0.8477</v>
      </c>
      <c r="N205" s="2">
        <v>1.1092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</row>
    <row r="206" spans="12:20" ht="12.75">
      <c r="L206" s="2">
        <v>60.5</v>
      </c>
      <c r="M206" s="2">
        <v>0.8465</v>
      </c>
      <c r="N206" s="2">
        <v>1.1078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</row>
    <row r="207" spans="12:20" ht="12.75">
      <c r="L207" s="2">
        <v>60.6</v>
      </c>
      <c r="M207" s="2">
        <v>0.8452</v>
      </c>
      <c r="N207" s="2">
        <v>1.1063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</row>
    <row r="208" spans="12:20" ht="12.75">
      <c r="L208" s="2">
        <v>60.7</v>
      </c>
      <c r="M208" s="2">
        <v>0.8439</v>
      </c>
      <c r="N208" s="2">
        <v>1.1049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</row>
    <row r="209" spans="12:20" ht="12.75">
      <c r="L209" s="2">
        <v>60.8</v>
      </c>
      <c r="M209" s="2">
        <v>0.8427</v>
      </c>
      <c r="N209" s="2">
        <v>1.1035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</row>
    <row r="210" spans="12:20" ht="12.75">
      <c r="L210" s="2">
        <v>60.9</v>
      </c>
      <c r="M210" s="2">
        <v>0.8415</v>
      </c>
      <c r="N210" s="2">
        <v>1.1021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</row>
    <row r="211" spans="12:20" ht="12.75">
      <c r="L211" s="2">
        <v>61</v>
      </c>
      <c r="M211" s="2">
        <v>0.8402</v>
      </c>
      <c r="N211" s="2">
        <v>1.1007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</row>
    <row r="212" spans="12:20" ht="12.75">
      <c r="L212" s="2">
        <v>61.1</v>
      </c>
      <c r="M212" s="2">
        <v>0.839</v>
      </c>
      <c r="N212" s="2">
        <v>1.0994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</row>
    <row r="213" spans="12:20" ht="12.75">
      <c r="L213" s="2">
        <v>61.2</v>
      </c>
      <c r="M213" s="2">
        <v>0.8378</v>
      </c>
      <c r="N213" s="2">
        <v>1.098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</row>
    <row r="214" spans="12:20" ht="12.75">
      <c r="L214" s="2">
        <v>61.3</v>
      </c>
      <c r="M214" s="2">
        <v>0.8365</v>
      </c>
      <c r="N214" s="2">
        <v>1.0966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</row>
    <row r="215" spans="12:20" ht="12.75">
      <c r="L215" s="2">
        <v>61.4</v>
      </c>
      <c r="M215" s="2">
        <v>0.8353</v>
      </c>
      <c r="N215" s="2">
        <v>1.0952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</row>
    <row r="216" spans="12:20" ht="12.75">
      <c r="L216" s="2">
        <v>61.5</v>
      </c>
      <c r="M216" s="2">
        <v>0.8341</v>
      </c>
      <c r="N216" s="2">
        <v>1.0939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</row>
    <row r="217" spans="12:20" ht="12.75">
      <c r="L217" s="2">
        <v>61.6</v>
      </c>
      <c r="M217" s="2">
        <v>0.8329</v>
      </c>
      <c r="N217" s="2">
        <v>1.0925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</row>
    <row r="218" spans="12:20" ht="12.75">
      <c r="L218" s="2">
        <v>61.7</v>
      </c>
      <c r="M218" s="2">
        <v>0.8317</v>
      </c>
      <c r="N218" s="2">
        <v>1.0911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</row>
    <row r="219" spans="12:20" ht="12.75">
      <c r="L219" s="2">
        <v>61.8</v>
      </c>
      <c r="M219" s="2">
        <v>0.8305</v>
      </c>
      <c r="N219" s="2">
        <v>1.0898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</row>
    <row r="220" spans="12:20" ht="12.75">
      <c r="L220" s="2">
        <v>61.9</v>
      </c>
      <c r="M220" s="2">
        <v>0.8293</v>
      </c>
      <c r="N220" s="2">
        <v>1.0884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</row>
    <row r="221" spans="12:20" ht="12.75">
      <c r="L221" s="2">
        <v>62</v>
      </c>
      <c r="M221" s="2">
        <v>0.8281</v>
      </c>
      <c r="N221" s="2">
        <v>1.0871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</row>
    <row r="222" spans="12:20" ht="12.75">
      <c r="L222" s="2">
        <v>62.1</v>
      </c>
      <c r="M222" s="2">
        <v>0.827</v>
      </c>
      <c r="N222" s="2">
        <v>1.0858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</row>
    <row r="223" spans="12:20" ht="12.75">
      <c r="L223" s="2">
        <v>62.2</v>
      </c>
      <c r="M223" s="2">
        <v>0.8258</v>
      </c>
      <c r="N223" s="2">
        <v>1.0844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</row>
    <row r="224" spans="12:20" ht="12.75">
      <c r="L224" s="2">
        <v>62.3</v>
      </c>
      <c r="M224" s="2">
        <v>0.8246</v>
      </c>
      <c r="N224" s="2">
        <v>1.0831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</row>
    <row r="225" spans="12:20" ht="12.75">
      <c r="L225" s="2">
        <v>62.4</v>
      </c>
      <c r="M225" s="2">
        <v>0.8235</v>
      </c>
      <c r="N225" s="2">
        <v>1.0818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</row>
    <row r="226" spans="12:20" ht="12.75">
      <c r="L226" s="2">
        <v>62.5</v>
      </c>
      <c r="M226" s="2">
        <v>0.8223</v>
      </c>
      <c r="N226" s="2">
        <v>1.0805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</row>
    <row r="227" spans="12:20" ht="12.75">
      <c r="L227" s="2">
        <v>62.6</v>
      </c>
      <c r="M227" s="2">
        <v>0.8212</v>
      </c>
      <c r="N227" s="2">
        <v>1.0792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</row>
    <row r="228" spans="12:20" ht="12.75">
      <c r="L228" s="2">
        <v>62.7</v>
      </c>
      <c r="M228" s="2">
        <v>0.82</v>
      </c>
      <c r="N228" s="2">
        <v>1.0779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</row>
    <row r="229" spans="12:20" ht="12.75">
      <c r="L229" s="2">
        <v>62.8</v>
      </c>
      <c r="M229" s="2">
        <v>0.8189</v>
      </c>
      <c r="N229" s="2">
        <v>1.0765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</row>
    <row r="230" spans="12:20" ht="12.75">
      <c r="L230" s="2">
        <v>62.9</v>
      </c>
      <c r="M230" s="2">
        <v>0.8178</v>
      </c>
      <c r="N230" s="2">
        <v>1.0753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</row>
    <row r="231" spans="12:20" ht="12.75">
      <c r="L231" s="2">
        <v>63</v>
      </c>
      <c r="M231" s="2">
        <v>0.8166</v>
      </c>
      <c r="N231" s="2">
        <v>1.074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</row>
    <row r="232" spans="12:20" ht="12.75">
      <c r="L232" s="2">
        <v>63.1</v>
      </c>
      <c r="M232" s="2">
        <v>0.8155</v>
      </c>
      <c r="N232" s="2">
        <v>1.0727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</row>
    <row r="233" spans="12:20" ht="12.75">
      <c r="L233" s="2">
        <v>63.2</v>
      </c>
      <c r="M233" s="2">
        <v>0.8144</v>
      </c>
      <c r="N233" s="2">
        <v>1.0714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</row>
    <row r="234" spans="12:20" ht="12.75">
      <c r="L234" s="2">
        <v>63.3</v>
      </c>
      <c r="M234" s="2">
        <v>0.8133</v>
      </c>
      <c r="N234" s="2">
        <v>1.0701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</row>
    <row r="235" spans="12:20" ht="12.75">
      <c r="L235" s="2">
        <v>63.4</v>
      </c>
      <c r="M235" s="2">
        <v>0.8122</v>
      </c>
      <c r="N235" s="2">
        <v>1.0688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</row>
    <row r="236" spans="12:20" ht="12.75">
      <c r="L236" s="2">
        <v>63.5</v>
      </c>
      <c r="M236" s="2">
        <v>0.8111</v>
      </c>
      <c r="N236" s="2">
        <v>1.0676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</row>
    <row r="237" spans="12:20" ht="12.75">
      <c r="L237" s="2">
        <v>63.6</v>
      </c>
      <c r="M237" s="2">
        <v>0.81</v>
      </c>
      <c r="N237" s="2">
        <v>1.0663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</row>
    <row r="238" spans="12:20" ht="12.75">
      <c r="L238" s="2">
        <v>63.7</v>
      </c>
      <c r="M238" s="2">
        <v>0.8089</v>
      </c>
      <c r="N238" s="2">
        <v>1.065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</row>
    <row r="239" spans="12:20" ht="12.75">
      <c r="L239" s="2">
        <v>63.8</v>
      </c>
      <c r="M239" s="2">
        <v>0.8078</v>
      </c>
      <c r="N239" s="2">
        <v>1.0638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</row>
    <row r="240" spans="12:20" ht="12.75">
      <c r="L240" s="2">
        <v>63.9</v>
      </c>
      <c r="M240" s="2">
        <v>0.8067</v>
      </c>
      <c r="N240" s="2">
        <v>1.0625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</row>
    <row r="241" spans="12:20" ht="12.75">
      <c r="L241" s="2">
        <v>64</v>
      </c>
      <c r="M241" s="2">
        <v>0.8057</v>
      </c>
      <c r="N241" s="2">
        <v>1.0613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</row>
    <row r="242" spans="12:20" ht="12.75">
      <c r="L242" s="2">
        <v>64.1</v>
      </c>
      <c r="M242" s="2">
        <v>0.8046</v>
      </c>
      <c r="N242" s="2">
        <v>1.0601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</row>
    <row r="243" spans="12:20" ht="12.75">
      <c r="L243" s="2">
        <v>64.2</v>
      </c>
      <c r="M243" s="2">
        <v>0.8035</v>
      </c>
      <c r="N243" s="2">
        <v>1.0588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</row>
    <row r="244" spans="12:20" ht="12.75">
      <c r="L244" s="2">
        <v>64.3</v>
      </c>
      <c r="M244" s="2">
        <v>0.8025</v>
      </c>
      <c r="N244" s="2">
        <v>1.0576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</row>
    <row r="245" spans="12:20" ht="12.75">
      <c r="L245" s="2">
        <v>64.4</v>
      </c>
      <c r="M245" s="2">
        <v>0.8014</v>
      </c>
      <c r="N245" s="2">
        <v>1.0564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</row>
    <row r="246" spans="12:20" ht="12.75">
      <c r="L246" s="2">
        <v>64.5</v>
      </c>
      <c r="M246" s="2">
        <v>0.8004</v>
      </c>
      <c r="N246" s="2">
        <v>1.0551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</row>
    <row r="247" spans="12:20" ht="12.75">
      <c r="L247" s="2">
        <v>64.6</v>
      </c>
      <c r="M247" s="2">
        <v>0.7993</v>
      </c>
      <c r="N247" s="2">
        <v>1.0539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</row>
    <row r="248" spans="12:20" ht="12.75">
      <c r="L248" s="2">
        <v>64.7</v>
      </c>
      <c r="M248" s="2">
        <v>0.7983</v>
      </c>
      <c r="N248" s="2">
        <v>1.0527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</row>
    <row r="249" spans="12:20" ht="12.75">
      <c r="L249" s="2">
        <v>64.8</v>
      </c>
      <c r="M249" s="2">
        <v>0.7973</v>
      </c>
      <c r="N249" s="2">
        <v>1.0515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</row>
    <row r="250" spans="12:20" ht="12.75">
      <c r="L250" s="2">
        <v>64.9</v>
      </c>
      <c r="M250" s="2">
        <v>0.7962</v>
      </c>
      <c r="N250" s="2">
        <v>1.0503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</row>
    <row r="251" spans="12:20" ht="12.75">
      <c r="L251" s="2">
        <v>65</v>
      </c>
      <c r="M251" s="2">
        <v>0.7952</v>
      </c>
      <c r="N251" s="2">
        <v>1.0491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</row>
    <row r="252" spans="12:20" ht="12.75">
      <c r="L252" s="2">
        <v>65.1</v>
      </c>
      <c r="M252" s="2">
        <v>0.7942</v>
      </c>
      <c r="N252" s="2">
        <v>1.0479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</row>
    <row r="253" spans="12:20" ht="12.75">
      <c r="L253" s="2">
        <v>65.2</v>
      </c>
      <c r="M253" s="2">
        <v>0.7932</v>
      </c>
      <c r="N253" s="2">
        <v>1.0467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</row>
    <row r="254" spans="12:20" ht="12.75">
      <c r="L254" s="2">
        <v>65.3</v>
      </c>
      <c r="M254" s="2">
        <v>0.7922</v>
      </c>
      <c r="N254" s="2">
        <v>1.0455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</row>
    <row r="255" spans="12:20" ht="12.75">
      <c r="L255" s="2">
        <v>65.4</v>
      </c>
      <c r="M255" s="2">
        <v>0.7911</v>
      </c>
      <c r="N255" s="2">
        <v>1.0444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</row>
    <row r="256" spans="12:20" ht="12.75">
      <c r="L256" s="2">
        <v>65.5</v>
      </c>
      <c r="M256" s="2">
        <v>0.7901</v>
      </c>
      <c r="N256" s="2">
        <v>1.0432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</row>
    <row r="257" spans="12:20" ht="12.75">
      <c r="L257" s="2">
        <v>65.6</v>
      </c>
      <c r="M257" s="2">
        <v>0.7891</v>
      </c>
      <c r="N257" s="2">
        <v>1.042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</row>
    <row r="258" spans="12:20" ht="12.75">
      <c r="L258" s="2">
        <v>65.7</v>
      </c>
      <c r="M258" s="2">
        <v>0.7881</v>
      </c>
      <c r="N258" s="2">
        <v>1.0408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</row>
    <row r="259" spans="12:20" ht="12.75">
      <c r="L259" s="2">
        <v>65.8</v>
      </c>
      <c r="M259" s="2">
        <v>0.7872</v>
      </c>
      <c r="N259" s="2">
        <v>1.0397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</row>
    <row r="260" spans="12:20" ht="12.75">
      <c r="L260" s="2">
        <v>65.9</v>
      </c>
      <c r="M260" s="2">
        <v>0.7862</v>
      </c>
      <c r="N260" s="2">
        <v>1.0385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</row>
    <row r="261" spans="12:20" ht="12.75">
      <c r="L261" s="2">
        <v>66</v>
      </c>
      <c r="M261" s="2">
        <v>0.7852</v>
      </c>
      <c r="N261" s="2">
        <v>1.0374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</row>
    <row r="262" spans="12:20" ht="12.75">
      <c r="L262" s="2">
        <v>66.1</v>
      </c>
      <c r="M262" s="2">
        <v>0.7842</v>
      </c>
      <c r="N262" s="2">
        <v>1.0362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</row>
    <row r="263" spans="12:20" ht="12.75">
      <c r="L263" s="2">
        <v>66.2</v>
      </c>
      <c r="M263" s="2">
        <v>0.7832</v>
      </c>
      <c r="N263" s="2">
        <v>1.0351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</row>
    <row r="264" spans="12:20" ht="12.75">
      <c r="L264" s="2">
        <v>66.3</v>
      </c>
      <c r="M264" s="2">
        <v>0.7823</v>
      </c>
      <c r="N264" s="2">
        <v>1.0339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</row>
    <row r="265" spans="12:20" ht="12.75">
      <c r="L265" s="2">
        <v>66.4</v>
      </c>
      <c r="M265" s="2">
        <v>0.7813</v>
      </c>
      <c r="N265" s="2">
        <v>1.0328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</row>
    <row r="266" spans="12:20" ht="12.75">
      <c r="L266" s="2">
        <v>66.5</v>
      </c>
      <c r="M266" s="2">
        <v>0.7804</v>
      </c>
      <c r="N266" s="2">
        <v>1.0317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</row>
    <row r="267" spans="12:20" ht="12.75">
      <c r="L267" s="2">
        <v>66.6</v>
      </c>
      <c r="M267" s="2">
        <v>0.7794</v>
      </c>
      <c r="N267" s="2">
        <v>1.0306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</row>
    <row r="268" spans="12:20" ht="12.75">
      <c r="L268" s="2">
        <v>66.7</v>
      </c>
      <c r="M268" s="2">
        <v>0.7785</v>
      </c>
      <c r="N268" s="2">
        <v>1.0294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</row>
    <row r="269" spans="12:20" ht="12.75">
      <c r="L269" s="2">
        <v>66.8</v>
      </c>
      <c r="M269" s="2">
        <v>0.7775</v>
      </c>
      <c r="N269" s="2">
        <v>1.0283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</row>
    <row r="270" spans="12:20" ht="12.75">
      <c r="L270" s="2">
        <v>66.9</v>
      </c>
      <c r="M270" s="2">
        <v>0.7766</v>
      </c>
      <c r="N270" s="2">
        <v>1.0272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</row>
    <row r="271" spans="12:20" ht="12.75">
      <c r="L271" s="2">
        <v>67</v>
      </c>
      <c r="M271" s="2">
        <v>0.7756</v>
      </c>
      <c r="N271" s="2">
        <v>1.0261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</row>
    <row r="272" spans="12:20" ht="12.75">
      <c r="L272" s="2">
        <v>67.1</v>
      </c>
      <c r="M272" s="2">
        <v>0.7747</v>
      </c>
      <c r="N272" s="2">
        <v>1.025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</row>
    <row r="273" spans="12:20" ht="12.75">
      <c r="L273" s="2">
        <v>67.2</v>
      </c>
      <c r="M273" s="2">
        <v>0.7738</v>
      </c>
      <c r="N273" s="2">
        <v>1.0239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</row>
    <row r="274" spans="12:20" ht="12.75">
      <c r="L274" s="2">
        <v>67.3</v>
      </c>
      <c r="M274" s="2">
        <v>0.7729</v>
      </c>
      <c r="N274" s="2">
        <v>1.0228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</row>
    <row r="275" spans="12:20" ht="12.75">
      <c r="L275" s="2">
        <v>67.4</v>
      </c>
      <c r="M275" s="2">
        <v>0.7719</v>
      </c>
      <c r="N275" s="2">
        <v>1.0217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</row>
    <row r="276" spans="12:20" ht="12.75">
      <c r="L276" s="2">
        <v>67.5</v>
      </c>
      <c r="M276" s="2">
        <v>0.771</v>
      </c>
      <c r="N276" s="2">
        <v>1.0206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</row>
    <row r="277" spans="12:20" ht="12.75">
      <c r="L277" s="2">
        <v>67.6</v>
      </c>
      <c r="M277" s="2">
        <v>0.7701</v>
      </c>
      <c r="N277" s="2">
        <v>1.0195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</row>
    <row r="278" spans="12:20" ht="12.75">
      <c r="L278" s="2">
        <v>67.7</v>
      </c>
      <c r="M278" s="2">
        <v>0.7692</v>
      </c>
      <c r="N278" s="2">
        <v>1.0185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</row>
    <row r="279" spans="12:20" ht="12.75">
      <c r="L279" s="2">
        <v>67.8</v>
      </c>
      <c r="M279" s="2">
        <v>0.7683</v>
      </c>
      <c r="N279" s="2">
        <v>1.0174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</row>
    <row r="280" spans="12:20" ht="12.75">
      <c r="L280" s="2">
        <v>67.9</v>
      </c>
      <c r="M280" s="2">
        <v>0.7674</v>
      </c>
      <c r="N280" s="2">
        <v>1.0163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</row>
    <row r="281" spans="12:20" ht="12.75">
      <c r="L281" s="2">
        <v>68</v>
      </c>
      <c r="M281" s="2">
        <v>0.7665</v>
      </c>
      <c r="N281" s="2">
        <v>1.0153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</row>
    <row r="282" spans="12:20" ht="12.75">
      <c r="L282" s="2">
        <v>68.1</v>
      </c>
      <c r="M282" s="2">
        <v>0.7656</v>
      </c>
      <c r="N282" s="2">
        <v>1.0142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</row>
    <row r="283" spans="12:20" ht="12.75">
      <c r="L283" s="2">
        <v>68.2</v>
      </c>
      <c r="M283" s="2">
        <v>0.7647</v>
      </c>
      <c r="N283" s="2">
        <v>1.0131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</row>
    <row r="284" spans="12:20" ht="12.75">
      <c r="L284" s="2">
        <v>68.3</v>
      </c>
      <c r="M284" s="2">
        <v>0.7638</v>
      </c>
      <c r="N284" s="2">
        <v>1.0121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</row>
    <row r="285" spans="12:20" ht="12.75">
      <c r="L285" s="2">
        <v>68.4</v>
      </c>
      <c r="M285" s="2">
        <v>0.763</v>
      </c>
      <c r="N285" s="2">
        <v>1.011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</row>
    <row r="286" spans="12:20" ht="12.75">
      <c r="L286" s="2">
        <v>68.5</v>
      </c>
      <c r="M286" s="2">
        <v>0.7621</v>
      </c>
      <c r="N286" s="2">
        <v>1.01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</row>
    <row r="287" spans="12:20" ht="12.75">
      <c r="L287" s="2">
        <v>68.6</v>
      </c>
      <c r="M287" s="2">
        <v>0.7612</v>
      </c>
      <c r="N287" s="2">
        <v>1.009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</row>
    <row r="288" spans="12:20" ht="12.75">
      <c r="L288" s="2">
        <v>68.7</v>
      </c>
      <c r="M288" s="2">
        <v>0.7603</v>
      </c>
      <c r="N288" s="2">
        <v>1.0079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</row>
    <row r="289" spans="12:20" ht="12.75">
      <c r="L289" s="2">
        <v>68.8</v>
      </c>
      <c r="M289" s="2">
        <v>0.7595</v>
      </c>
      <c r="N289" s="2">
        <v>1.0069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</row>
    <row r="290" spans="12:20" ht="12.75">
      <c r="L290" s="2">
        <v>68.9</v>
      </c>
      <c r="M290" s="2">
        <v>0.7586</v>
      </c>
      <c r="N290" s="2">
        <v>1.0059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</row>
    <row r="291" spans="12:20" ht="12.75">
      <c r="L291" s="2">
        <v>69</v>
      </c>
      <c r="M291" s="2">
        <v>0.7578</v>
      </c>
      <c r="N291" s="2">
        <v>1.0048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</row>
    <row r="292" spans="12:20" ht="12.75">
      <c r="L292" s="2">
        <v>69.1</v>
      </c>
      <c r="M292" s="2">
        <v>0.7569</v>
      </c>
      <c r="N292" s="2">
        <v>1.0038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</row>
    <row r="293" spans="12:20" ht="12.75">
      <c r="L293" s="2">
        <v>69.2</v>
      </c>
      <c r="M293" s="2">
        <v>0.7561</v>
      </c>
      <c r="N293" s="2">
        <v>1.0028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</row>
    <row r="294" spans="12:20" ht="12.75">
      <c r="L294" s="2">
        <v>69.3</v>
      </c>
      <c r="M294" s="2">
        <v>0.7552</v>
      </c>
      <c r="N294" s="2">
        <v>1.0018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</row>
    <row r="295" spans="12:20" ht="12.75">
      <c r="L295" s="2">
        <v>69.4</v>
      </c>
      <c r="M295" s="2">
        <v>0.7544</v>
      </c>
      <c r="N295" s="2">
        <v>1.0008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</row>
    <row r="296" spans="12:20" ht="12.75">
      <c r="L296" s="2">
        <v>69.5</v>
      </c>
      <c r="M296" s="2">
        <v>0.7535</v>
      </c>
      <c r="N296" s="2">
        <v>0.9998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</row>
    <row r="297" spans="12:20" ht="12.75">
      <c r="L297" s="2">
        <v>69.6</v>
      </c>
      <c r="M297" s="2">
        <v>0.7527</v>
      </c>
      <c r="N297" s="2">
        <v>0.9988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</row>
    <row r="298" spans="12:20" ht="12.75">
      <c r="L298" s="2">
        <v>69.7</v>
      </c>
      <c r="M298" s="2">
        <v>0.7519</v>
      </c>
      <c r="N298" s="2">
        <v>0.9978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</row>
    <row r="299" spans="12:20" ht="12.75">
      <c r="L299" s="2">
        <v>69.8</v>
      </c>
      <c r="M299" s="2">
        <v>0.751</v>
      </c>
      <c r="N299" s="2">
        <v>0.9968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</row>
    <row r="300" spans="12:20" ht="12.75">
      <c r="L300" s="2">
        <v>69.9</v>
      </c>
      <c r="M300" s="2">
        <v>0.7502</v>
      </c>
      <c r="N300" s="2">
        <v>0.9958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</row>
    <row r="301" spans="12:20" ht="12.75">
      <c r="L301" s="2">
        <v>70</v>
      </c>
      <c r="M301" s="2">
        <v>0.7494</v>
      </c>
      <c r="N301" s="2">
        <v>0.9948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</row>
    <row r="302" spans="12:20" ht="12.75">
      <c r="L302" s="2">
        <v>70.1</v>
      </c>
      <c r="M302" s="2">
        <v>0.7486</v>
      </c>
      <c r="N302" s="2">
        <v>0.9939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</row>
    <row r="303" spans="12:20" ht="12.75">
      <c r="L303" s="2">
        <v>70.2</v>
      </c>
      <c r="M303" s="2">
        <v>0.7478</v>
      </c>
      <c r="N303" s="2">
        <v>0.9929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</row>
    <row r="304" spans="12:20" ht="12.75">
      <c r="L304" s="2">
        <v>70.3</v>
      </c>
      <c r="M304" s="2">
        <v>0.7469</v>
      </c>
      <c r="N304" s="2">
        <v>0.9919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</row>
    <row r="305" spans="12:20" ht="12.75">
      <c r="L305" s="2">
        <v>70.4</v>
      </c>
      <c r="M305" s="2">
        <v>0.7461</v>
      </c>
      <c r="N305" s="2">
        <v>0.991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</row>
    <row r="306" spans="12:20" ht="12.75">
      <c r="L306" s="2">
        <v>70.5</v>
      </c>
      <c r="M306" s="2">
        <v>0.7453</v>
      </c>
      <c r="N306" s="2">
        <v>0.99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</row>
    <row r="307" spans="12:20" ht="12.75">
      <c r="L307" s="2">
        <v>70.6</v>
      </c>
      <c r="M307" s="2">
        <v>0.7445</v>
      </c>
      <c r="N307" s="2">
        <v>0.989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</row>
    <row r="308" spans="12:20" ht="12.75">
      <c r="L308" s="2">
        <v>70.7</v>
      </c>
      <c r="M308" s="2">
        <v>0.7437</v>
      </c>
      <c r="N308" s="2">
        <v>0.9881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</row>
    <row r="309" spans="12:20" ht="12.75">
      <c r="L309" s="2">
        <v>70.8</v>
      </c>
      <c r="M309" s="2">
        <v>0.743</v>
      </c>
      <c r="N309" s="2">
        <v>0.9871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</row>
    <row r="310" spans="12:20" ht="12.75">
      <c r="L310" s="2">
        <v>70.9</v>
      </c>
      <c r="M310" s="2">
        <v>0.7422</v>
      </c>
      <c r="N310" s="2">
        <v>0.9862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</row>
    <row r="311" spans="12:20" ht="12.75">
      <c r="L311" s="2">
        <v>71</v>
      </c>
      <c r="M311" s="2">
        <v>0.7414</v>
      </c>
      <c r="N311" s="2">
        <v>0.9852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</row>
    <row r="312" spans="12:20" ht="12.75">
      <c r="L312" s="2">
        <v>71.1</v>
      </c>
      <c r="M312" s="2">
        <v>0.7406</v>
      </c>
      <c r="N312" s="2">
        <v>0.9843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</row>
    <row r="313" spans="12:20" ht="12.75">
      <c r="L313" s="2">
        <v>71.2</v>
      </c>
      <c r="M313" s="2">
        <v>0.7398</v>
      </c>
      <c r="N313" s="2">
        <v>0.9834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</row>
    <row r="314" spans="12:20" ht="12.75">
      <c r="L314" s="2">
        <v>71.3</v>
      </c>
      <c r="M314" s="2">
        <v>0.739</v>
      </c>
      <c r="N314" s="2">
        <v>0.9824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</row>
    <row r="315" spans="12:20" ht="12.75">
      <c r="L315" s="2">
        <v>71.4</v>
      </c>
      <c r="M315" s="2">
        <v>0.7383</v>
      </c>
      <c r="N315" s="2">
        <v>0.9815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</row>
    <row r="316" spans="12:20" ht="12.75">
      <c r="L316" s="2">
        <v>71.5</v>
      </c>
      <c r="M316" s="2">
        <v>0.7375</v>
      </c>
      <c r="N316" s="2">
        <v>0.9806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</row>
    <row r="317" spans="12:20" ht="12.75">
      <c r="L317" s="2">
        <v>71.6</v>
      </c>
      <c r="M317" s="2">
        <v>0.7367</v>
      </c>
      <c r="N317" s="2">
        <v>0.9797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</row>
    <row r="318" spans="12:20" ht="12.75">
      <c r="L318" s="2">
        <v>71.7</v>
      </c>
      <c r="M318" s="2">
        <v>0.736</v>
      </c>
      <c r="N318" s="2">
        <v>0.9788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</row>
    <row r="319" spans="12:20" ht="12.75">
      <c r="L319" s="2">
        <v>71.8</v>
      </c>
      <c r="M319" s="2">
        <v>0.7352</v>
      </c>
      <c r="N319" s="2">
        <v>0.9779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</row>
    <row r="320" spans="12:20" ht="12.75">
      <c r="L320" s="2">
        <v>71.9</v>
      </c>
      <c r="M320" s="2">
        <v>0.7345</v>
      </c>
      <c r="N320" s="2">
        <v>0.9769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</row>
    <row r="321" spans="12:20" ht="12.75">
      <c r="L321" s="2">
        <v>72</v>
      </c>
      <c r="M321" s="2">
        <v>0.7337</v>
      </c>
      <c r="N321" s="2">
        <v>0.976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</row>
    <row r="322" spans="12:20" ht="12.75">
      <c r="L322" s="2">
        <v>72.1</v>
      </c>
      <c r="M322" s="2">
        <v>0.733</v>
      </c>
      <c r="N322" s="2">
        <v>0.9751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</row>
    <row r="323" spans="12:20" ht="12.75">
      <c r="L323" s="2">
        <v>72.2</v>
      </c>
      <c r="M323" s="2">
        <v>0.7322</v>
      </c>
      <c r="N323" s="2">
        <v>0.9742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</row>
    <row r="324" spans="12:20" ht="12.75">
      <c r="L324" s="2">
        <v>72.3</v>
      </c>
      <c r="M324" s="2">
        <v>0.7315</v>
      </c>
      <c r="N324" s="2">
        <v>0.9734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</row>
    <row r="325" spans="12:20" ht="12.75">
      <c r="L325" s="2">
        <v>72.4</v>
      </c>
      <c r="M325" s="2">
        <v>0.7307</v>
      </c>
      <c r="N325" s="2">
        <v>0.9725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</row>
    <row r="326" spans="12:20" ht="12.75">
      <c r="L326" s="2">
        <v>72.5</v>
      </c>
      <c r="M326" s="2">
        <v>0.73</v>
      </c>
      <c r="N326" s="2">
        <v>0.9716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</row>
    <row r="327" spans="12:20" ht="12.75">
      <c r="L327" s="2">
        <v>72.6</v>
      </c>
      <c r="M327" s="2">
        <v>0.7293</v>
      </c>
      <c r="N327" s="2">
        <v>0.9707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</row>
    <row r="328" spans="12:20" ht="12.75">
      <c r="L328" s="2">
        <v>72.7</v>
      </c>
      <c r="M328" s="2">
        <v>0.7285</v>
      </c>
      <c r="N328" s="2">
        <v>0.9698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</row>
    <row r="329" spans="12:20" ht="12.75">
      <c r="L329" s="2">
        <v>72.8</v>
      </c>
      <c r="M329" s="2">
        <v>0.7278</v>
      </c>
      <c r="N329" s="2">
        <v>0.9689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</row>
    <row r="330" spans="12:20" ht="12.75">
      <c r="L330" s="2">
        <v>72.9</v>
      </c>
      <c r="M330" s="2">
        <v>0.7271</v>
      </c>
      <c r="N330" s="2">
        <v>0.9681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</row>
    <row r="331" spans="12:20" ht="12.75">
      <c r="L331" s="2">
        <v>73</v>
      </c>
      <c r="M331" s="2">
        <v>0.7264</v>
      </c>
      <c r="N331" s="2">
        <v>0.9672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</row>
    <row r="332" spans="12:20" ht="12.75">
      <c r="L332" s="2">
        <v>73.1</v>
      </c>
      <c r="M332" s="2">
        <v>0.7256</v>
      </c>
      <c r="N332" s="2">
        <v>0.9663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</row>
    <row r="333" spans="12:20" ht="12.75">
      <c r="L333" s="2">
        <v>73.2</v>
      </c>
      <c r="M333" s="2">
        <v>0.7249</v>
      </c>
      <c r="N333" s="2">
        <v>0.9655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</row>
    <row r="334" spans="12:20" ht="12.75">
      <c r="L334" s="2">
        <v>73.3</v>
      </c>
      <c r="M334" s="2">
        <v>0.7242</v>
      </c>
      <c r="N334" s="2">
        <v>0.9646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</row>
    <row r="335" spans="12:20" ht="12.75">
      <c r="L335" s="2">
        <v>73.4</v>
      </c>
      <c r="M335" s="2">
        <v>0.7235</v>
      </c>
      <c r="N335" s="2">
        <v>0.9638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</row>
    <row r="336" spans="12:20" ht="12.75">
      <c r="L336" s="2">
        <v>73.5</v>
      </c>
      <c r="M336" s="2">
        <v>0.7228</v>
      </c>
      <c r="N336" s="2">
        <v>0.9629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</row>
    <row r="337" spans="12:20" ht="12.75">
      <c r="L337" s="2">
        <v>73.6</v>
      </c>
      <c r="M337" s="2">
        <v>0.7221</v>
      </c>
      <c r="N337" s="2">
        <v>0.9621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</row>
    <row r="338" spans="12:20" ht="12.75">
      <c r="L338" s="2">
        <v>73.7</v>
      </c>
      <c r="M338" s="2">
        <v>0.7214</v>
      </c>
      <c r="N338" s="2">
        <v>0.9613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</row>
    <row r="339" spans="12:20" ht="12.75">
      <c r="L339" s="2">
        <v>73.8</v>
      </c>
      <c r="M339" s="2">
        <v>0.7207</v>
      </c>
      <c r="N339" s="2">
        <v>0.9604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</row>
    <row r="340" spans="12:20" ht="12.75">
      <c r="L340" s="2">
        <v>73.9</v>
      </c>
      <c r="M340" s="2">
        <v>0.72</v>
      </c>
      <c r="N340" s="2">
        <v>0.9596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</row>
    <row r="341" spans="12:20" ht="12.75">
      <c r="L341" s="2">
        <v>74</v>
      </c>
      <c r="M341" s="2">
        <v>0.7193</v>
      </c>
      <c r="N341" s="2">
        <v>0.9587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</row>
    <row r="342" spans="12:20" ht="12.75">
      <c r="L342" s="2">
        <v>74.1</v>
      </c>
      <c r="M342" s="2">
        <v>0.7186</v>
      </c>
      <c r="N342" s="2">
        <v>0.9579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</row>
    <row r="343" spans="12:20" ht="12.75">
      <c r="L343" s="2">
        <v>74.2</v>
      </c>
      <c r="M343" s="2">
        <v>0.7179</v>
      </c>
      <c r="N343" s="2">
        <v>0.9571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</row>
    <row r="344" spans="12:20" ht="12.75">
      <c r="L344" s="2">
        <v>74.3</v>
      </c>
      <c r="M344" s="2">
        <v>0.7173</v>
      </c>
      <c r="N344" s="2">
        <v>0.9563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</row>
    <row r="345" spans="12:20" ht="12.75">
      <c r="L345" s="2">
        <v>74.4</v>
      </c>
      <c r="M345" s="2">
        <v>0.7166</v>
      </c>
      <c r="N345" s="2">
        <v>0.9555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</row>
    <row r="346" spans="12:20" ht="12.75">
      <c r="L346" s="2">
        <v>74.5</v>
      </c>
      <c r="M346" s="2">
        <v>0.7159</v>
      </c>
      <c r="N346" s="2">
        <v>0.9547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</row>
    <row r="347" spans="12:20" ht="12.75">
      <c r="L347" s="2">
        <v>74.6</v>
      </c>
      <c r="M347" s="2">
        <v>0.7152</v>
      </c>
      <c r="N347" s="2">
        <v>0.9538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</row>
    <row r="348" spans="12:20" ht="12.75">
      <c r="L348" s="2">
        <v>74.7</v>
      </c>
      <c r="M348" s="2">
        <v>0.7146</v>
      </c>
      <c r="N348" s="2">
        <v>0.953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</row>
    <row r="349" spans="12:20" ht="12.75">
      <c r="L349" s="2">
        <v>74.8</v>
      </c>
      <c r="M349" s="2">
        <v>0.7139</v>
      </c>
      <c r="N349" s="2">
        <v>0.9522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</row>
    <row r="350" spans="12:20" ht="12.75">
      <c r="L350" s="2">
        <v>74.9</v>
      </c>
      <c r="M350" s="2">
        <v>0.7132</v>
      </c>
      <c r="N350" s="2">
        <v>0.9514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</row>
    <row r="351" spans="12:20" ht="12.75">
      <c r="L351" s="2">
        <v>75</v>
      </c>
      <c r="M351" s="2">
        <v>0.7126</v>
      </c>
      <c r="N351" s="2">
        <v>0.9506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</row>
    <row r="352" spans="12:20" ht="12.75">
      <c r="L352" s="2">
        <v>75.1</v>
      </c>
      <c r="M352" s="2">
        <v>0.7119</v>
      </c>
      <c r="N352" s="2">
        <v>0.9498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</row>
    <row r="353" spans="12:20" ht="12.75">
      <c r="L353" s="2">
        <v>75.2</v>
      </c>
      <c r="M353" s="2">
        <v>0.7112</v>
      </c>
      <c r="N353" s="2">
        <v>0.9491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</row>
    <row r="354" spans="12:20" ht="12.75">
      <c r="L354" s="2">
        <v>75.3</v>
      </c>
      <c r="M354" s="2">
        <v>0.7106</v>
      </c>
      <c r="N354" s="2">
        <v>0.9483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</row>
    <row r="355" spans="12:20" ht="12.75">
      <c r="L355" s="2">
        <v>75.4</v>
      </c>
      <c r="M355" s="2">
        <v>0.7099</v>
      </c>
      <c r="N355" s="2">
        <v>0.9475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</row>
    <row r="356" spans="12:20" ht="12.75">
      <c r="L356" s="2">
        <v>75.5</v>
      </c>
      <c r="M356" s="2">
        <v>0.7093</v>
      </c>
      <c r="N356" s="2">
        <v>0.9467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</row>
    <row r="357" spans="12:20" ht="12.75">
      <c r="L357" s="2">
        <v>75.6</v>
      </c>
      <c r="M357" s="2">
        <v>0.7086</v>
      </c>
      <c r="N357" s="2">
        <v>0.9459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</row>
    <row r="358" spans="12:20" ht="12.75">
      <c r="L358" s="2">
        <v>75.7</v>
      </c>
      <c r="M358" s="2">
        <v>0.708</v>
      </c>
      <c r="N358" s="2">
        <v>0.9452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</row>
    <row r="359" spans="12:20" ht="12.75">
      <c r="L359" s="2">
        <v>75.8</v>
      </c>
      <c r="M359" s="2">
        <v>0.7074</v>
      </c>
      <c r="N359" s="2">
        <v>0.9444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</row>
    <row r="360" spans="12:20" ht="12.75">
      <c r="L360" s="2">
        <v>75.9</v>
      </c>
      <c r="M360" s="2">
        <v>0.7067</v>
      </c>
      <c r="N360" s="2">
        <v>0.9436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</row>
    <row r="361" spans="12:20" ht="12.75">
      <c r="L361" s="2">
        <v>76</v>
      </c>
      <c r="M361" s="2">
        <v>0.7061</v>
      </c>
      <c r="N361" s="2">
        <v>0.9429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</row>
    <row r="362" spans="12:20" ht="12.75">
      <c r="L362" s="2">
        <v>76.1</v>
      </c>
      <c r="M362" s="2">
        <v>0.7055</v>
      </c>
      <c r="N362" s="2">
        <v>0.9421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</row>
    <row r="363" spans="12:20" ht="12.75">
      <c r="L363" s="2">
        <v>76.2</v>
      </c>
      <c r="M363" s="2">
        <v>0.7048</v>
      </c>
      <c r="N363" s="2">
        <v>0.9414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</row>
    <row r="364" spans="12:20" ht="12.75">
      <c r="L364" s="2">
        <v>76.3</v>
      </c>
      <c r="M364" s="2">
        <v>0.7042</v>
      </c>
      <c r="N364" s="2">
        <v>0.9406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</row>
    <row r="365" spans="12:20" ht="12.75">
      <c r="L365" s="2">
        <v>76.4</v>
      </c>
      <c r="M365" s="2">
        <v>0.7036</v>
      </c>
      <c r="N365" s="2">
        <v>0.9399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</row>
    <row r="366" spans="12:20" ht="12.75">
      <c r="L366" s="2">
        <v>76.5</v>
      </c>
      <c r="M366" s="2">
        <v>0.7029</v>
      </c>
      <c r="N366" s="2">
        <v>0.9391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</row>
    <row r="367" spans="12:20" ht="12.75">
      <c r="L367" s="2">
        <v>76.6</v>
      </c>
      <c r="M367" s="2">
        <v>0.7023</v>
      </c>
      <c r="N367" s="2">
        <v>0.9384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</row>
    <row r="368" spans="12:20" ht="12.75">
      <c r="L368" s="2">
        <v>76.7</v>
      </c>
      <c r="M368" s="2">
        <v>0.7017</v>
      </c>
      <c r="N368" s="2">
        <v>0.9376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</row>
    <row r="369" spans="12:20" ht="12.75">
      <c r="L369" s="2">
        <v>76.8</v>
      </c>
      <c r="M369" s="2">
        <v>0.7011</v>
      </c>
      <c r="N369" s="2">
        <v>0.9369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</row>
    <row r="370" spans="12:20" ht="12.75">
      <c r="L370" s="2">
        <v>76.9</v>
      </c>
      <c r="M370" s="2">
        <v>0.7005</v>
      </c>
      <c r="N370" s="2">
        <v>0.9362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</row>
    <row r="371" spans="12:20" ht="12.75">
      <c r="L371" s="2">
        <v>77</v>
      </c>
      <c r="M371" s="2">
        <v>0.6999</v>
      </c>
      <c r="N371" s="2">
        <v>0.9354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</row>
    <row r="372" spans="12:20" ht="12.75">
      <c r="L372" s="2">
        <v>77.1</v>
      </c>
      <c r="M372" s="2">
        <v>0.6993</v>
      </c>
      <c r="N372" s="2">
        <v>0.9347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</row>
    <row r="373" spans="12:20" ht="12.75">
      <c r="L373" s="2">
        <v>77.2</v>
      </c>
      <c r="M373" s="2">
        <v>0.6987</v>
      </c>
      <c r="N373" s="2">
        <v>0.934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</row>
    <row r="374" spans="12:20" ht="12.75">
      <c r="L374" s="2">
        <v>77.3</v>
      </c>
      <c r="M374" s="2">
        <v>0.6981</v>
      </c>
      <c r="N374" s="2">
        <v>0.9333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</row>
    <row r="375" spans="12:20" ht="12.75">
      <c r="L375" s="2">
        <v>77.4</v>
      </c>
      <c r="M375" s="2">
        <v>0.6975</v>
      </c>
      <c r="N375" s="2">
        <v>0.9326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</row>
    <row r="376" spans="12:20" ht="12.75">
      <c r="L376" s="2">
        <v>77.5</v>
      </c>
      <c r="M376" s="2">
        <v>0.6969</v>
      </c>
      <c r="N376" s="2">
        <v>0.9318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</row>
    <row r="377" spans="12:20" ht="12.75">
      <c r="L377" s="2">
        <v>77.6</v>
      </c>
      <c r="M377" s="2">
        <v>0.6963</v>
      </c>
      <c r="N377" s="2">
        <v>0.9311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</row>
    <row r="378" spans="12:20" ht="12.75">
      <c r="L378" s="2">
        <v>77.7</v>
      </c>
      <c r="M378" s="2">
        <v>0.6957</v>
      </c>
      <c r="N378" s="2">
        <v>0.9304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</row>
    <row r="379" spans="12:20" ht="12.75">
      <c r="L379" s="2">
        <v>77.8</v>
      </c>
      <c r="M379" s="2">
        <v>0.6951</v>
      </c>
      <c r="N379" s="2">
        <v>0.9297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</row>
    <row r="380" spans="12:20" ht="12.75">
      <c r="L380" s="2">
        <v>77.9</v>
      </c>
      <c r="M380" s="2">
        <v>0.6945</v>
      </c>
      <c r="N380" s="2">
        <v>0.929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</row>
    <row r="381" spans="12:20" ht="12.75">
      <c r="L381" s="2">
        <v>78</v>
      </c>
      <c r="M381" s="2">
        <v>0.6939</v>
      </c>
      <c r="N381" s="2">
        <v>0.9283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</row>
    <row r="382" spans="12:20" ht="12.75">
      <c r="L382" s="2">
        <v>78.1</v>
      </c>
      <c r="M382" s="2">
        <v>0.6933</v>
      </c>
      <c r="N382" s="2">
        <v>0.9276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</row>
    <row r="383" spans="12:20" ht="12.75">
      <c r="L383" s="2">
        <v>78.2</v>
      </c>
      <c r="M383" s="2">
        <v>0.6927</v>
      </c>
      <c r="N383" s="2">
        <v>0.9269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</row>
    <row r="384" spans="12:20" ht="12.75">
      <c r="L384" s="2">
        <v>78.3</v>
      </c>
      <c r="M384" s="2">
        <v>0.6922</v>
      </c>
      <c r="N384" s="2">
        <v>0.9263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</row>
    <row r="385" spans="12:20" ht="12.75">
      <c r="L385" s="2">
        <v>78.4</v>
      </c>
      <c r="M385" s="2">
        <v>0.6916</v>
      </c>
      <c r="N385" s="2">
        <v>0.9256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</row>
    <row r="386" spans="12:20" ht="12.75">
      <c r="L386" s="2">
        <v>78.5</v>
      </c>
      <c r="M386" s="2">
        <v>0.691</v>
      </c>
      <c r="N386" s="2">
        <v>0.9249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</row>
    <row r="387" spans="12:20" ht="12.75">
      <c r="L387" s="2">
        <v>78.6</v>
      </c>
      <c r="M387" s="2">
        <v>0.6905</v>
      </c>
      <c r="N387" s="2">
        <v>0.9242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</row>
    <row r="388" spans="12:20" ht="12.75">
      <c r="L388" s="2">
        <v>78.7</v>
      </c>
      <c r="M388" s="2">
        <v>0.6899</v>
      </c>
      <c r="N388" s="2">
        <v>0.9235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</row>
    <row r="389" spans="12:20" ht="12.75">
      <c r="L389" s="2">
        <v>78.8</v>
      </c>
      <c r="M389" s="2">
        <v>0.6893</v>
      </c>
      <c r="N389" s="2">
        <v>0.9229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</row>
    <row r="390" spans="12:20" ht="12.75">
      <c r="L390" s="2">
        <v>78.9</v>
      </c>
      <c r="M390" s="2">
        <v>0.6888</v>
      </c>
      <c r="N390" s="2">
        <v>0.9222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</row>
    <row r="391" spans="12:20" ht="12.75">
      <c r="L391" s="2">
        <v>79</v>
      </c>
      <c r="M391" s="2">
        <v>0.6882</v>
      </c>
      <c r="N391" s="2">
        <v>0.9215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</row>
    <row r="392" spans="12:20" ht="12.75">
      <c r="L392" s="2">
        <v>79.1</v>
      </c>
      <c r="M392" s="2">
        <v>0.6876</v>
      </c>
      <c r="N392" s="2">
        <v>0.9209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</row>
    <row r="393" spans="12:20" ht="12.75">
      <c r="L393" s="2">
        <v>79.2</v>
      </c>
      <c r="M393" s="2">
        <v>0.6871</v>
      </c>
      <c r="N393" s="2">
        <v>0.9202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</row>
    <row r="394" spans="12:20" ht="12.75">
      <c r="L394" s="2">
        <v>79.3</v>
      </c>
      <c r="M394" s="2">
        <v>0.6865</v>
      </c>
      <c r="N394" s="2">
        <v>0.9195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</row>
    <row r="395" spans="12:20" ht="12.75">
      <c r="L395" s="2">
        <v>79.4</v>
      </c>
      <c r="M395" s="2">
        <v>0.686</v>
      </c>
      <c r="N395" s="2">
        <v>0.9189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</row>
    <row r="396" spans="12:20" ht="12.75">
      <c r="L396" s="2">
        <v>79.5</v>
      </c>
      <c r="M396" s="2">
        <v>0.6854</v>
      </c>
      <c r="N396" s="2">
        <v>0.9182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</row>
    <row r="397" spans="12:20" ht="12.75">
      <c r="L397" s="2">
        <v>79.6</v>
      </c>
      <c r="M397" s="2">
        <v>0.6849</v>
      </c>
      <c r="N397" s="2">
        <v>0.9176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</row>
    <row r="398" spans="12:20" ht="12.75">
      <c r="L398" s="2">
        <v>79.7</v>
      </c>
      <c r="M398" s="2">
        <v>0.6843</v>
      </c>
      <c r="N398" s="2">
        <v>0.9169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</row>
    <row r="399" spans="12:20" ht="12.75">
      <c r="L399" s="2">
        <v>79.8</v>
      </c>
      <c r="M399" s="2">
        <v>0.6838</v>
      </c>
      <c r="N399" s="2">
        <v>0.9163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</row>
    <row r="400" spans="12:20" ht="12.75">
      <c r="L400" s="2">
        <v>79.9</v>
      </c>
      <c r="M400" s="2">
        <v>0.6832</v>
      </c>
      <c r="N400" s="2">
        <v>0.9156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</row>
    <row r="401" spans="12:20" ht="12.75">
      <c r="L401" s="2">
        <v>80</v>
      </c>
      <c r="M401" s="2">
        <v>0.6827</v>
      </c>
      <c r="N401" s="2">
        <v>0.915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</row>
    <row r="402" spans="12:20" ht="12.75">
      <c r="L402" s="2">
        <v>80.1</v>
      </c>
      <c r="M402" s="2">
        <v>0.6822</v>
      </c>
      <c r="N402" s="2">
        <v>0.9144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</row>
    <row r="403" spans="12:20" ht="12.75">
      <c r="L403" s="2">
        <v>80.2</v>
      </c>
      <c r="M403" s="2">
        <v>0.6816</v>
      </c>
      <c r="N403" s="2">
        <v>0.9137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</row>
    <row r="404" spans="12:20" ht="12.75">
      <c r="L404" s="2">
        <v>80.3</v>
      </c>
      <c r="M404" s="2">
        <v>0.6811</v>
      </c>
      <c r="N404" s="2">
        <v>0.9131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</row>
    <row r="405" spans="12:20" ht="12.75">
      <c r="L405" s="2">
        <v>80.4</v>
      </c>
      <c r="M405" s="2">
        <v>0.6806</v>
      </c>
      <c r="N405" s="2">
        <v>0.9125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</row>
    <row r="406" spans="12:20" ht="12.75">
      <c r="L406" s="2">
        <v>80.5</v>
      </c>
      <c r="M406" s="2">
        <v>0.68</v>
      </c>
      <c r="N406" s="2">
        <v>0.9119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</row>
    <row r="407" spans="12:20" ht="12.75">
      <c r="L407" s="2">
        <v>80.6</v>
      </c>
      <c r="M407" s="2">
        <v>0.6795</v>
      </c>
      <c r="N407" s="2">
        <v>0.9112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</row>
    <row r="408" spans="12:20" ht="12.75">
      <c r="L408" s="2">
        <v>80.7</v>
      </c>
      <c r="M408" s="2">
        <v>0.679</v>
      </c>
      <c r="N408" s="2">
        <v>0.9106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</row>
    <row r="409" spans="12:20" ht="12.75">
      <c r="L409" s="2">
        <v>80.8</v>
      </c>
      <c r="M409" s="2">
        <v>0.6785</v>
      </c>
      <c r="N409" s="2">
        <v>0.91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</row>
    <row r="410" spans="12:20" ht="12.75">
      <c r="L410" s="2">
        <v>80.9</v>
      </c>
      <c r="M410" s="2">
        <v>0.6779</v>
      </c>
      <c r="N410" s="2">
        <v>0.9094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</row>
    <row r="411" spans="12:20" ht="12.75">
      <c r="L411" s="2">
        <v>81</v>
      </c>
      <c r="M411" s="2">
        <v>0.6774</v>
      </c>
      <c r="N411" s="2">
        <v>0.9088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</row>
    <row r="412" spans="12:20" ht="12.75">
      <c r="L412" s="2">
        <v>81.1</v>
      </c>
      <c r="M412" s="2">
        <v>0.6769</v>
      </c>
      <c r="N412" s="2">
        <v>0.9082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</row>
    <row r="413" spans="12:20" ht="12.75">
      <c r="L413" s="2">
        <v>81.2</v>
      </c>
      <c r="M413" s="2">
        <v>0.6764</v>
      </c>
      <c r="N413" s="2">
        <v>0.9076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</row>
    <row r="414" spans="12:20" ht="12.75">
      <c r="L414" s="2">
        <v>81.3</v>
      </c>
      <c r="M414" s="2">
        <v>0.6759</v>
      </c>
      <c r="N414" s="2">
        <v>0.907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</row>
    <row r="415" spans="12:20" ht="12.75">
      <c r="L415" s="2">
        <v>81.4</v>
      </c>
      <c r="M415" s="2">
        <v>0.6754</v>
      </c>
      <c r="N415" s="2">
        <v>0.9064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</row>
    <row r="416" spans="12:20" ht="12.75">
      <c r="L416" s="2">
        <v>81.5</v>
      </c>
      <c r="M416" s="2">
        <v>0.6749</v>
      </c>
      <c r="N416" s="2">
        <v>0.9058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</row>
    <row r="417" spans="12:20" ht="12.75">
      <c r="L417" s="2">
        <v>81.6</v>
      </c>
      <c r="M417" s="2">
        <v>0.6744</v>
      </c>
      <c r="N417" s="2">
        <v>0.9052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</row>
    <row r="418" spans="12:20" ht="12.75">
      <c r="L418" s="2">
        <v>81.7</v>
      </c>
      <c r="M418" s="2">
        <v>0.6739</v>
      </c>
      <c r="N418" s="2">
        <v>0.9046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</row>
    <row r="419" spans="12:20" ht="12.75">
      <c r="L419" s="2">
        <v>81.8</v>
      </c>
      <c r="M419" s="2">
        <v>0.6734</v>
      </c>
      <c r="N419" s="2">
        <v>0.904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</row>
    <row r="420" spans="12:20" ht="12.75">
      <c r="L420" s="2">
        <v>81.9</v>
      </c>
      <c r="M420" s="2">
        <v>0.6729</v>
      </c>
      <c r="N420" s="2">
        <v>0.9034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</row>
    <row r="421" spans="12:20" ht="12.75">
      <c r="L421" s="2">
        <v>82</v>
      </c>
      <c r="M421" s="2">
        <v>0.6724</v>
      </c>
      <c r="N421" s="2">
        <v>0.9028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</row>
    <row r="422" spans="12:20" ht="12.75">
      <c r="L422" s="2">
        <v>82.1</v>
      </c>
      <c r="M422" s="2">
        <v>0.6719</v>
      </c>
      <c r="N422" s="2">
        <v>0.9023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</row>
    <row r="423" spans="12:20" ht="12.75">
      <c r="L423" s="2">
        <v>82.2</v>
      </c>
      <c r="M423" s="2">
        <v>0.6714</v>
      </c>
      <c r="N423" s="2">
        <v>0.9017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</row>
    <row r="424" spans="12:20" ht="12.75">
      <c r="L424" s="2">
        <v>82.3</v>
      </c>
      <c r="M424" s="2">
        <v>0.6709</v>
      </c>
      <c r="N424" s="2">
        <v>0.9011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</row>
    <row r="425" spans="12:20" ht="12.75">
      <c r="L425" s="2">
        <v>82.4</v>
      </c>
      <c r="M425" s="2">
        <v>0.6704</v>
      </c>
      <c r="N425" s="2">
        <v>0.9005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</row>
    <row r="426" spans="12:20" ht="12.75">
      <c r="L426" s="2">
        <v>82.5</v>
      </c>
      <c r="M426" s="2">
        <v>0.6699</v>
      </c>
      <c r="N426" s="2">
        <v>0.9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</row>
    <row r="427" spans="12:20" ht="12.75">
      <c r="L427" s="2">
        <v>82.6</v>
      </c>
      <c r="M427" s="2">
        <v>0.6694</v>
      </c>
      <c r="N427" s="2">
        <v>0.8994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</row>
    <row r="428" spans="12:20" ht="12.75">
      <c r="L428" s="2">
        <v>82.7</v>
      </c>
      <c r="M428" s="2">
        <v>0.6689</v>
      </c>
      <c r="N428" s="2">
        <v>0.8988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</row>
    <row r="429" spans="12:20" ht="12.75">
      <c r="L429" s="2">
        <v>82.8</v>
      </c>
      <c r="M429" s="2">
        <v>0.6685</v>
      </c>
      <c r="N429" s="2">
        <v>0.8983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</row>
    <row r="430" spans="12:20" ht="12.75">
      <c r="L430" s="2">
        <v>82.9</v>
      </c>
      <c r="M430" s="2">
        <v>0.668</v>
      </c>
      <c r="N430" s="2">
        <v>0.8977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</row>
    <row r="431" spans="12:20" ht="12.75">
      <c r="L431" s="2">
        <v>83</v>
      </c>
      <c r="M431" s="2">
        <v>0.6675</v>
      </c>
      <c r="N431" s="2">
        <v>0.8972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</row>
    <row r="432" spans="12:20" ht="12.75">
      <c r="L432" s="2">
        <v>83.1</v>
      </c>
      <c r="M432" s="2">
        <v>0.667</v>
      </c>
      <c r="N432" s="2">
        <v>0.8966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</row>
    <row r="433" spans="12:20" ht="12.75">
      <c r="L433" s="2">
        <v>83.2</v>
      </c>
      <c r="M433" s="2">
        <v>0.6666</v>
      </c>
      <c r="N433" s="2">
        <v>0.8961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</row>
    <row r="434" spans="12:20" ht="12.75">
      <c r="L434" s="2">
        <v>83.3</v>
      </c>
      <c r="M434" s="2">
        <v>0.6661</v>
      </c>
      <c r="N434" s="2">
        <v>0.8955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</row>
    <row r="435" spans="12:20" ht="12.75">
      <c r="L435" s="2">
        <v>83.4</v>
      </c>
      <c r="M435" s="2">
        <v>0.6656</v>
      </c>
      <c r="N435" s="2">
        <v>0.895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</row>
    <row r="436" spans="12:20" ht="12.75">
      <c r="L436" s="2">
        <v>83.5</v>
      </c>
      <c r="M436" s="2">
        <v>0.6651</v>
      </c>
      <c r="N436" s="2">
        <v>0.8944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</row>
    <row r="437" spans="12:20" ht="12.75">
      <c r="L437" s="2">
        <v>83.6</v>
      </c>
      <c r="M437" s="2">
        <v>0.6647</v>
      </c>
      <c r="N437" s="2">
        <v>0.8939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</row>
    <row r="438" spans="12:20" ht="12.75">
      <c r="L438" s="2">
        <v>83.7</v>
      </c>
      <c r="M438" s="2">
        <v>0.6642</v>
      </c>
      <c r="N438" s="2">
        <v>0.8933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</row>
    <row r="439" spans="12:20" ht="12.75">
      <c r="L439" s="2">
        <v>83.8</v>
      </c>
      <c r="M439" s="2">
        <v>0.6637</v>
      </c>
      <c r="N439" s="2">
        <v>0.8928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</row>
    <row r="440" spans="12:20" ht="12.75">
      <c r="L440" s="2">
        <v>83.9</v>
      </c>
      <c r="M440" s="2">
        <v>0.6633</v>
      </c>
      <c r="N440" s="2">
        <v>0.8923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</row>
    <row r="441" spans="12:20" ht="12.75">
      <c r="L441" s="2">
        <v>84</v>
      </c>
      <c r="M441" s="2">
        <v>0.6628</v>
      </c>
      <c r="N441" s="2">
        <v>0.8917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</row>
    <row r="442" spans="12:20" ht="12.75">
      <c r="L442" s="2">
        <v>84.1</v>
      </c>
      <c r="M442" s="2">
        <v>0.6624</v>
      </c>
      <c r="N442" s="2">
        <v>0.8912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</row>
    <row r="443" spans="12:20" ht="12.75">
      <c r="L443" s="2">
        <v>84.2</v>
      </c>
      <c r="M443" s="2">
        <v>0.6619</v>
      </c>
      <c r="N443" s="2">
        <v>0.8907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</row>
    <row r="444" spans="12:20" ht="12.75">
      <c r="L444" s="2">
        <v>84.3</v>
      </c>
      <c r="M444" s="2">
        <v>0.6615</v>
      </c>
      <c r="N444" s="2">
        <v>0.8902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</row>
    <row r="445" spans="12:20" ht="12.75">
      <c r="L445" s="2">
        <v>84.4</v>
      </c>
      <c r="M445" s="2">
        <v>0.661</v>
      </c>
      <c r="N445" s="2">
        <v>0.8896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</row>
    <row r="446" spans="12:20" ht="12.75">
      <c r="L446" s="2">
        <v>84.5</v>
      </c>
      <c r="M446" s="2">
        <v>0.6606</v>
      </c>
      <c r="N446" s="2">
        <v>0.8891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</row>
    <row r="447" spans="12:20" ht="12.75">
      <c r="L447" s="2">
        <v>84.6</v>
      </c>
      <c r="M447" s="2">
        <v>0.6601</v>
      </c>
      <c r="N447" s="2">
        <v>0.8886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</row>
    <row r="448" spans="12:20" ht="12.75">
      <c r="L448" s="2">
        <v>84.7</v>
      </c>
      <c r="M448" s="2">
        <v>0.6597</v>
      </c>
      <c r="N448" s="2">
        <v>0.8881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</row>
    <row r="449" spans="12:20" ht="12.75">
      <c r="L449" s="2">
        <v>84.8</v>
      </c>
      <c r="M449" s="2">
        <v>0.6592</v>
      </c>
      <c r="N449" s="2">
        <v>0.8876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</row>
    <row r="450" spans="12:20" ht="12.75">
      <c r="L450" s="2">
        <v>84.9</v>
      </c>
      <c r="M450" s="2">
        <v>0.6588</v>
      </c>
      <c r="N450" s="2">
        <v>0.8871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</row>
    <row r="451" spans="12:20" ht="12.75">
      <c r="L451" s="2">
        <v>85</v>
      </c>
      <c r="M451" s="2">
        <v>0.6583</v>
      </c>
      <c r="N451" s="2">
        <v>0.8866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</row>
    <row r="452" spans="12:20" ht="12.75">
      <c r="L452" s="2">
        <v>85.1</v>
      </c>
      <c r="M452" s="2">
        <v>0.6579</v>
      </c>
      <c r="N452" s="2">
        <v>0.8861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</row>
    <row r="453" spans="12:20" ht="12.75">
      <c r="L453" s="2">
        <v>85.2</v>
      </c>
      <c r="M453" s="2">
        <v>0.6575</v>
      </c>
      <c r="N453" s="2">
        <v>0.8856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</row>
    <row r="454" spans="12:20" ht="12.75">
      <c r="L454" s="2">
        <v>85.3</v>
      </c>
      <c r="M454" s="2">
        <v>0.657</v>
      </c>
      <c r="N454" s="2">
        <v>0.8851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</row>
    <row r="455" spans="12:20" ht="12.75">
      <c r="L455" s="2">
        <v>85.4</v>
      </c>
      <c r="M455" s="2">
        <v>0.6566</v>
      </c>
      <c r="N455" s="2">
        <v>0.8846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</row>
    <row r="456" spans="12:20" ht="12.75">
      <c r="L456" s="2">
        <v>85.5</v>
      </c>
      <c r="M456" s="2">
        <v>0.6562</v>
      </c>
      <c r="N456" s="2">
        <v>0.8841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</row>
    <row r="457" spans="12:20" ht="12.75">
      <c r="L457" s="2">
        <v>85.6</v>
      </c>
      <c r="M457" s="2">
        <v>0.6557</v>
      </c>
      <c r="N457" s="2">
        <v>0.8836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</row>
    <row r="458" spans="12:20" ht="12.75">
      <c r="L458" s="2">
        <v>85.7</v>
      </c>
      <c r="M458" s="2">
        <v>0.6553</v>
      </c>
      <c r="N458" s="2">
        <v>0.8831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</row>
    <row r="459" spans="12:20" ht="12.75">
      <c r="L459" s="2">
        <v>85.8</v>
      </c>
      <c r="M459" s="2">
        <v>0.6549</v>
      </c>
      <c r="N459" s="2">
        <v>0.8826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</row>
    <row r="460" spans="12:20" ht="12.75">
      <c r="L460" s="2">
        <v>85.9</v>
      </c>
      <c r="M460" s="2">
        <v>0.6545</v>
      </c>
      <c r="N460" s="2">
        <v>0.8821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</row>
    <row r="461" spans="12:20" ht="12.75">
      <c r="L461" s="2">
        <v>86</v>
      </c>
      <c r="M461" s="2">
        <v>0.654</v>
      </c>
      <c r="N461" s="2">
        <v>0.8816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</row>
    <row r="462" spans="12:20" ht="12.75">
      <c r="L462" s="2">
        <v>86.1</v>
      </c>
      <c r="M462" s="2">
        <v>0.6536</v>
      </c>
      <c r="N462" s="2">
        <v>0.8811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</row>
    <row r="463" spans="12:20" ht="12.75">
      <c r="L463" s="2">
        <v>86.2</v>
      </c>
      <c r="M463" s="2">
        <v>0.6532</v>
      </c>
      <c r="N463" s="2">
        <v>0.8807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</row>
    <row r="464" spans="12:20" ht="12.75">
      <c r="L464" s="2">
        <v>86.3</v>
      </c>
      <c r="M464" s="2">
        <v>0.6528</v>
      </c>
      <c r="N464" s="2">
        <v>0.8802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</row>
    <row r="465" spans="12:20" ht="12.75">
      <c r="L465" s="2">
        <v>86.4</v>
      </c>
      <c r="M465" s="2">
        <v>0.6523</v>
      </c>
      <c r="N465" s="2">
        <v>0.8797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</row>
    <row r="466" spans="12:20" ht="12.75">
      <c r="L466" s="2">
        <v>86.5</v>
      </c>
      <c r="M466" s="2">
        <v>0.6519</v>
      </c>
      <c r="N466" s="2">
        <v>0.8792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</row>
    <row r="467" spans="12:20" ht="12.75">
      <c r="L467" s="2">
        <v>86.6</v>
      </c>
      <c r="M467" s="2">
        <v>0.6515</v>
      </c>
      <c r="N467" s="2">
        <v>0.8788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</row>
    <row r="468" spans="12:20" ht="12.75">
      <c r="L468" s="2">
        <v>86.7</v>
      </c>
      <c r="M468" s="2">
        <v>0.6511</v>
      </c>
      <c r="N468" s="2">
        <v>0.8783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</row>
    <row r="469" spans="12:20" ht="12.75">
      <c r="L469" s="2">
        <v>86.8</v>
      </c>
      <c r="M469" s="2">
        <v>0.6507</v>
      </c>
      <c r="N469" s="2">
        <v>0.8778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</row>
    <row r="470" spans="12:20" ht="12.75">
      <c r="L470" s="2">
        <v>86.9</v>
      </c>
      <c r="M470" s="2">
        <v>0.6503</v>
      </c>
      <c r="N470" s="2">
        <v>0.8774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</row>
    <row r="471" spans="12:20" ht="12.75">
      <c r="L471" s="2">
        <v>87</v>
      </c>
      <c r="M471" s="2">
        <v>0.6499</v>
      </c>
      <c r="N471" s="2">
        <v>0.8769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</row>
    <row r="472" spans="12:20" ht="12.75">
      <c r="L472" s="2">
        <v>87.1</v>
      </c>
      <c r="M472" s="2">
        <v>0.6495</v>
      </c>
      <c r="N472" s="2">
        <v>0.8765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</row>
    <row r="473" spans="12:20" ht="12.75">
      <c r="L473" s="2">
        <v>87.2</v>
      </c>
      <c r="M473" s="2">
        <v>0.6491</v>
      </c>
      <c r="N473" s="2">
        <v>0.876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</row>
    <row r="474" spans="12:20" ht="12.75">
      <c r="L474" s="2">
        <v>87.3</v>
      </c>
      <c r="M474" s="2">
        <v>0.6487</v>
      </c>
      <c r="N474" s="2">
        <v>0.8755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</row>
    <row r="475" spans="12:20" ht="12.75">
      <c r="L475" s="2">
        <v>87.4</v>
      </c>
      <c r="M475" s="2">
        <v>0.6483</v>
      </c>
      <c r="N475" s="2">
        <v>0.8751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</row>
    <row r="476" spans="12:20" ht="12.75">
      <c r="L476" s="2">
        <v>87.5</v>
      </c>
      <c r="M476" s="2">
        <v>0.6479</v>
      </c>
      <c r="N476" s="2">
        <v>0.8746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</row>
    <row r="477" spans="12:20" ht="12.75">
      <c r="L477" s="2">
        <v>87.6</v>
      </c>
      <c r="M477" s="2">
        <v>0.6475</v>
      </c>
      <c r="N477" s="2">
        <v>0.8742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</row>
    <row r="478" spans="12:20" ht="12.75">
      <c r="L478" s="2">
        <v>87.7</v>
      </c>
      <c r="M478" s="2">
        <v>0.6471</v>
      </c>
      <c r="N478" s="2">
        <v>0.8737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</row>
    <row r="479" spans="12:20" ht="12.75">
      <c r="L479" s="2">
        <v>87.8</v>
      </c>
      <c r="M479" s="2">
        <v>0.6467</v>
      </c>
      <c r="N479" s="2">
        <v>0.8733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</row>
    <row r="480" spans="12:20" ht="12.75">
      <c r="L480" s="2">
        <v>87.9</v>
      </c>
      <c r="M480" s="2">
        <v>0.6463</v>
      </c>
      <c r="N480" s="2">
        <v>0.8729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</row>
    <row r="481" spans="12:20" ht="12.75">
      <c r="L481" s="2">
        <v>88</v>
      </c>
      <c r="M481" s="2">
        <v>0.6459</v>
      </c>
      <c r="N481" s="2">
        <v>0.8724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</row>
    <row r="482" spans="12:20" ht="12.75">
      <c r="L482" s="2">
        <v>88.1</v>
      </c>
      <c r="M482" s="2">
        <v>0.6455</v>
      </c>
      <c r="N482" s="2">
        <v>0.872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</row>
    <row r="483" spans="12:20" ht="12.75">
      <c r="L483" s="2">
        <v>88.2</v>
      </c>
      <c r="M483" s="2">
        <v>0.6451</v>
      </c>
      <c r="N483" s="2">
        <v>0.8716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</row>
    <row r="484" spans="12:20" ht="12.75">
      <c r="L484" s="2">
        <v>88.3</v>
      </c>
      <c r="M484" s="2">
        <v>0.6447</v>
      </c>
      <c r="N484" s="2">
        <v>0.8711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</row>
    <row r="485" spans="12:20" ht="12.75">
      <c r="L485" s="2">
        <v>88.4</v>
      </c>
      <c r="M485" s="2">
        <v>0.6444</v>
      </c>
      <c r="N485" s="2">
        <v>0.8707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</row>
    <row r="486" spans="12:20" ht="12.75">
      <c r="L486" s="2">
        <v>88.5</v>
      </c>
      <c r="M486" s="2">
        <v>0.644</v>
      </c>
      <c r="N486" s="2">
        <v>0.8703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</row>
    <row r="487" spans="12:20" ht="12.75">
      <c r="L487" s="2">
        <v>88.6</v>
      </c>
      <c r="M487" s="2">
        <v>0.6436</v>
      </c>
      <c r="N487" s="2">
        <v>0.8698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</row>
    <row r="488" spans="12:20" ht="12.75">
      <c r="L488" s="2">
        <v>88.7</v>
      </c>
      <c r="M488" s="2">
        <v>0.6432</v>
      </c>
      <c r="N488" s="2">
        <v>0.8694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</row>
    <row r="489" spans="12:20" ht="12.75">
      <c r="L489" s="2">
        <v>88.8</v>
      </c>
      <c r="M489" s="2">
        <v>0.6428</v>
      </c>
      <c r="N489" s="2">
        <v>0.869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</row>
    <row r="490" spans="12:20" ht="12.75">
      <c r="L490" s="2">
        <v>88.9</v>
      </c>
      <c r="M490" s="2">
        <v>0.6424</v>
      </c>
      <c r="N490" s="2">
        <v>0.8686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</row>
    <row r="491" spans="12:20" ht="12.75">
      <c r="L491" s="2">
        <v>89</v>
      </c>
      <c r="M491" s="2">
        <v>0.6421</v>
      </c>
      <c r="N491" s="2">
        <v>0.8681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</row>
    <row r="492" spans="12:20" ht="12.75">
      <c r="L492" s="2">
        <v>89.1</v>
      </c>
      <c r="M492" s="2">
        <v>0.6417</v>
      </c>
      <c r="N492" s="2">
        <v>0.8677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</row>
    <row r="493" spans="12:20" ht="12.75">
      <c r="L493" s="2">
        <v>89.2</v>
      </c>
      <c r="M493" s="2">
        <v>0.6413</v>
      </c>
      <c r="N493" s="2">
        <v>0.8673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</row>
    <row r="494" spans="12:20" ht="12.75">
      <c r="L494" s="2">
        <v>89.3</v>
      </c>
      <c r="M494" s="2">
        <v>0.641</v>
      </c>
      <c r="N494" s="2">
        <v>0.8669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</row>
    <row r="495" spans="12:20" ht="12.75">
      <c r="L495" s="2">
        <v>89.4</v>
      </c>
      <c r="M495" s="2">
        <v>0.6406</v>
      </c>
      <c r="N495" s="2">
        <v>0.8665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</row>
    <row r="496" spans="12:20" ht="12.75">
      <c r="L496" s="2">
        <v>89.5</v>
      </c>
      <c r="M496" s="2">
        <v>0.6402</v>
      </c>
      <c r="N496" s="2">
        <v>0.8661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</row>
    <row r="497" spans="12:20" ht="12.75">
      <c r="L497" s="2">
        <v>89.6</v>
      </c>
      <c r="M497" s="2">
        <v>0.6398</v>
      </c>
      <c r="N497" s="2">
        <v>0.8657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</row>
    <row r="498" spans="12:20" ht="12.75">
      <c r="L498" s="2">
        <v>89.7</v>
      </c>
      <c r="M498" s="2">
        <v>0.6395</v>
      </c>
      <c r="N498" s="2">
        <v>0.8653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</row>
    <row r="499" spans="12:20" ht="12.75">
      <c r="L499" s="2">
        <v>89.8</v>
      </c>
      <c r="M499" s="2">
        <v>0.6391</v>
      </c>
      <c r="N499" s="2">
        <v>0.8649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</row>
    <row r="500" spans="12:20" ht="12.75">
      <c r="L500" s="2">
        <v>89.9</v>
      </c>
      <c r="M500" s="2">
        <v>0.6388</v>
      </c>
      <c r="N500" s="2">
        <v>0.8645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</row>
    <row r="501" spans="12:20" ht="12.75">
      <c r="L501" s="2">
        <v>90</v>
      </c>
      <c r="M501" s="2">
        <v>0.6384</v>
      </c>
      <c r="N501" s="2">
        <v>0.8641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</row>
    <row r="502" spans="12:20" ht="12.75">
      <c r="L502" s="2">
        <v>90.1</v>
      </c>
      <c r="M502" s="2">
        <v>0.638</v>
      </c>
      <c r="N502" s="2">
        <v>0.8637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</row>
    <row r="503" spans="12:20" ht="12.75">
      <c r="L503" s="2">
        <v>90.2</v>
      </c>
      <c r="M503" s="2">
        <v>0.6377</v>
      </c>
      <c r="N503" s="2">
        <v>0.8633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</row>
    <row r="504" spans="12:20" ht="12.75">
      <c r="L504" s="2">
        <v>90.3</v>
      </c>
      <c r="M504" s="2">
        <v>0.6373</v>
      </c>
      <c r="N504" s="2">
        <v>0.8629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</row>
    <row r="505" spans="12:20" ht="12.75">
      <c r="L505" s="2">
        <v>90.4</v>
      </c>
      <c r="M505" s="2">
        <v>0.637</v>
      </c>
      <c r="N505" s="2">
        <v>0.8625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</row>
    <row r="506" spans="12:20" ht="12.75">
      <c r="L506" s="2">
        <v>90.5</v>
      </c>
      <c r="M506" s="2">
        <v>0.6366</v>
      </c>
      <c r="N506" s="2">
        <v>0.8621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</row>
    <row r="507" spans="12:20" ht="12.75">
      <c r="L507" s="2">
        <v>90.6</v>
      </c>
      <c r="M507" s="2">
        <v>0.6363</v>
      </c>
      <c r="N507" s="2">
        <v>0.8617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</row>
    <row r="508" spans="12:20" ht="12.75">
      <c r="L508" s="2">
        <v>90.7</v>
      </c>
      <c r="M508" s="2">
        <v>0.6359</v>
      </c>
      <c r="N508" s="2">
        <v>0.8613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</row>
    <row r="509" spans="12:20" ht="12.75">
      <c r="L509" s="2">
        <v>90.8</v>
      </c>
      <c r="M509" s="2">
        <v>0.6356</v>
      </c>
      <c r="N509" s="2">
        <v>0.8609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</row>
    <row r="510" spans="12:20" ht="12.75">
      <c r="L510" s="2">
        <v>90.9</v>
      </c>
      <c r="M510" s="2">
        <v>0.6352</v>
      </c>
      <c r="N510" s="2">
        <v>0.8606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</row>
    <row r="511" spans="12:20" ht="12.75">
      <c r="L511" s="2">
        <v>91</v>
      </c>
      <c r="M511" s="2">
        <v>0.6349</v>
      </c>
      <c r="N511" s="2">
        <v>0.8602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</row>
    <row r="512" spans="12:20" ht="12.75">
      <c r="L512" s="2">
        <v>91.1</v>
      </c>
      <c r="M512" s="2">
        <v>0.6345</v>
      </c>
      <c r="N512" s="2">
        <v>0.8598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</row>
    <row r="513" spans="12:20" ht="12.75">
      <c r="L513" s="2">
        <v>91.2</v>
      </c>
      <c r="M513" s="2">
        <v>0.6342</v>
      </c>
      <c r="N513" s="2">
        <v>0.8594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</row>
    <row r="514" spans="12:20" ht="12.75">
      <c r="L514" s="2">
        <v>91.3</v>
      </c>
      <c r="M514" s="2">
        <v>0.6338</v>
      </c>
      <c r="N514" s="2">
        <v>0.859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</row>
    <row r="515" spans="12:20" ht="12.75">
      <c r="L515" s="2">
        <v>91.4</v>
      </c>
      <c r="M515" s="2">
        <v>0.6335</v>
      </c>
      <c r="N515" s="2">
        <v>0.8587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</row>
    <row r="516" spans="12:20" ht="12.75">
      <c r="L516" s="2">
        <v>91.5</v>
      </c>
      <c r="M516" s="2">
        <v>0.6331</v>
      </c>
      <c r="N516" s="2">
        <v>0.8583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</row>
    <row r="517" spans="12:20" ht="12.75">
      <c r="L517" s="2">
        <v>91.6</v>
      </c>
      <c r="M517" s="2">
        <v>0.6328</v>
      </c>
      <c r="N517" s="2">
        <v>0.8579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</row>
    <row r="518" spans="12:20" ht="12.75">
      <c r="L518" s="2">
        <v>91.7</v>
      </c>
      <c r="M518" s="2">
        <v>0.6325</v>
      </c>
      <c r="N518" s="2">
        <v>0.8576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</row>
    <row r="519" spans="12:20" ht="12.75">
      <c r="L519" s="2">
        <v>91.8</v>
      </c>
      <c r="M519" s="2">
        <v>0.6321</v>
      </c>
      <c r="N519" s="2">
        <v>0.8572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</row>
    <row r="520" spans="12:20" ht="12.75">
      <c r="L520" s="2">
        <v>91.9</v>
      </c>
      <c r="M520" s="2">
        <v>0.6318</v>
      </c>
      <c r="N520" s="2">
        <v>0.8568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</row>
    <row r="521" spans="12:20" ht="12.75">
      <c r="L521" s="2">
        <v>92</v>
      </c>
      <c r="M521" s="2">
        <v>0.6315</v>
      </c>
      <c r="N521" s="2">
        <v>0.8565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</row>
    <row r="522" spans="12:20" ht="12.75">
      <c r="L522" s="2">
        <v>92.1</v>
      </c>
      <c r="M522" s="2">
        <v>0.6311</v>
      </c>
      <c r="N522" s="2">
        <v>0.8561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</row>
    <row r="523" spans="12:20" ht="12.75">
      <c r="L523" s="2">
        <v>92.2</v>
      </c>
      <c r="M523" s="2">
        <v>0.6308</v>
      </c>
      <c r="N523" s="2">
        <v>0.8558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</row>
    <row r="524" spans="12:20" ht="12.75">
      <c r="L524" s="2">
        <v>92.3</v>
      </c>
      <c r="M524" s="2">
        <v>0.6305</v>
      </c>
      <c r="N524" s="2">
        <v>0.8554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</row>
    <row r="525" spans="12:20" ht="12.75">
      <c r="L525" s="2">
        <v>92.4</v>
      </c>
      <c r="M525" s="2">
        <v>0.6301</v>
      </c>
      <c r="N525" s="2">
        <v>0.855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</row>
    <row r="526" spans="12:20" ht="12.75">
      <c r="L526" s="2">
        <v>92.5</v>
      </c>
      <c r="M526" s="2">
        <v>0.6298</v>
      </c>
      <c r="N526" s="2">
        <v>0.8547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</row>
    <row r="527" spans="12:20" ht="12.75">
      <c r="L527" s="2">
        <v>92.6</v>
      </c>
      <c r="M527" s="2">
        <v>0.6295</v>
      </c>
      <c r="N527" s="2">
        <v>0.8543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</row>
    <row r="528" spans="12:20" ht="12.75">
      <c r="L528" s="2">
        <v>92.7</v>
      </c>
      <c r="M528" s="2">
        <v>0.6292</v>
      </c>
      <c r="N528" s="2">
        <v>0.854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</row>
    <row r="529" spans="12:20" ht="12.75">
      <c r="L529" s="2">
        <v>92.8</v>
      </c>
      <c r="M529" s="2">
        <v>0.6288</v>
      </c>
      <c r="N529" s="2">
        <v>0.8536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</row>
    <row r="530" spans="12:20" ht="12.75">
      <c r="L530" s="2">
        <v>92.9</v>
      </c>
      <c r="M530" s="2">
        <v>0.6285</v>
      </c>
      <c r="N530" s="2">
        <v>0.8533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</row>
    <row r="531" spans="12:20" ht="12.75">
      <c r="L531" s="2">
        <v>93</v>
      </c>
      <c r="M531" s="2">
        <v>0.6282</v>
      </c>
      <c r="N531" s="2">
        <v>0.853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</row>
    <row r="532" spans="12:20" ht="12.75">
      <c r="L532" s="2">
        <v>93.1</v>
      </c>
      <c r="M532" s="2">
        <v>0.6279</v>
      </c>
      <c r="N532" s="2">
        <v>0.8526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</row>
    <row r="533" spans="12:20" ht="12.75">
      <c r="L533" s="2">
        <v>93.2</v>
      </c>
      <c r="M533" s="2">
        <v>0.6276</v>
      </c>
      <c r="N533" s="2">
        <v>0.8523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</row>
    <row r="534" spans="12:20" ht="12.75">
      <c r="L534" s="2">
        <v>93.3</v>
      </c>
      <c r="M534" s="2">
        <v>0.6272</v>
      </c>
      <c r="N534" s="2">
        <v>0.8519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</row>
    <row r="535" spans="12:20" ht="12.75">
      <c r="L535" s="2">
        <v>93.4</v>
      </c>
      <c r="M535" s="2">
        <v>0.6269</v>
      </c>
      <c r="N535" s="2">
        <v>0.8516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</row>
    <row r="536" spans="12:20" ht="12.75">
      <c r="L536" s="2">
        <v>93.5</v>
      </c>
      <c r="M536" s="2">
        <v>0.6266</v>
      </c>
      <c r="N536" s="2">
        <v>0.8513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</row>
    <row r="537" spans="12:20" ht="12.75">
      <c r="L537" s="2">
        <v>93.6</v>
      </c>
      <c r="M537" s="2">
        <v>0.6263</v>
      </c>
      <c r="N537" s="2">
        <v>0.8509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</row>
    <row r="538" spans="12:20" ht="12.75">
      <c r="L538" s="2">
        <v>93.7</v>
      </c>
      <c r="M538" s="2">
        <v>0.626</v>
      </c>
      <c r="N538" s="2">
        <v>0.8506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</row>
    <row r="539" spans="12:20" ht="12.75">
      <c r="L539" s="2">
        <v>93.8</v>
      </c>
      <c r="M539" s="2">
        <v>0.6257</v>
      </c>
      <c r="N539" s="2">
        <v>0.8503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</row>
    <row r="540" spans="12:20" ht="12.75">
      <c r="L540" s="2">
        <v>93.9</v>
      </c>
      <c r="M540" s="2">
        <v>0.6254</v>
      </c>
      <c r="N540" s="2">
        <v>0.8499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</row>
    <row r="541" spans="12:20" ht="12.75">
      <c r="L541" s="2">
        <v>94</v>
      </c>
      <c r="M541" s="2">
        <v>0.625</v>
      </c>
      <c r="N541" s="2">
        <v>0.8496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</row>
    <row r="542" spans="12:20" ht="12.75">
      <c r="L542" s="2">
        <v>94.1</v>
      </c>
      <c r="M542" s="2">
        <v>0.6247</v>
      </c>
      <c r="N542" s="2">
        <v>0.8493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</row>
    <row r="543" spans="12:20" ht="12.75">
      <c r="L543" s="2">
        <v>94.2</v>
      </c>
      <c r="M543" s="2">
        <v>0.6244</v>
      </c>
      <c r="N543" s="2">
        <v>0.8489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</row>
    <row r="544" spans="12:20" ht="12.75">
      <c r="L544" s="2">
        <v>94.3</v>
      </c>
      <c r="M544" s="2">
        <v>0.6241</v>
      </c>
      <c r="N544" s="2">
        <v>0.8486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</row>
    <row r="545" spans="12:20" ht="12.75">
      <c r="L545" s="2">
        <v>94.4</v>
      </c>
      <c r="M545" s="2">
        <v>0.6238</v>
      </c>
      <c r="N545" s="2">
        <v>0.8483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</row>
    <row r="546" spans="12:20" ht="12.75">
      <c r="L546" s="2">
        <v>94.5</v>
      </c>
      <c r="M546" s="2">
        <v>0.6235</v>
      </c>
      <c r="N546" s="2">
        <v>0.848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</row>
    <row r="547" spans="12:20" ht="12.75">
      <c r="L547" s="2">
        <v>94.6</v>
      </c>
      <c r="M547" s="2">
        <v>0.6232</v>
      </c>
      <c r="N547" s="2">
        <v>0.8477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</row>
    <row r="548" spans="12:20" ht="12.75">
      <c r="L548" s="2">
        <v>94.7</v>
      </c>
      <c r="M548" s="2">
        <v>0.6229</v>
      </c>
      <c r="N548" s="2">
        <v>0.8473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</row>
    <row r="549" spans="12:20" ht="12.75">
      <c r="L549" s="2">
        <v>94.8</v>
      </c>
      <c r="M549" s="2">
        <v>0.6226</v>
      </c>
      <c r="N549" s="2">
        <v>0.847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</row>
    <row r="550" spans="12:20" ht="12.75">
      <c r="L550" s="2">
        <v>94.9</v>
      </c>
      <c r="M550" s="2">
        <v>0.6223</v>
      </c>
      <c r="N550" s="2">
        <v>0.8467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</row>
    <row r="551" spans="12:20" ht="12.75">
      <c r="L551" s="2">
        <v>95</v>
      </c>
      <c r="M551" s="2">
        <v>0.622</v>
      </c>
      <c r="N551" s="2">
        <v>0.8464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</row>
    <row r="552" spans="12:20" ht="12.75">
      <c r="L552" s="2">
        <v>95.1</v>
      </c>
      <c r="M552" s="2">
        <v>0.6217</v>
      </c>
      <c r="N552" s="2">
        <v>0.8461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</row>
    <row r="553" spans="12:20" ht="12.75">
      <c r="L553" s="2">
        <v>95.2</v>
      </c>
      <c r="M553" s="2">
        <v>0.6214</v>
      </c>
      <c r="N553" s="2">
        <v>0.8458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</row>
    <row r="554" spans="12:20" ht="12.75">
      <c r="L554" s="2">
        <v>95.3</v>
      </c>
      <c r="M554" s="2">
        <v>0.6211</v>
      </c>
      <c r="N554" s="2">
        <v>0.8455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</row>
    <row r="555" spans="12:20" ht="12.75">
      <c r="L555" s="2">
        <v>95.4</v>
      </c>
      <c r="M555" s="2">
        <v>0.6209</v>
      </c>
      <c r="N555" s="2">
        <v>0.8452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</row>
    <row r="556" spans="12:20" ht="12.75">
      <c r="L556" s="2">
        <v>95.5</v>
      </c>
      <c r="M556" s="2">
        <v>0.6206</v>
      </c>
      <c r="N556" s="2">
        <v>0.8449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</row>
    <row r="557" spans="12:20" ht="12.75">
      <c r="L557" s="2">
        <v>95.6</v>
      </c>
      <c r="M557" s="2">
        <v>0.6203</v>
      </c>
      <c r="N557" s="2">
        <v>0.8446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</row>
    <row r="558" spans="12:20" ht="12.75">
      <c r="L558" s="2">
        <v>95.7</v>
      </c>
      <c r="M558" s="2">
        <v>0.62</v>
      </c>
      <c r="N558" s="2">
        <v>0.8443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</row>
    <row r="559" spans="12:20" ht="12.75">
      <c r="L559" s="2">
        <v>95.8</v>
      </c>
      <c r="M559" s="2">
        <v>0.6197</v>
      </c>
      <c r="N559" s="2">
        <v>0.844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</row>
    <row r="560" spans="12:20" ht="12.75">
      <c r="L560" s="2">
        <v>95.9</v>
      </c>
      <c r="M560" s="2">
        <v>0.6194</v>
      </c>
      <c r="N560" s="2">
        <v>0.8437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</row>
    <row r="561" spans="12:20" ht="12.75">
      <c r="L561" s="2">
        <v>96</v>
      </c>
      <c r="M561" s="2">
        <v>0.6191</v>
      </c>
      <c r="N561" s="2">
        <v>0.8434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</row>
    <row r="562" spans="12:20" ht="12.75">
      <c r="L562" s="2">
        <v>96.1</v>
      </c>
      <c r="M562" s="2">
        <v>0.6188</v>
      </c>
      <c r="N562" s="2">
        <v>0.8431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</row>
    <row r="563" spans="12:20" ht="12.75">
      <c r="L563" s="2">
        <v>96.2</v>
      </c>
      <c r="M563" s="2">
        <v>0.6186</v>
      </c>
      <c r="N563" s="2">
        <v>0.8428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</row>
    <row r="564" spans="12:20" ht="12.75">
      <c r="L564" s="2">
        <v>96.3</v>
      </c>
      <c r="M564" s="2">
        <v>0.6183</v>
      </c>
      <c r="N564" s="2">
        <v>0.8425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</row>
    <row r="565" spans="12:20" ht="12.75">
      <c r="L565" s="2">
        <v>96.4</v>
      </c>
      <c r="M565" s="2">
        <v>0.618</v>
      </c>
      <c r="N565" s="2">
        <v>0.8422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</row>
    <row r="566" spans="12:20" ht="12.75">
      <c r="L566" s="2">
        <v>96.5</v>
      </c>
      <c r="M566" s="2">
        <v>0.6177</v>
      </c>
      <c r="N566" s="2">
        <v>0.8419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</row>
    <row r="567" spans="12:20" ht="12.75">
      <c r="L567" s="2">
        <v>96.6</v>
      </c>
      <c r="M567" s="2">
        <v>0.6174</v>
      </c>
      <c r="N567" s="2">
        <v>0.8416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</row>
    <row r="568" spans="12:20" ht="12.75">
      <c r="L568" s="2">
        <v>96.7</v>
      </c>
      <c r="M568" s="2">
        <v>0.6172</v>
      </c>
      <c r="N568" s="2">
        <v>0.8413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</row>
    <row r="569" spans="12:20" ht="12.75">
      <c r="L569" s="2">
        <v>96.8</v>
      </c>
      <c r="M569" s="2">
        <v>0.6169</v>
      </c>
      <c r="N569" s="2">
        <v>0.841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</row>
    <row r="570" spans="12:20" ht="12.75">
      <c r="L570" s="2">
        <v>96.9</v>
      </c>
      <c r="M570" s="2">
        <v>0.6166</v>
      </c>
      <c r="N570" s="2">
        <v>0.8407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</row>
    <row r="571" spans="12:20" ht="12.75">
      <c r="L571" s="2">
        <v>97</v>
      </c>
      <c r="M571" s="2">
        <v>0.6163</v>
      </c>
      <c r="N571" s="2">
        <v>0.8405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</row>
    <row r="572" spans="12:20" ht="12.75">
      <c r="L572" s="2">
        <v>97.1</v>
      </c>
      <c r="M572" s="2">
        <v>0.6161</v>
      </c>
      <c r="N572" s="2">
        <v>0.8402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</row>
    <row r="573" spans="12:20" ht="12.75">
      <c r="L573" s="2">
        <v>97.2</v>
      </c>
      <c r="M573" s="2">
        <v>0.6158</v>
      </c>
      <c r="N573" s="2">
        <v>0.8399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</row>
    <row r="574" spans="12:20" ht="12.75">
      <c r="L574" s="2">
        <v>97.3</v>
      </c>
      <c r="M574" s="2">
        <v>0.6155</v>
      </c>
      <c r="N574" s="2">
        <v>0.8396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</row>
    <row r="575" spans="12:20" ht="12.75">
      <c r="L575" s="2">
        <v>97.4</v>
      </c>
      <c r="M575" s="2">
        <v>0.6152</v>
      </c>
      <c r="N575" s="2">
        <v>0.8393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</row>
    <row r="576" spans="12:20" ht="12.75">
      <c r="L576" s="2">
        <v>97.5</v>
      </c>
      <c r="M576" s="2">
        <v>0.615</v>
      </c>
      <c r="N576" s="2">
        <v>0.8391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</row>
    <row r="577" spans="12:20" ht="12.75">
      <c r="L577" s="2">
        <v>97.6</v>
      </c>
      <c r="M577" s="2">
        <v>0.6147</v>
      </c>
      <c r="N577" s="2">
        <v>0.8388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</row>
    <row r="578" spans="12:20" ht="12.75">
      <c r="L578" s="2">
        <v>97.7</v>
      </c>
      <c r="M578" s="2">
        <v>0.6144</v>
      </c>
      <c r="N578" s="2">
        <v>0.8385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</row>
    <row r="579" spans="12:20" ht="12.75">
      <c r="L579" s="2">
        <v>97.8</v>
      </c>
      <c r="M579" s="2">
        <v>0.6142</v>
      </c>
      <c r="N579" s="2">
        <v>0.8382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</row>
    <row r="580" spans="12:20" ht="12.75">
      <c r="L580" s="2">
        <v>97.9</v>
      </c>
      <c r="M580" s="2">
        <v>0.6139</v>
      </c>
      <c r="N580" s="2">
        <v>0.838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</row>
    <row r="581" spans="12:20" ht="12.75">
      <c r="L581" s="2">
        <v>98</v>
      </c>
      <c r="M581" s="2">
        <v>0.6136</v>
      </c>
      <c r="N581" s="2">
        <v>0.8377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</row>
    <row r="582" spans="12:20" ht="12.75">
      <c r="L582" s="2">
        <v>98.1</v>
      </c>
      <c r="M582" s="2">
        <v>0.6134</v>
      </c>
      <c r="N582" s="2">
        <v>0.8374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</row>
    <row r="583" spans="12:20" ht="12.75">
      <c r="L583" s="2">
        <v>98.2</v>
      </c>
      <c r="M583" s="2">
        <v>0.6131</v>
      </c>
      <c r="N583" s="2">
        <v>0.8372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</row>
    <row r="584" spans="12:20" ht="12.75">
      <c r="L584" s="2">
        <v>98.3</v>
      </c>
      <c r="M584" s="2">
        <v>0.6129</v>
      </c>
      <c r="N584" s="2">
        <v>0.8369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</row>
    <row r="585" spans="12:20" ht="12.75">
      <c r="L585" s="2">
        <v>98.4</v>
      </c>
      <c r="M585" s="2">
        <v>0.6126</v>
      </c>
      <c r="N585" s="2">
        <v>0.8366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</row>
    <row r="586" spans="12:20" ht="12.75">
      <c r="L586" s="2">
        <v>98.5</v>
      </c>
      <c r="M586" s="2">
        <v>0.6123</v>
      </c>
      <c r="N586" s="2">
        <v>0.8364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</row>
    <row r="587" spans="12:20" ht="12.75">
      <c r="L587" s="2">
        <v>98.6</v>
      </c>
      <c r="M587" s="2">
        <v>0.6121</v>
      </c>
      <c r="N587" s="2">
        <v>0.8361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</row>
    <row r="588" spans="12:20" ht="12.75">
      <c r="L588" s="2">
        <v>98.7</v>
      </c>
      <c r="M588" s="2">
        <v>0.6118</v>
      </c>
      <c r="N588" s="2">
        <v>0.8359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</row>
    <row r="589" spans="12:20" ht="12.75">
      <c r="L589" s="2">
        <v>98.8</v>
      </c>
      <c r="M589" s="2">
        <v>0.6116</v>
      </c>
      <c r="N589" s="2">
        <v>0.8356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</row>
    <row r="590" spans="12:20" ht="12.75">
      <c r="L590" s="2">
        <v>98.9</v>
      </c>
      <c r="M590" s="2">
        <v>0.6113</v>
      </c>
      <c r="N590" s="2">
        <v>0.8353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</row>
    <row r="591" spans="12:20" ht="12.75">
      <c r="L591" s="2">
        <v>99</v>
      </c>
      <c r="M591" s="2">
        <v>0.6111</v>
      </c>
      <c r="N591" s="2">
        <v>0.8351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</row>
    <row r="592" spans="12:20" ht="12.75">
      <c r="L592" s="2">
        <v>99.1</v>
      </c>
      <c r="M592" s="2">
        <v>0.6108</v>
      </c>
      <c r="N592" s="2">
        <v>0.8348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</row>
    <row r="593" spans="12:20" ht="12.75">
      <c r="L593" s="2">
        <v>99.2</v>
      </c>
      <c r="M593" s="2">
        <v>0.6106</v>
      </c>
      <c r="N593" s="2">
        <v>0.8346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</row>
    <row r="594" spans="12:20" ht="12.75">
      <c r="L594" s="2">
        <v>99.3</v>
      </c>
      <c r="M594" s="2">
        <v>0.6103</v>
      </c>
      <c r="N594" s="2">
        <v>0.8343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</row>
    <row r="595" spans="12:20" ht="12.75">
      <c r="L595" s="2">
        <v>99.4</v>
      </c>
      <c r="M595" s="2">
        <v>0.6101</v>
      </c>
      <c r="N595" s="2">
        <v>0.8341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</row>
    <row r="596" spans="12:20" ht="12.75">
      <c r="L596" s="2">
        <v>99.5</v>
      </c>
      <c r="M596" s="2">
        <v>0.6098</v>
      </c>
      <c r="N596" s="2">
        <v>0.8338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</row>
    <row r="597" spans="12:20" ht="12.75">
      <c r="L597" s="2">
        <v>99.6</v>
      </c>
      <c r="M597" s="2">
        <v>0.6096</v>
      </c>
      <c r="N597" s="2">
        <v>0.8336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</row>
    <row r="598" spans="12:20" ht="12.75">
      <c r="L598" s="2">
        <v>99.7</v>
      </c>
      <c r="M598" s="2">
        <v>0.6093</v>
      </c>
      <c r="N598" s="2">
        <v>0.8333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</row>
    <row r="599" spans="12:20" ht="12.75">
      <c r="L599" s="2">
        <v>99.8</v>
      </c>
      <c r="M599" s="2">
        <v>0.6091</v>
      </c>
      <c r="N599" s="2">
        <v>0.8331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</row>
    <row r="600" spans="12:20" ht="12.75">
      <c r="L600" s="2">
        <v>99.9</v>
      </c>
      <c r="M600" s="2">
        <v>0.6088</v>
      </c>
      <c r="N600" s="2">
        <v>0.8328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</row>
    <row r="601" spans="12:20" ht="12.75">
      <c r="L601" s="2">
        <v>100</v>
      </c>
      <c r="M601" s="2">
        <v>0.6086</v>
      </c>
      <c r="N601" s="2">
        <v>0.8326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</row>
    <row r="602" spans="12:20" ht="12.75">
      <c r="L602" s="2">
        <v>100.1</v>
      </c>
      <c r="M602" s="2">
        <v>0.6083</v>
      </c>
      <c r="N602" s="2">
        <v>0.8323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</row>
    <row r="603" spans="12:20" ht="12.75">
      <c r="L603" s="2">
        <v>100.2</v>
      </c>
      <c r="M603" s="2">
        <v>0.6081</v>
      </c>
      <c r="N603" s="2">
        <v>0.8321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</row>
    <row r="604" spans="12:20" ht="12.75">
      <c r="L604" s="2">
        <v>100.3</v>
      </c>
      <c r="M604" s="2">
        <v>0.6079</v>
      </c>
      <c r="N604" s="2">
        <v>0.8319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</row>
    <row r="605" spans="12:20" ht="12.75">
      <c r="L605" s="2">
        <v>100.4</v>
      </c>
      <c r="M605" s="2">
        <v>0.6076</v>
      </c>
      <c r="N605" s="2">
        <v>0.8316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</row>
    <row r="606" spans="12:20" ht="12.75">
      <c r="L606" s="2">
        <v>100.5</v>
      </c>
      <c r="M606" s="2">
        <v>0.6074</v>
      </c>
      <c r="N606" s="2">
        <v>0.8314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</row>
    <row r="607" spans="12:20" ht="12.75">
      <c r="L607" s="2">
        <v>100.6</v>
      </c>
      <c r="M607" s="2">
        <v>0.6071</v>
      </c>
      <c r="N607" s="2">
        <v>0.8311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</row>
    <row r="608" spans="12:20" ht="12.75">
      <c r="L608" s="2">
        <v>100.7</v>
      </c>
      <c r="M608" s="2">
        <v>0.6069</v>
      </c>
      <c r="N608" s="2">
        <v>0.8309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</row>
    <row r="609" spans="12:20" ht="12.75">
      <c r="L609" s="2">
        <v>100.8</v>
      </c>
      <c r="M609" s="2">
        <v>0.6067</v>
      </c>
      <c r="N609" s="2">
        <v>0.8307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</row>
    <row r="610" spans="12:20" ht="12.75">
      <c r="L610" s="2">
        <v>100.9</v>
      </c>
      <c r="M610" s="2">
        <v>0.6064</v>
      </c>
      <c r="N610" s="2">
        <v>0.8304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</row>
    <row r="611" spans="12:20" ht="12.75">
      <c r="L611" s="2">
        <v>101</v>
      </c>
      <c r="M611" s="2">
        <v>0.6062</v>
      </c>
      <c r="N611" s="2">
        <v>0.8302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</row>
    <row r="612" spans="12:20" ht="12.75">
      <c r="L612" s="2">
        <v>101.1</v>
      </c>
      <c r="M612" s="2">
        <v>0.606</v>
      </c>
      <c r="N612" s="2">
        <v>0.83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</row>
    <row r="613" spans="12:20" ht="12.75">
      <c r="L613" s="2">
        <v>101.2</v>
      </c>
      <c r="M613" s="2">
        <v>0.6057</v>
      </c>
      <c r="N613" s="2">
        <v>0.8297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</row>
    <row r="614" spans="12:20" ht="12.75">
      <c r="L614" s="2">
        <v>101.3</v>
      </c>
      <c r="M614" s="2">
        <v>0.6055</v>
      </c>
      <c r="N614" s="2">
        <v>0.8295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</row>
    <row r="615" spans="12:20" ht="12.75">
      <c r="L615" s="2">
        <v>101.4</v>
      </c>
      <c r="M615" s="2">
        <v>0.6053</v>
      </c>
      <c r="N615" s="2">
        <v>0.8293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</row>
    <row r="616" spans="12:20" ht="12.75">
      <c r="L616" s="2">
        <v>101.5</v>
      </c>
      <c r="M616" s="2">
        <v>0.605</v>
      </c>
      <c r="N616" s="2">
        <v>0.8291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</row>
    <row r="617" spans="12:20" ht="12.75">
      <c r="L617" s="2">
        <v>101.6</v>
      </c>
      <c r="M617" s="2">
        <v>0.6048</v>
      </c>
      <c r="N617" s="2">
        <v>0.8288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</row>
    <row r="618" spans="12:20" ht="12.75">
      <c r="L618" s="2">
        <v>101.7</v>
      </c>
      <c r="M618" s="2">
        <v>0.6046</v>
      </c>
      <c r="N618" s="2">
        <v>0.8286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</row>
    <row r="619" spans="12:20" ht="12.75">
      <c r="L619" s="2">
        <v>101.8</v>
      </c>
      <c r="M619" s="2">
        <v>0.6044</v>
      </c>
      <c r="N619" s="2">
        <v>0.8284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</row>
    <row r="620" spans="12:20" ht="12.75">
      <c r="L620" s="2">
        <v>101.9</v>
      </c>
      <c r="M620" s="2">
        <v>0.6041</v>
      </c>
      <c r="N620" s="2">
        <v>0.8282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</row>
    <row r="621" spans="12:20" ht="12.75">
      <c r="L621" s="2">
        <v>102</v>
      </c>
      <c r="M621" s="2">
        <v>0.6039</v>
      </c>
      <c r="N621" s="2">
        <v>0.8279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</row>
    <row r="622" spans="12:20" ht="12.75">
      <c r="L622" s="2">
        <v>102.1</v>
      </c>
      <c r="M622" s="2">
        <v>0.6037</v>
      </c>
      <c r="N622" s="2">
        <v>0.8277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</row>
    <row r="623" spans="12:20" ht="12.75">
      <c r="L623" s="2">
        <v>102.2</v>
      </c>
      <c r="M623" s="2">
        <v>0.6035</v>
      </c>
      <c r="N623" s="2">
        <v>0.8275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</row>
    <row r="624" spans="12:20" ht="12.75">
      <c r="L624" s="2">
        <v>102.3</v>
      </c>
      <c r="M624" s="2">
        <v>0.6032</v>
      </c>
      <c r="N624" s="2">
        <v>0.8273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</row>
    <row r="625" spans="12:20" ht="12.75">
      <c r="L625" s="2">
        <v>102.4</v>
      </c>
      <c r="M625" s="2">
        <v>0.603</v>
      </c>
      <c r="N625" s="2">
        <v>0.8271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</row>
    <row r="626" spans="12:20" ht="12.75">
      <c r="L626" s="2">
        <v>102.5</v>
      </c>
      <c r="M626" s="2">
        <v>0.6028</v>
      </c>
      <c r="N626" s="2">
        <v>0.8268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</row>
    <row r="627" spans="12:20" ht="12.75">
      <c r="L627" s="2">
        <v>102.6</v>
      </c>
      <c r="M627" s="2">
        <v>0.6026</v>
      </c>
      <c r="N627" s="2">
        <v>0.8266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</row>
    <row r="628" spans="12:20" ht="12.75">
      <c r="L628" s="2">
        <v>102.7</v>
      </c>
      <c r="M628" s="2">
        <v>0.6024</v>
      </c>
      <c r="N628" s="2">
        <v>0.8264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</row>
    <row r="629" spans="12:20" ht="12.75">
      <c r="L629" s="2">
        <v>102.8</v>
      </c>
      <c r="M629" s="2">
        <v>0.6021</v>
      </c>
      <c r="N629" s="2">
        <v>0.8262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</row>
    <row r="630" spans="12:20" ht="12.75">
      <c r="L630" s="2">
        <v>102.9</v>
      </c>
      <c r="M630" s="2">
        <v>0.6019</v>
      </c>
      <c r="N630" s="2">
        <v>0.826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</row>
    <row r="631" spans="12:20" ht="12.75">
      <c r="L631" s="2">
        <v>103</v>
      </c>
      <c r="M631" s="2">
        <v>0.6017</v>
      </c>
      <c r="N631" s="2">
        <v>0.8258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</row>
    <row r="632" spans="12:20" ht="12.75">
      <c r="L632" s="2">
        <v>103.1</v>
      </c>
      <c r="M632" s="2">
        <v>0.6015</v>
      </c>
      <c r="N632" s="2">
        <v>0.8256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</row>
    <row r="633" spans="12:20" ht="12.75">
      <c r="L633" s="2">
        <v>103.2</v>
      </c>
      <c r="M633" s="2">
        <v>0.6013</v>
      </c>
      <c r="N633" s="2">
        <v>0.8253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</row>
    <row r="634" spans="12:20" ht="12.75">
      <c r="L634" s="2">
        <v>103.3</v>
      </c>
      <c r="M634" s="2">
        <v>0.6011</v>
      </c>
      <c r="N634" s="2">
        <v>0.8251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</row>
    <row r="635" spans="12:20" ht="12.75">
      <c r="L635" s="2">
        <v>103.4</v>
      </c>
      <c r="M635" s="2">
        <v>0.6009</v>
      </c>
      <c r="N635" s="2">
        <v>0.8249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</row>
    <row r="636" spans="12:20" ht="12.75">
      <c r="L636" s="2">
        <v>103.5</v>
      </c>
      <c r="M636" s="2">
        <v>0.6006</v>
      </c>
      <c r="N636" s="2">
        <v>0.8247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</row>
    <row r="637" spans="12:20" ht="12.75">
      <c r="L637" s="2">
        <v>103.6</v>
      </c>
      <c r="M637" s="2">
        <v>0.6004</v>
      </c>
      <c r="N637" s="2">
        <v>0.8245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</row>
    <row r="638" spans="12:20" ht="12.75">
      <c r="L638" s="2">
        <v>103.7</v>
      </c>
      <c r="M638" s="2">
        <v>0.6002</v>
      </c>
      <c r="N638" s="2">
        <v>0.8243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</row>
    <row r="639" spans="12:20" ht="12.75">
      <c r="L639" s="2">
        <v>103.8</v>
      </c>
      <c r="M639" s="2">
        <v>0.6</v>
      </c>
      <c r="N639" s="2">
        <v>0.8241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</row>
    <row r="640" spans="12:20" ht="12.75">
      <c r="L640" s="2">
        <v>103.9</v>
      </c>
      <c r="M640" s="2">
        <v>0.5998</v>
      </c>
      <c r="N640" s="2">
        <v>0.8239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</row>
    <row r="641" spans="12:20" ht="12.75">
      <c r="L641" s="2">
        <v>104</v>
      </c>
      <c r="M641" s="2">
        <v>0.5996</v>
      </c>
      <c r="N641" s="2">
        <v>0.8237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</row>
    <row r="642" spans="12:20" ht="12.75">
      <c r="L642" s="2">
        <v>104.1</v>
      </c>
      <c r="M642" s="2">
        <v>0.5994</v>
      </c>
      <c r="N642" s="2">
        <v>0.8235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</row>
    <row r="643" spans="12:20" ht="12.75">
      <c r="L643" s="2">
        <v>104.2</v>
      </c>
      <c r="M643" s="2">
        <v>0.5992</v>
      </c>
      <c r="N643" s="2">
        <v>0.8233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</row>
    <row r="644" spans="12:20" ht="12.75">
      <c r="L644" s="2">
        <v>104.3</v>
      </c>
      <c r="M644" s="2">
        <v>0.599</v>
      </c>
      <c r="N644" s="2">
        <v>0.8231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</row>
    <row r="645" spans="12:20" ht="12.75">
      <c r="L645" s="2">
        <v>104.4</v>
      </c>
      <c r="M645" s="2">
        <v>0.5988</v>
      </c>
      <c r="N645" s="2">
        <v>0.8229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</row>
    <row r="646" spans="12:20" ht="12.75">
      <c r="L646" s="2">
        <v>104.5</v>
      </c>
      <c r="M646" s="2">
        <v>0.5986</v>
      </c>
      <c r="N646" s="2">
        <v>0.8227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</row>
    <row r="647" spans="12:20" ht="12.75">
      <c r="L647" s="2">
        <v>104.6</v>
      </c>
      <c r="M647" s="2">
        <v>0.5984</v>
      </c>
      <c r="N647" s="2">
        <v>0.8225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</row>
    <row r="648" spans="12:20" ht="12.75">
      <c r="L648" s="2">
        <v>104.7</v>
      </c>
      <c r="M648" s="2">
        <v>0.5982</v>
      </c>
      <c r="N648" s="2">
        <v>0.8223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</row>
    <row r="649" spans="12:20" ht="12.75">
      <c r="L649" s="2">
        <v>104.8</v>
      </c>
      <c r="M649" s="2">
        <v>0.598</v>
      </c>
      <c r="N649" s="2">
        <v>0.8221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</row>
    <row r="650" spans="12:20" ht="12.75">
      <c r="L650" s="2">
        <v>104.9</v>
      </c>
      <c r="M650" s="2">
        <v>0.5978</v>
      </c>
      <c r="N650" s="2">
        <v>0.8219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</row>
    <row r="651" spans="12:20" ht="12.75">
      <c r="L651" s="2">
        <v>105</v>
      </c>
      <c r="M651" s="2">
        <v>0.5976</v>
      </c>
      <c r="N651" s="2">
        <v>0.8217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</row>
    <row r="652" spans="12:20" ht="12.75">
      <c r="L652" s="2">
        <v>105.1</v>
      </c>
      <c r="M652" s="2">
        <v>0.5974</v>
      </c>
      <c r="N652" s="2">
        <v>0.8215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</row>
    <row r="653" spans="12:20" ht="12.75">
      <c r="L653" s="2">
        <v>105.2</v>
      </c>
      <c r="M653" s="2">
        <v>0.5972</v>
      </c>
      <c r="N653" s="2">
        <v>0.8214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</row>
    <row r="654" spans="12:20" ht="12.75">
      <c r="L654" s="2">
        <v>105.3</v>
      </c>
      <c r="M654" s="2">
        <v>0.597</v>
      </c>
      <c r="N654" s="2">
        <v>0.8212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</row>
    <row r="655" spans="12:20" ht="12.75">
      <c r="L655" s="2">
        <v>105.4</v>
      </c>
      <c r="M655" s="2">
        <v>0.5968</v>
      </c>
      <c r="N655" s="2">
        <v>0.821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</row>
    <row r="656" spans="12:20" ht="12.75">
      <c r="L656" s="2">
        <v>105.5</v>
      </c>
      <c r="M656" s="2">
        <v>0.5966</v>
      </c>
      <c r="N656" s="2">
        <v>0.8208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</row>
    <row r="657" spans="12:20" ht="12.75">
      <c r="L657" s="2">
        <v>105.6</v>
      </c>
      <c r="M657" s="2">
        <v>0.5964</v>
      </c>
      <c r="N657" s="2">
        <v>0.8206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</row>
    <row r="658" spans="12:20" ht="12.75">
      <c r="L658" s="2">
        <v>105.7</v>
      </c>
      <c r="M658" s="2">
        <v>0.5962</v>
      </c>
      <c r="N658" s="2">
        <v>0.8204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</row>
    <row r="659" spans="12:20" ht="12.75">
      <c r="L659" s="2">
        <v>105.8</v>
      </c>
      <c r="M659" s="2">
        <v>0.596</v>
      </c>
      <c r="N659" s="2">
        <v>0.8202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</row>
    <row r="660" spans="12:20" ht="12.75">
      <c r="L660" s="2">
        <v>105.9</v>
      </c>
      <c r="M660" s="2">
        <v>0.5958</v>
      </c>
      <c r="N660" s="2">
        <v>0.82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</row>
    <row r="661" spans="12:20" ht="12.75">
      <c r="L661" s="2">
        <v>106</v>
      </c>
      <c r="M661" s="2">
        <v>0.5956</v>
      </c>
      <c r="N661" s="2">
        <v>0.8198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</row>
    <row r="662" spans="12:20" ht="12.75">
      <c r="L662" s="2">
        <v>106.1</v>
      </c>
      <c r="M662" s="2">
        <v>0.5954</v>
      </c>
      <c r="N662" s="2">
        <v>0.8197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</row>
    <row r="663" spans="12:20" ht="12.75">
      <c r="L663" s="2">
        <v>106.2</v>
      </c>
      <c r="M663" s="2">
        <v>0.5952</v>
      </c>
      <c r="N663" s="2">
        <v>0.8195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</row>
    <row r="664" spans="12:20" ht="12.75">
      <c r="L664" s="2">
        <v>106.3</v>
      </c>
      <c r="M664" s="2">
        <v>0.595</v>
      </c>
      <c r="N664" s="2">
        <v>0.8193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</row>
    <row r="665" spans="12:20" ht="12.75">
      <c r="L665" s="2">
        <v>106.4</v>
      </c>
      <c r="M665" s="2">
        <v>0.5948</v>
      </c>
      <c r="N665" s="2">
        <v>0.8191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</row>
    <row r="666" spans="12:20" ht="12.75">
      <c r="L666" s="2">
        <v>106.5</v>
      </c>
      <c r="M666" s="2">
        <v>0.5946</v>
      </c>
      <c r="N666" s="2">
        <v>0.8189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</row>
    <row r="667" spans="12:20" ht="12.75">
      <c r="L667" s="2">
        <v>106.6</v>
      </c>
      <c r="M667" s="2">
        <v>0.5945</v>
      </c>
      <c r="N667" s="2">
        <v>0.8188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</row>
    <row r="668" spans="12:20" ht="12.75">
      <c r="L668" s="2">
        <v>106.7</v>
      </c>
      <c r="M668" s="2">
        <v>0.5943</v>
      </c>
      <c r="N668" s="2">
        <v>0.8186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</row>
    <row r="669" spans="12:20" ht="12.75">
      <c r="L669" s="2">
        <v>106.8</v>
      </c>
      <c r="M669" s="2">
        <v>0.5941</v>
      </c>
      <c r="N669" s="2">
        <v>0.8184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</row>
    <row r="670" spans="12:20" ht="12.75">
      <c r="L670" s="2">
        <v>106.9</v>
      </c>
      <c r="M670" s="2">
        <v>0.5939</v>
      </c>
      <c r="N670" s="2">
        <v>0.8182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</row>
    <row r="671" spans="12:20" ht="12.75">
      <c r="L671" s="2">
        <v>107</v>
      </c>
      <c r="M671" s="2">
        <v>0.5937</v>
      </c>
      <c r="N671" s="2">
        <v>0.818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</row>
    <row r="672" spans="12:20" ht="12.75">
      <c r="L672" s="2">
        <v>107.1</v>
      </c>
      <c r="M672" s="2">
        <v>0.5935</v>
      </c>
      <c r="N672" s="2">
        <v>0.8179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</row>
    <row r="673" spans="12:20" ht="12.75">
      <c r="L673" s="2">
        <v>107.2</v>
      </c>
      <c r="M673" s="2">
        <v>0.5933</v>
      </c>
      <c r="N673" s="2">
        <v>0.8177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</row>
    <row r="674" spans="12:20" ht="12.75">
      <c r="L674" s="2">
        <v>107.3</v>
      </c>
      <c r="M674" s="2">
        <v>0.5932</v>
      </c>
      <c r="N674" s="2">
        <v>0.8175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</row>
    <row r="675" spans="12:20" ht="12.75">
      <c r="L675" s="2">
        <v>107.4</v>
      </c>
      <c r="M675" s="2">
        <v>0.593</v>
      </c>
      <c r="N675" s="2">
        <v>0.8173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</row>
    <row r="676" spans="12:20" ht="12.75">
      <c r="L676" s="2">
        <v>107.5</v>
      </c>
      <c r="M676" s="2">
        <v>0.5928</v>
      </c>
      <c r="N676" s="2">
        <v>0.8172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</row>
    <row r="677" spans="12:20" ht="12.75">
      <c r="L677" s="2">
        <v>107.6</v>
      </c>
      <c r="M677" s="2">
        <v>0.5926</v>
      </c>
      <c r="N677" s="2">
        <v>0.817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</row>
    <row r="678" spans="12:20" ht="12.75">
      <c r="L678" s="2">
        <v>107.7</v>
      </c>
      <c r="M678" s="2">
        <v>0.5924</v>
      </c>
      <c r="N678" s="2">
        <v>0.8168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</row>
    <row r="679" spans="12:20" ht="12.75">
      <c r="L679" s="2">
        <v>107.8</v>
      </c>
      <c r="M679" s="2">
        <v>0.5923</v>
      </c>
      <c r="N679" s="2">
        <v>0.8167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</row>
    <row r="680" spans="12:20" ht="12.75">
      <c r="L680" s="2">
        <v>107.9</v>
      </c>
      <c r="M680" s="2">
        <v>0.5921</v>
      </c>
      <c r="N680" s="2">
        <v>0.8165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</row>
    <row r="681" spans="12:20" ht="12.75">
      <c r="L681" s="2">
        <v>108</v>
      </c>
      <c r="M681" s="2">
        <v>0.5919</v>
      </c>
      <c r="N681" s="2">
        <v>0.8163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</row>
    <row r="682" spans="12:20" ht="12.75">
      <c r="L682" s="2">
        <v>108.1</v>
      </c>
      <c r="M682" s="2">
        <v>0.5917</v>
      </c>
      <c r="N682" s="2">
        <v>0.8161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</row>
    <row r="683" spans="12:20" ht="12.75">
      <c r="L683" s="2">
        <v>108.2</v>
      </c>
      <c r="M683" s="2">
        <v>0.5916</v>
      </c>
      <c r="N683" s="2">
        <v>0.816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</row>
    <row r="684" spans="12:20" ht="12.75">
      <c r="L684" s="2">
        <v>108.3</v>
      </c>
      <c r="M684" s="2">
        <v>0.5914</v>
      </c>
      <c r="N684" s="2">
        <v>0.8158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</row>
    <row r="685" spans="12:20" ht="12.75">
      <c r="L685" s="2">
        <v>108.4</v>
      </c>
      <c r="M685" s="2">
        <v>0.5912</v>
      </c>
      <c r="N685" s="2">
        <v>0.8156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</row>
    <row r="686" spans="12:20" ht="12.75">
      <c r="L686" s="2">
        <v>108.5</v>
      </c>
      <c r="M686" s="2">
        <v>0.591</v>
      </c>
      <c r="N686" s="2">
        <v>0.8155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</row>
    <row r="687" spans="12:20" ht="12.75">
      <c r="L687" s="2">
        <v>108.6</v>
      </c>
      <c r="M687" s="2">
        <v>0.5909</v>
      </c>
      <c r="N687" s="2">
        <v>0.8153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</row>
    <row r="688" spans="12:20" ht="12.75">
      <c r="L688" s="2">
        <v>108.7</v>
      </c>
      <c r="M688" s="2">
        <v>0.5907</v>
      </c>
      <c r="N688" s="2">
        <v>0.8152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</row>
    <row r="689" spans="12:20" ht="12.75">
      <c r="L689" s="2">
        <v>108.8</v>
      </c>
      <c r="M689" s="2">
        <v>0.5905</v>
      </c>
      <c r="N689" s="2">
        <v>0.815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</row>
    <row r="690" spans="12:20" ht="12.75">
      <c r="L690" s="2">
        <v>108.9</v>
      </c>
      <c r="M690" s="2">
        <v>0.5903</v>
      </c>
      <c r="N690" s="2">
        <v>0.8148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</row>
    <row r="691" spans="12:20" ht="12.75">
      <c r="L691" s="2">
        <v>109</v>
      </c>
      <c r="M691" s="2">
        <v>0.5902</v>
      </c>
      <c r="N691" s="2">
        <v>0.8147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</row>
    <row r="692" spans="12:20" ht="12.75">
      <c r="L692" s="2">
        <v>109.1</v>
      </c>
      <c r="M692" s="2">
        <v>0.59</v>
      </c>
      <c r="N692" s="2">
        <v>0.8145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</row>
    <row r="693" spans="12:20" ht="12.75">
      <c r="L693" s="2">
        <v>109.2</v>
      </c>
      <c r="M693" s="2">
        <v>0.5898</v>
      </c>
      <c r="N693" s="2">
        <v>0.8143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</row>
    <row r="694" spans="12:20" ht="12.75">
      <c r="L694" s="2">
        <v>109.3</v>
      </c>
      <c r="M694" s="2">
        <v>0.5897</v>
      </c>
      <c r="N694" s="2">
        <v>0.8142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</row>
    <row r="695" spans="12:20" ht="12.75">
      <c r="L695" s="2">
        <v>109.4</v>
      </c>
      <c r="M695" s="2">
        <v>0.5895</v>
      </c>
      <c r="N695" s="2">
        <v>0.814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</row>
    <row r="696" spans="12:20" ht="12.75">
      <c r="L696" s="2">
        <v>109.5</v>
      </c>
      <c r="M696" s="2">
        <v>0.5893</v>
      </c>
      <c r="N696" s="2">
        <v>0.8139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</row>
    <row r="697" spans="12:20" ht="12.75">
      <c r="L697" s="2">
        <v>109.6</v>
      </c>
      <c r="M697" s="2">
        <v>0.5892</v>
      </c>
      <c r="N697" s="2">
        <v>0.8137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</row>
    <row r="698" spans="12:20" ht="12.75">
      <c r="L698" s="2">
        <v>109.7</v>
      </c>
      <c r="M698" s="2">
        <v>0.589</v>
      </c>
      <c r="N698" s="2">
        <v>0.8135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</row>
    <row r="699" spans="12:20" ht="12.75">
      <c r="L699" s="2">
        <v>109.8</v>
      </c>
      <c r="M699" s="2">
        <v>0.5888</v>
      </c>
      <c r="N699" s="2">
        <v>0.8134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</row>
    <row r="700" spans="12:20" ht="12.75">
      <c r="L700" s="2">
        <v>109.9</v>
      </c>
      <c r="M700" s="2">
        <v>0.5887</v>
      </c>
      <c r="N700" s="2">
        <v>0.8132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</row>
    <row r="701" spans="12:20" ht="12.75">
      <c r="L701" s="2">
        <v>110</v>
      </c>
      <c r="M701" s="2">
        <v>0.5885</v>
      </c>
      <c r="N701" s="2">
        <v>0.8131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</row>
    <row r="702" spans="12:20" ht="12.75">
      <c r="L702" s="2">
        <v>110.1</v>
      </c>
      <c r="M702" s="2">
        <v>0.5883</v>
      </c>
      <c r="N702" s="2">
        <v>0.8129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</row>
    <row r="703" spans="12:20" ht="12.75">
      <c r="L703" s="2">
        <v>110.2</v>
      </c>
      <c r="M703" s="2">
        <v>0.5882</v>
      </c>
      <c r="N703" s="2">
        <v>0.8128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</row>
    <row r="704" spans="12:20" ht="12.75">
      <c r="L704" s="2">
        <v>110.3</v>
      </c>
      <c r="M704" s="2">
        <v>0.588</v>
      </c>
      <c r="N704" s="2">
        <v>0.8126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</row>
    <row r="705" spans="12:20" ht="12.75">
      <c r="L705" s="2">
        <v>110.4</v>
      </c>
      <c r="M705" s="2">
        <v>0.5878</v>
      </c>
      <c r="N705" s="2">
        <v>0.8124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</row>
    <row r="706" spans="12:20" ht="12.75">
      <c r="L706" s="2">
        <v>110.5</v>
      </c>
      <c r="M706" s="2">
        <v>0.5877</v>
      </c>
      <c r="N706" s="2">
        <v>0.8123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</row>
    <row r="707" spans="12:20" ht="12.75">
      <c r="L707" s="2">
        <v>110.6</v>
      </c>
      <c r="M707" s="2">
        <v>0.5875</v>
      </c>
      <c r="N707" s="2">
        <v>0.8121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</row>
    <row r="708" spans="12:20" ht="12.75">
      <c r="L708" s="2">
        <v>110.7</v>
      </c>
      <c r="M708" s="2">
        <v>0.5874</v>
      </c>
      <c r="N708" s="2">
        <v>0.812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</row>
    <row r="709" spans="12:20" ht="12.75">
      <c r="L709" s="2">
        <v>110.8</v>
      </c>
      <c r="M709" s="2">
        <v>0.5872</v>
      </c>
      <c r="N709" s="2">
        <v>0.8118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</row>
    <row r="710" spans="12:20" ht="12.75">
      <c r="L710" s="2">
        <v>110.9</v>
      </c>
      <c r="M710" s="2">
        <v>0.587</v>
      </c>
      <c r="N710" s="2">
        <v>0.8117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</row>
    <row r="711" spans="12:20" ht="12.75">
      <c r="L711" s="2">
        <v>111</v>
      </c>
      <c r="M711" s="2">
        <v>0.5869</v>
      </c>
      <c r="N711" s="2">
        <v>0.8115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</row>
    <row r="712" spans="12:20" ht="12.75">
      <c r="L712" s="2">
        <v>111.1</v>
      </c>
      <c r="M712" s="2">
        <v>0.5867</v>
      </c>
      <c r="N712" s="2">
        <v>0.8114</v>
      </c>
      <c r="O712" s="2">
        <v>0.5352</v>
      </c>
      <c r="P712" s="157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</row>
    <row r="713" spans="12:20" ht="12.75">
      <c r="L713" s="2">
        <v>111.2</v>
      </c>
      <c r="M713" s="2">
        <v>0.5866</v>
      </c>
      <c r="N713" s="2">
        <v>0.8112</v>
      </c>
      <c r="O713" s="2">
        <v>0.5351</v>
      </c>
      <c r="P713" s="157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</row>
    <row r="714" spans="12:20" ht="12.75">
      <c r="L714" s="2">
        <v>111.3</v>
      </c>
      <c r="M714" s="2">
        <v>0.5864</v>
      </c>
      <c r="N714" s="2">
        <v>0.8111</v>
      </c>
      <c r="O714" s="2">
        <v>0.535</v>
      </c>
      <c r="P714" s="157">
        <v>0.5678</v>
      </c>
      <c r="Q714" s="2">
        <v>0.5864</v>
      </c>
      <c r="R714" s="2">
        <v>0.8111</v>
      </c>
      <c r="S714" s="2">
        <v>0.5607</v>
      </c>
      <c r="T714" s="2">
        <v>0.68945</v>
      </c>
    </row>
    <row r="715" spans="12:20" ht="12.75">
      <c r="L715" s="2">
        <v>111.4</v>
      </c>
      <c r="M715" s="2">
        <v>0.5863</v>
      </c>
      <c r="N715" s="2">
        <v>0.8109</v>
      </c>
      <c r="O715" s="2">
        <v>0.5349</v>
      </c>
      <c r="P715" s="157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</row>
    <row r="716" spans="12:20" ht="12.75">
      <c r="L716" s="2">
        <v>111.5</v>
      </c>
      <c r="M716" s="2">
        <v>0.5861</v>
      </c>
      <c r="N716" s="2">
        <v>0.8108</v>
      </c>
      <c r="O716" s="2">
        <v>0.5348</v>
      </c>
      <c r="P716" s="157">
        <v>0.5675</v>
      </c>
      <c r="Q716" s="2">
        <v>0.5861</v>
      </c>
      <c r="R716" s="2">
        <v>0.8108</v>
      </c>
      <c r="S716" s="2">
        <v>0.56045</v>
      </c>
      <c r="T716" s="2">
        <v>0.68915</v>
      </c>
    </row>
    <row r="717" spans="12:20" ht="12.75">
      <c r="L717" s="2">
        <v>111.6</v>
      </c>
      <c r="M717" s="2">
        <v>0.586</v>
      </c>
      <c r="N717" s="2">
        <v>0.8106</v>
      </c>
      <c r="O717" s="2">
        <v>0.5347</v>
      </c>
      <c r="P717" s="157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</row>
    <row r="718" spans="12:20" ht="12.75">
      <c r="L718" s="2">
        <v>111.7</v>
      </c>
      <c r="M718" s="2">
        <v>0.5858</v>
      </c>
      <c r="N718" s="2">
        <v>0.8105</v>
      </c>
      <c r="O718" s="2">
        <v>0.5346</v>
      </c>
      <c r="P718" s="157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</row>
    <row r="719" spans="12:20" ht="12.75">
      <c r="L719" s="2">
        <v>111.8</v>
      </c>
      <c r="M719" s="2">
        <v>0.5856</v>
      </c>
      <c r="N719" s="2">
        <v>0.8103</v>
      </c>
      <c r="O719" s="2">
        <v>0.5345</v>
      </c>
      <c r="P719" s="157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</row>
    <row r="720" spans="12:20" ht="12.75">
      <c r="L720" s="2">
        <v>111.9</v>
      </c>
      <c r="M720" s="2">
        <v>0.5855</v>
      </c>
      <c r="N720" s="2">
        <v>0.8102</v>
      </c>
      <c r="O720" s="2">
        <v>0.5354</v>
      </c>
      <c r="P720" s="157">
        <v>0.567</v>
      </c>
      <c r="Q720" s="2">
        <v>0.5855</v>
      </c>
      <c r="R720" s="2">
        <v>0.8102</v>
      </c>
      <c r="S720" s="2">
        <v>0.56045</v>
      </c>
      <c r="T720" s="2">
        <v>0.6886</v>
      </c>
    </row>
    <row r="721" spans="12:20" ht="12.75">
      <c r="L721" s="2">
        <v>112</v>
      </c>
      <c r="M721" s="2">
        <v>0.5853</v>
      </c>
      <c r="N721" s="2">
        <v>0.8101</v>
      </c>
      <c r="O721" s="2">
        <v>0.5342</v>
      </c>
      <c r="P721" s="157">
        <v>0.5669</v>
      </c>
      <c r="Q721" s="2">
        <v>0.5853</v>
      </c>
      <c r="R721" s="2">
        <v>0.8101</v>
      </c>
      <c r="S721" s="2">
        <v>0.55975</v>
      </c>
      <c r="T721" s="2">
        <v>0.6885</v>
      </c>
    </row>
    <row r="722" spans="12:20" ht="12.75">
      <c r="L722" s="2">
        <v>112.1</v>
      </c>
      <c r="M722" s="2">
        <v>0.5852</v>
      </c>
      <c r="N722" s="2">
        <v>0.8099</v>
      </c>
      <c r="O722" s="2">
        <v>0.5341</v>
      </c>
      <c r="P722" s="157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</row>
    <row r="723" spans="12:20" ht="12.75">
      <c r="L723" s="2">
        <v>112.2</v>
      </c>
      <c r="M723" s="2">
        <v>0.585</v>
      </c>
      <c r="N723" s="2">
        <v>0.8098</v>
      </c>
      <c r="O723" s="2">
        <v>0.534</v>
      </c>
      <c r="P723" s="157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</row>
    <row r="724" spans="12:20" ht="12.75">
      <c r="L724" s="2">
        <v>112.3</v>
      </c>
      <c r="M724" s="2">
        <v>0.5849</v>
      </c>
      <c r="N724" s="2">
        <v>0.8096</v>
      </c>
      <c r="O724" s="2">
        <v>0.5339</v>
      </c>
      <c r="P724" s="157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</row>
    <row r="725" spans="12:20" ht="12.75">
      <c r="L725" s="2">
        <v>112.4</v>
      </c>
      <c r="M725" s="2">
        <v>0.5847</v>
      </c>
      <c r="N725" s="2">
        <v>0.8095</v>
      </c>
      <c r="O725" s="2">
        <v>0.5338</v>
      </c>
      <c r="P725" s="157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</row>
    <row r="726" spans="12:20" ht="12.75">
      <c r="L726" s="2">
        <v>112.5</v>
      </c>
      <c r="M726" s="2">
        <v>0.5846</v>
      </c>
      <c r="N726" s="2">
        <v>0.8093</v>
      </c>
      <c r="O726" s="2">
        <v>0.5337</v>
      </c>
      <c r="P726" s="157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</row>
    <row r="727" spans="12:20" ht="12.75">
      <c r="L727" s="2">
        <v>112.6</v>
      </c>
      <c r="M727" s="2">
        <v>0.5844</v>
      </c>
      <c r="N727" s="2">
        <v>0.8092</v>
      </c>
      <c r="O727" s="2">
        <v>0.5336</v>
      </c>
      <c r="P727" s="157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</row>
    <row r="728" spans="12:20" ht="12.75">
      <c r="L728" s="2">
        <v>112.7</v>
      </c>
      <c r="M728" s="2">
        <v>0.5843</v>
      </c>
      <c r="N728" s="2">
        <v>0.809</v>
      </c>
      <c r="O728" s="2">
        <v>0.5335</v>
      </c>
      <c r="P728" s="157">
        <v>0.5659</v>
      </c>
      <c r="Q728" s="2">
        <v>0.5843</v>
      </c>
      <c r="R728" s="2">
        <v>0.809</v>
      </c>
      <c r="S728" s="2">
        <v>0.5589</v>
      </c>
      <c r="T728" s="2">
        <v>0.68745</v>
      </c>
    </row>
    <row r="729" spans="12:20" ht="12.75">
      <c r="L729" s="2">
        <v>112.8</v>
      </c>
      <c r="M729" s="2">
        <v>0.5841</v>
      </c>
      <c r="N729" s="2">
        <v>0.8089</v>
      </c>
      <c r="O729" s="2">
        <v>0.5334</v>
      </c>
      <c r="P729" s="157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</row>
    <row r="730" spans="12:20" ht="12.75">
      <c r="L730" s="2">
        <v>112.9</v>
      </c>
      <c r="M730" s="2">
        <v>0.584</v>
      </c>
      <c r="N730" s="2">
        <v>0.8088</v>
      </c>
      <c r="O730" s="2">
        <v>0.5343</v>
      </c>
      <c r="P730" s="157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</row>
    <row r="731" spans="12:20" ht="12.75">
      <c r="L731" s="2">
        <v>113</v>
      </c>
      <c r="M731" s="2">
        <v>0.5839</v>
      </c>
      <c r="N731" s="2">
        <v>0.8086</v>
      </c>
      <c r="O731" s="2">
        <v>0.5332</v>
      </c>
      <c r="P731" s="157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</row>
    <row r="732" spans="12:20" ht="12.75">
      <c r="L732" s="2">
        <v>113.1</v>
      </c>
      <c r="M732" s="2">
        <v>0.5837</v>
      </c>
      <c r="N732" s="2">
        <v>0.8085</v>
      </c>
      <c r="O732" s="2">
        <v>0.5331</v>
      </c>
      <c r="P732" s="157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</row>
    <row r="733" spans="12:20" ht="12.75">
      <c r="L733" s="2">
        <v>113.2</v>
      </c>
      <c r="M733" s="2">
        <v>0.5836</v>
      </c>
      <c r="N733" s="2">
        <v>0.8083</v>
      </c>
      <c r="O733" s="2">
        <v>0.533</v>
      </c>
      <c r="P733" s="157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</row>
    <row r="734" spans="12:20" ht="12.75">
      <c r="L734" s="2">
        <v>113.3</v>
      </c>
      <c r="M734" s="2">
        <v>0.5834</v>
      </c>
      <c r="N734" s="2">
        <v>0.8082</v>
      </c>
      <c r="O734" s="2">
        <v>0.5329</v>
      </c>
      <c r="P734" s="157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</row>
    <row r="735" spans="12:20" ht="12.75">
      <c r="L735" s="2">
        <v>113.4</v>
      </c>
      <c r="M735" s="2">
        <v>0.5833</v>
      </c>
      <c r="N735" s="2">
        <v>0.8081</v>
      </c>
      <c r="O735" s="2">
        <v>0.5328</v>
      </c>
      <c r="P735" s="157">
        <v>0.5649</v>
      </c>
      <c r="Q735" s="2">
        <v>0.5833</v>
      </c>
      <c r="R735" s="2">
        <v>0.8081</v>
      </c>
      <c r="S735" s="2">
        <v>0.55805</v>
      </c>
      <c r="T735" s="2">
        <v>0.6865</v>
      </c>
    </row>
    <row r="736" spans="12:20" ht="12.75">
      <c r="L736" s="2">
        <v>113.5</v>
      </c>
      <c r="M736" s="2">
        <v>0.5831</v>
      </c>
      <c r="N736" s="2">
        <v>0.8079</v>
      </c>
      <c r="O736" s="2">
        <v>0.5328</v>
      </c>
      <c r="P736" s="157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</row>
    <row r="737" spans="12:20" ht="12.75">
      <c r="L737" s="2">
        <v>113.6</v>
      </c>
      <c r="M737" s="2">
        <v>0.583</v>
      </c>
      <c r="N737" s="2">
        <v>0.8078</v>
      </c>
      <c r="O737" s="2">
        <v>0.5327</v>
      </c>
      <c r="P737" s="157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</row>
    <row r="738" spans="12:20" ht="12.75">
      <c r="L738" s="2">
        <v>113.7</v>
      </c>
      <c r="M738" s="2">
        <v>0.5828</v>
      </c>
      <c r="N738" s="2">
        <v>0.8077</v>
      </c>
      <c r="O738" s="2">
        <v>0.5326</v>
      </c>
      <c r="P738" s="157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</row>
    <row r="739" spans="12:20" ht="12.75">
      <c r="L739" s="2">
        <v>113.8</v>
      </c>
      <c r="M739" s="2">
        <v>0.5827</v>
      </c>
      <c r="N739" s="2">
        <v>0.8075</v>
      </c>
      <c r="O739" s="2">
        <v>0.5325</v>
      </c>
      <c r="P739" s="157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</row>
    <row r="740" spans="12:20" ht="12.75">
      <c r="L740" s="2">
        <v>113.9</v>
      </c>
      <c r="M740" s="2">
        <v>0.5826</v>
      </c>
      <c r="N740" s="2">
        <v>0.8074</v>
      </c>
      <c r="O740" s="2">
        <v>0.5333</v>
      </c>
      <c r="P740" s="157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</row>
    <row r="741" spans="12:20" ht="12.75">
      <c r="L741" s="2">
        <v>114</v>
      </c>
      <c r="M741" s="2">
        <v>0.5824</v>
      </c>
      <c r="N741" s="2">
        <v>0.8072</v>
      </c>
      <c r="O741" s="2">
        <v>0.5323</v>
      </c>
      <c r="P741" s="157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</row>
    <row r="742" spans="12:20" ht="12.75">
      <c r="L742" s="2">
        <v>114.1</v>
      </c>
      <c r="M742" s="2">
        <v>0.5823</v>
      </c>
      <c r="N742" s="2">
        <v>0.8071</v>
      </c>
      <c r="O742" s="2">
        <v>0.5322</v>
      </c>
      <c r="P742" s="157">
        <v>0.564</v>
      </c>
      <c r="Q742" s="2">
        <v>0.5823</v>
      </c>
      <c r="R742" s="2">
        <v>0.8071</v>
      </c>
      <c r="S742" s="2">
        <v>0.55725</v>
      </c>
      <c r="T742" s="2">
        <v>0.68555</v>
      </c>
    </row>
    <row r="743" spans="12:20" ht="12.75">
      <c r="L743" s="2">
        <v>114.2</v>
      </c>
      <c r="M743" s="2">
        <v>0.5821</v>
      </c>
      <c r="N743" s="2">
        <v>0.807</v>
      </c>
      <c r="O743" s="2">
        <v>0.5321</v>
      </c>
      <c r="P743" s="157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</row>
    <row r="744" spans="12:20" ht="12.75">
      <c r="L744" s="2">
        <v>114.3</v>
      </c>
      <c r="M744" s="2">
        <v>0.582</v>
      </c>
      <c r="N744" s="2">
        <v>0.8068</v>
      </c>
      <c r="O744" s="2">
        <v>0.532</v>
      </c>
      <c r="P744" s="157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</row>
    <row r="745" spans="12:20" ht="12.75">
      <c r="L745" s="2">
        <v>114.4</v>
      </c>
      <c r="M745" s="2">
        <v>0.5819</v>
      </c>
      <c r="N745" s="2">
        <v>0.8067</v>
      </c>
      <c r="O745" s="2">
        <v>0.5319</v>
      </c>
      <c r="P745" s="157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</row>
    <row r="746" spans="12:20" ht="12.75">
      <c r="L746" s="2">
        <v>114.5</v>
      </c>
      <c r="M746" s="2">
        <v>0.5817</v>
      </c>
      <c r="N746" s="2">
        <v>0.8066</v>
      </c>
      <c r="O746" s="2">
        <v>0.5318</v>
      </c>
      <c r="P746" s="157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</row>
    <row r="747" spans="12:20" ht="12.75">
      <c r="L747" s="2">
        <v>114.6</v>
      </c>
      <c r="M747" s="2">
        <v>0.5816</v>
      </c>
      <c r="N747" s="2">
        <v>0.8064</v>
      </c>
      <c r="O747" s="2">
        <v>0.5317</v>
      </c>
      <c r="P747" s="157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</row>
    <row r="748" spans="12:20" ht="12.75">
      <c r="L748" s="2">
        <v>114.7</v>
      </c>
      <c r="M748" s="2">
        <v>0.5815</v>
      </c>
      <c r="N748" s="2">
        <v>0.8063</v>
      </c>
      <c r="O748" s="2">
        <v>0.5316</v>
      </c>
      <c r="P748" s="157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</row>
    <row r="749" spans="12:20" ht="12.75">
      <c r="L749" s="2">
        <v>114.8</v>
      </c>
      <c r="M749" s="2">
        <v>0.5813</v>
      </c>
      <c r="N749" s="2">
        <v>0.8062</v>
      </c>
      <c r="O749" s="2">
        <v>0.5316</v>
      </c>
      <c r="P749" s="157">
        <v>0.563</v>
      </c>
      <c r="Q749" s="2">
        <v>0.5813</v>
      </c>
      <c r="R749" s="2">
        <v>0.8062</v>
      </c>
      <c r="S749" s="2">
        <v>0.55645</v>
      </c>
      <c r="T749" s="2">
        <v>0.6846</v>
      </c>
    </row>
    <row r="750" spans="12:20" ht="12.75">
      <c r="L750" s="2">
        <v>114.9</v>
      </c>
      <c r="M750" s="2">
        <v>0.5812</v>
      </c>
      <c r="N750" s="2">
        <v>0.806</v>
      </c>
      <c r="O750" s="2">
        <v>0.5324</v>
      </c>
      <c r="P750" s="157">
        <v>0.5629</v>
      </c>
      <c r="Q750" s="2">
        <v>0.5812</v>
      </c>
      <c r="R750" s="2">
        <v>0.806</v>
      </c>
      <c r="S750" s="2">
        <v>0.5568</v>
      </c>
      <c r="T750" s="2">
        <v>0.68445</v>
      </c>
    </row>
    <row r="751" spans="12:20" ht="12.75">
      <c r="L751" s="2">
        <v>115</v>
      </c>
      <c r="M751" s="2">
        <v>0.5811</v>
      </c>
      <c r="N751" s="2">
        <v>0.8059</v>
      </c>
      <c r="O751" s="2">
        <v>0.5314</v>
      </c>
      <c r="P751" s="157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</row>
    <row r="752" spans="12:20" ht="12.75">
      <c r="L752" s="2">
        <v>115.1</v>
      </c>
      <c r="M752" s="2">
        <v>0.5809</v>
      </c>
      <c r="N752" s="2">
        <v>0.8058</v>
      </c>
      <c r="O752" s="2">
        <v>0.5313</v>
      </c>
      <c r="P752" s="157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</row>
    <row r="753" spans="12:20" ht="12.75">
      <c r="L753" s="2">
        <v>115.2</v>
      </c>
      <c r="M753" s="2">
        <v>0.5808</v>
      </c>
      <c r="N753" s="2">
        <v>0.8056</v>
      </c>
      <c r="O753" s="2">
        <v>0.5312</v>
      </c>
      <c r="P753" s="157">
        <v>0.5625</v>
      </c>
      <c r="Q753" s="2">
        <v>0.5808</v>
      </c>
      <c r="R753" s="2">
        <v>0.8056</v>
      </c>
      <c r="S753" s="2">
        <v>0.556</v>
      </c>
      <c r="T753" s="2">
        <v>0.68405</v>
      </c>
    </row>
    <row r="754" spans="12:20" ht="12.75">
      <c r="L754" s="2">
        <v>115.3</v>
      </c>
      <c r="M754" s="2">
        <v>0.5806</v>
      </c>
      <c r="N754" s="2">
        <v>0.8055</v>
      </c>
      <c r="O754" s="2">
        <v>0.5311</v>
      </c>
      <c r="P754" s="157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</row>
    <row r="755" spans="12:20" ht="12.75">
      <c r="L755" s="2">
        <v>115.4</v>
      </c>
      <c r="M755" s="2">
        <v>0.5805</v>
      </c>
      <c r="N755" s="2">
        <v>0.8054</v>
      </c>
      <c r="O755" s="2">
        <v>0.531</v>
      </c>
      <c r="P755" s="157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</row>
    <row r="756" spans="12:20" ht="12.75">
      <c r="L756" s="2">
        <v>115.5</v>
      </c>
      <c r="M756" s="2">
        <v>0.5804</v>
      </c>
      <c r="N756" s="2">
        <v>0.8052</v>
      </c>
      <c r="O756" s="2">
        <v>0.5309</v>
      </c>
      <c r="P756" s="157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</row>
    <row r="757" spans="12:20" ht="12.75">
      <c r="L757" s="2">
        <v>115.6</v>
      </c>
      <c r="M757" s="2">
        <v>0.5803</v>
      </c>
      <c r="N757" s="2">
        <v>0.8051</v>
      </c>
      <c r="O757" s="2">
        <v>0.5309</v>
      </c>
      <c r="P757" s="157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</row>
    <row r="758" spans="12:20" ht="12.75">
      <c r="L758" s="2">
        <v>115.7</v>
      </c>
      <c r="M758" s="2">
        <v>0.5801</v>
      </c>
      <c r="N758" s="2">
        <v>0.805</v>
      </c>
      <c r="O758" s="2">
        <v>0.5308</v>
      </c>
      <c r="P758" s="157">
        <v>0.5618</v>
      </c>
      <c r="Q758" s="2">
        <v>0.5801</v>
      </c>
      <c r="R758" s="2">
        <v>0.805</v>
      </c>
      <c r="S758" s="2">
        <v>0.55545</v>
      </c>
      <c r="T758" s="2">
        <v>0.6834</v>
      </c>
    </row>
    <row r="759" spans="12:20" ht="12.75">
      <c r="L759" s="2">
        <v>115.8</v>
      </c>
      <c r="M759" s="2">
        <v>0.58</v>
      </c>
      <c r="N759" s="2">
        <v>0.8049</v>
      </c>
      <c r="O759" s="2">
        <v>0.5307</v>
      </c>
      <c r="P759" s="157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</row>
    <row r="760" spans="12:20" ht="12.75">
      <c r="L760" s="2">
        <v>115.9</v>
      </c>
      <c r="M760" s="2">
        <v>0.5799</v>
      </c>
      <c r="N760" s="2">
        <v>0.8047</v>
      </c>
      <c r="O760" s="2">
        <v>0.5315</v>
      </c>
      <c r="P760" s="157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</row>
    <row r="761" spans="12:20" ht="12.75">
      <c r="L761" s="2">
        <v>116</v>
      </c>
      <c r="M761" s="2">
        <v>0.5797</v>
      </c>
      <c r="N761" s="2">
        <v>0.8046</v>
      </c>
      <c r="O761" s="2">
        <v>0.5305</v>
      </c>
      <c r="P761" s="157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</row>
    <row r="762" spans="12:20" ht="12.75">
      <c r="L762" s="2">
        <v>116.1</v>
      </c>
      <c r="M762" s="2">
        <v>0.5796</v>
      </c>
      <c r="N762" s="2">
        <v>0.8045</v>
      </c>
      <c r="O762" s="2">
        <v>0.5304</v>
      </c>
      <c r="P762" s="157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</row>
    <row r="763" spans="12:20" ht="12.75">
      <c r="L763" s="2">
        <v>116.2</v>
      </c>
      <c r="M763" s="2">
        <v>0.5795</v>
      </c>
      <c r="N763" s="2">
        <v>0.8043</v>
      </c>
      <c r="O763" s="2">
        <v>0.5303</v>
      </c>
      <c r="P763" s="157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</row>
    <row r="764" spans="12:20" ht="12.75">
      <c r="L764" s="2">
        <v>116.3</v>
      </c>
      <c r="M764" s="2">
        <v>0.5793</v>
      </c>
      <c r="N764" s="2">
        <v>0.8042</v>
      </c>
      <c r="O764" s="2">
        <v>0.5302</v>
      </c>
      <c r="P764" s="157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</row>
    <row r="765" spans="12:20" ht="12.75">
      <c r="L765" s="2">
        <v>116.4</v>
      </c>
      <c r="M765" s="2">
        <v>0.5792</v>
      </c>
      <c r="N765" s="2">
        <v>0.8041</v>
      </c>
      <c r="O765" s="2">
        <v>0.5302</v>
      </c>
      <c r="P765" s="157">
        <v>0.5609</v>
      </c>
      <c r="Q765" s="2">
        <v>0.5792</v>
      </c>
      <c r="R765" s="2">
        <v>0.8041</v>
      </c>
      <c r="S765" s="2">
        <v>0.5547</v>
      </c>
      <c r="T765" s="2">
        <v>0.6825</v>
      </c>
    </row>
    <row r="766" spans="12:20" ht="12.75">
      <c r="L766" s="2">
        <v>116.5</v>
      </c>
      <c r="M766" s="2">
        <v>0.5791</v>
      </c>
      <c r="N766" s="2">
        <v>0.804</v>
      </c>
      <c r="O766" s="2">
        <v>0.5301</v>
      </c>
      <c r="P766" s="157">
        <v>0.5607</v>
      </c>
      <c r="Q766" s="2">
        <v>0.5791</v>
      </c>
      <c r="R766" s="2">
        <v>0.804</v>
      </c>
      <c r="S766" s="2">
        <v>0.5546</v>
      </c>
      <c r="T766" s="2">
        <v>0.68235</v>
      </c>
    </row>
    <row r="767" spans="12:20" ht="12.75">
      <c r="L767" s="2">
        <v>116.6</v>
      </c>
      <c r="M767" s="2">
        <v>0.579</v>
      </c>
      <c r="N767" s="2">
        <v>0.8038</v>
      </c>
      <c r="O767" s="2">
        <v>0.53</v>
      </c>
      <c r="P767" s="157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</row>
    <row r="768" spans="12:20" ht="12.75">
      <c r="L768" s="2">
        <v>116.7</v>
      </c>
      <c r="M768" s="2">
        <v>0.5788</v>
      </c>
      <c r="N768" s="2">
        <v>0.8037</v>
      </c>
      <c r="O768" s="2">
        <v>0.5299</v>
      </c>
      <c r="P768" s="157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</row>
    <row r="769" spans="12:20" ht="12.75">
      <c r="L769" s="2">
        <v>116.8</v>
      </c>
      <c r="M769" s="2">
        <v>0.5787</v>
      </c>
      <c r="N769" s="2">
        <v>0.8036</v>
      </c>
      <c r="O769" s="2">
        <v>0.5298</v>
      </c>
      <c r="P769" s="157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</row>
    <row r="770" spans="12:20" ht="12.75">
      <c r="L770" s="2">
        <v>116.9</v>
      </c>
      <c r="M770" s="2">
        <v>0.5786</v>
      </c>
      <c r="N770" s="2">
        <v>0.8034</v>
      </c>
      <c r="O770" s="2">
        <v>0.5306</v>
      </c>
      <c r="P770" s="157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</row>
    <row r="771" spans="12:20" ht="12.75">
      <c r="L771" s="2">
        <v>117</v>
      </c>
      <c r="M771" s="2">
        <v>0.5785</v>
      </c>
      <c r="N771" s="2">
        <v>0.8033</v>
      </c>
      <c r="O771" s="2">
        <v>0.5296</v>
      </c>
      <c r="P771" s="157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</row>
    <row r="772" spans="12:20" ht="12.75">
      <c r="L772" s="2">
        <v>117.1</v>
      </c>
      <c r="M772" s="2">
        <v>0.5783</v>
      </c>
      <c r="N772" s="2">
        <v>0.8032</v>
      </c>
      <c r="O772" s="2">
        <v>0.5296</v>
      </c>
      <c r="P772" s="157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</row>
    <row r="773" spans="12:20" ht="12.75">
      <c r="L773" s="2">
        <v>117.2</v>
      </c>
      <c r="M773" s="2">
        <v>0.5782</v>
      </c>
      <c r="N773" s="2">
        <v>0.8031</v>
      </c>
      <c r="O773" s="2">
        <v>0.5295</v>
      </c>
      <c r="P773" s="157">
        <v>0.5598</v>
      </c>
      <c r="Q773" s="2">
        <v>0.5782</v>
      </c>
      <c r="R773" s="2">
        <v>0.8031</v>
      </c>
      <c r="S773" s="2">
        <v>0.55385</v>
      </c>
      <c r="T773" s="2">
        <v>0.68145</v>
      </c>
    </row>
    <row r="774" spans="12:20" ht="12.75">
      <c r="L774" s="2">
        <v>117.3</v>
      </c>
      <c r="M774" s="2">
        <v>0.5781</v>
      </c>
      <c r="N774" s="2">
        <v>0.8029</v>
      </c>
      <c r="O774" s="2">
        <v>0.5294</v>
      </c>
      <c r="P774" s="157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</row>
    <row r="775" spans="12:20" ht="12.75">
      <c r="L775" s="2">
        <v>117.4</v>
      </c>
      <c r="M775" s="2">
        <v>0.578</v>
      </c>
      <c r="N775" s="2">
        <v>0.8028</v>
      </c>
      <c r="O775" s="2">
        <v>0.5293</v>
      </c>
      <c r="P775" s="157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</row>
    <row r="776" spans="12:20" ht="12.75">
      <c r="L776" s="2">
        <v>117.5</v>
      </c>
      <c r="M776" s="2">
        <v>0.5778</v>
      </c>
      <c r="N776" s="2">
        <v>0.8027</v>
      </c>
      <c r="O776" s="2">
        <v>0.5292</v>
      </c>
      <c r="P776" s="157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</row>
    <row r="777" spans="12:20" ht="12.75">
      <c r="L777" s="2">
        <v>117.6</v>
      </c>
      <c r="M777" s="2">
        <v>0.5777</v>
      </c>
      <c r="N777" s="2">
        <v>0.8026</v>
      </c>
      <c r="O777" s="2">
        <v>0.5291</v>
      </c>
      <c r="P777" s="157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</row>
    <row r="778" spans="12:20" ht="12.75">
      <c r="L778" s="2">
        <v>117.7</v>
      </c>
      <c r="M778" s="2">
        <v>0.5776</v>
      </c>
      <c r="N778" s="2">
        <v>0.8024</v>
      </c>
      <c r="O778" s="2">
        <v>0.529</v>
      </c>
      <c r="P778" s="157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</row>
    <row r="779" spans="12:20" ht="12.75">
      <c r="L779" s="2">
        <v>117.8</v>
      </c>
      <c r="M779" s="2">
        <v>0.5775</v>
      </c>
      <c r="N779" s="2">
        <v>0.8023</v>
      </c>
      <c r="O779" s="2">
        <v>0.529</v>
      </c>
      <c r="P779" s="157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</row>
    <row r="780" spans="12:20" ht="12.75">
      <c r="L780" s="2">
        <v>117.9</v>
      </c>
      <c r="M780" s="2">
        <v>0.5774</v>
      </c>
      <c r="N780" s="2">
        <v>0.8022</v>
      </c>
      <c r="O780" s="2">
        <v>0.5297</v>
      </c>
      <c r="P780" s="157">
        <v>0.5589</v>
      </c>
      <c r="Q780" s="2">
        <v>0.5774</v>
      </c>
      <c r="R780" s="2">
        <v>0.8022</v>
      </c>
      <c r="S780" s="2">
        <v>0.55355</v>
      </c>
      <c r="T780" s="2">
        <v>0.68055</v>
      </c>
    </row>
    <row r="781" spans="12:20" ht="12.75">
      <c r="L781" s="2">
        <v>118</v>
      </c>
      <c r="M781" s="2">
        <v>0.5772</v>
      </c>
      <c r="N781" s="2">
        <v>0.8021</v>
      </c>
      <c r="O781" s="2">
        <v>0.5288</v>
      </c>
      <c r="P781" s="157">
        <v>0.5587</v>
      </c>
      <c r="Q781" s="2">
        <v>0.5772</v>
      </c>
      <c r="R781" s="2">
        <v>0.8021</v>
      </c>
      <c r="S781" s="2">
        <v>0.553</v>
      </c>
      <c r="T781" s="2">
        <v>0.6804</v>
      </c>
    </row>
    <row r="782" spans="12:20" ht="12.75">
      <c r="L782" s="2">
        <v>118.1</v>
      </c>
      <c r="M782" s="2">
        <v>0.5771</v>
      </c>
      <c r="N782" s="2">
        <v>0.802</v>
      </c>
      <c r="O782" s="2">
        <v>0.5287</v>
      </c>
      <c r="P782" s="157">
        <v>0.5586</v>
      </c>
      <c r="Q782" s="2">
        <v>0.5771</v>
      </c>
      <c r="R782" s="2">
        <v>0.802</v>
      </c>
      <c r="S782" s="2">
        <v>0.5529</v>
      </c>
      <c r="T782" s="2">
        <v>0.6803</v>
      </c>
    </row>
    <row r="783" spans="12:20" ht="12.75">
      <c r="L783" s="2">
        <v>118.2</v>
      </c>
      <c r="M783" s="2">
        <v>0.577</v>
      </c>
      <c r="N783" s="2">
        <v>0.8018</v>
      </c>
      <c r="O783" s="2">
        <v>0.5286</v>
      </c>
      <c r="P783" s="157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</row>
    <row r="784" spans="12:20" ht="12.75">
      <c r="L784" s="2">
        <v>118.3</v>
      </c>
      <c r="M784" s="2">
        <v>0.5769</v>
      </c>
      <c r="N784" s="2">
        <v>0.8017</v>
      </c>
      <c r="O784" s="2">
        <v>0.5285</v>
      </c>
      <c r="P784" s="157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</row>
    <row r="785" spans="12:20" ht="12.75">
      <c r="L785" s="2">
        <v>118.4</v>
      </c>
      <c r="M785" s="2">
        <v>0.5768</v>
      </c>
      <c r="N785" s="2">
        <v>0.8016</v>
      </c>
      <c r="O785" s="2">
        <v>0.5284</v>
      </c>
      <c r="P785" s="157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</row>
    <row r="786" spans="12:20" ht="12.75">
      <c r="L786" s="2">
        <v>118.5</v>
      </c>
      <c r="M786" s="2">
        <v>0.5766</v>
      </c>
      <c r="N786" s="2">
        <v>0.8015</v>
      </c>
      <c r="O786" s="2">
        <v>0.5283</v>
      </c>
      <c r="P786" s="157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</row>
    <row r="787" spans="12:20" ht="12.75">
      <c r="L787" s="2">
        <v>118.6</v>
      </c>
      <c r="M787" s="2">
        <v>0.5765</v>
      </c>
      <c r="N787" s="2">
        <v>0.8013</v>
      </c>
      <c r="O787" s="2">
        <v>0.5283</v>
      </c>
      <c r="P787" s="157">
        <v>0.5579</v>
      </c>
      <c r="Q787" s="2">
        <v>0.5765</v>
      </c>
      <c r="R787" s="2">
        <v>0.8013</v>
      </c>
      <c r="S787" s="2">
        <v>0.5524</v>
      </c>
      <c r="T787" s="2">
        <v>0.6796</v>
      </c>
    </row>
    <row r="788" spans="12:20" ht="12.75">
      <c r="L788" s="2">
        <v>118.7</v>
      </c>
      <c r="M788" s="2">
        <v>0.5764</v>
      </c>
      <c r="N788" s="2">
        <v>0.8012</v>
      </c>
      <c r="O788" s="2">
        <v>0.5282</v>
      </c>
      <c r="P788" s="157">
        <v>0.5578</v>
      </c>
      <c r="Q788" s="2">
        <v>0.5764</v>
      </c>
      <c r="R788" s="2">
        <v>0.8012</v>
      </c>
      <c r="S788" s="2">
        <v>0.5523</v>
      </c>
      <c r="T788" s="2">
        <v>0.6795</v>
      </c>
    </row>
    <row r="789" spans="12:20" ht="12.75">
      <c r="L789" s="2">
        <v>118.8</v>
      </c>
      <c r="M789" s="2">
        <v>0.5763</v>
      </c>
      <c r="N789" s="2">
        <v>0.8011</v>
      </c>
      <c r="O789" s="2">
        <v>0.5281</v>
      </c>
      <c r="P789" s="157">
        <v>0.5577</v>
      </c>
      <c r="Q789" s="2">
        <v>0.5763</v>
      </c>
      <c r="R789" s="2">
        <v>0.8011</v>
      </c>
      <c r="S789" s="2">
        <v>0.5522</v>
      </c>
      <c r="T789" s="2">
        <v>0.6794</v>
      </c>
    </row>
    <row r="790" spans="12:20" ht="12.75">
      <c r="L790" s="2">
        <v>118.9</v>
      </c>
      <c r="M790" s="2">
        <v>0.5762</v>
      </c>
      <c r="N790" s="2">
        <v>0.801</v>
      </c>
      <c r="O790" s="2">
        <v>0.5289</v>
      </c>
      <c r="P790" s="157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</row>
    <row r="791" spans="12:20" ht="12.75">
      <c r="L791" s="2">
        <v>119</v>
      </c>
      <c r="M791" s="2">
        <v>0.5761</v>
      </c>
      <c r="N791" s="2">
        <v>0.8009</v>
      </c>
      <c r="O791" s="2">
        <v>0.5279</v>
      </c>
      <c r="P791" s="157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</row>
    <row r="792" spans="12:20" ht="12.75">
      <c r="L792" s="2">
        <v>119.1</v>
      </c>
      <c r="M792" s="2">
        <v>0.5759</v>
      </c>
      <c r="N792" s="2">
        <v>0.8007</v>
      </c>
      <c r="O792" s="2">
        <v>0.5278</v>
      </c>
      <c r="P792" s="157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</row>
    <row r="793" spans="12:20" ht="12.75">
      <c r="L793" s="2">
        <v>119.2</v>
      </c>
      <c r="M793" s="2">
        <v>0.5758</v>
      </c>
      <c r="N793" s="2">
        <v>0.8006</v>
      </c>
      <c r="O793" s="2">
        <v>0.5277</v>
      </c>
      <c r="P793" s="157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</row>
    <row r="794" spans="12:20" ht="12.75">
      <c r="L794" s="2">
        <v>119.3</v>
      </c>
      <c r="M794" s="2">
        <v>0.5757</v>
      </c>
      <c r="N794" s="2">
        <v>0.8005</v>
      </c>
      <c r="O794" s="2">
        <v>0.5276</v>
      </c>
      <c r="P794" s="157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</row>
    <row r="795" spans="12:20" ht="12.75">
      <c r="L795" s="2">
        <v>119.4</v>
      </c>
      <c r="M795" s="2">
        <v>0.5756</v>
      </c>
      <c r="N795" s="2">
        <v>0.8004</v>
      </c>
      <c r="O795" s="2">
        <v>0.5275</v>
      </c>
      <c r="P795" s="157">
        <v>0.5569</v>
      </c>
      <c r="Q795" s="2">
        <v>0.5756</v>
      </c>
      <c r="R795" s="2">
        <v>0.8004</v>
      </c>
      <c r="S795" s="2">
        <v>0.55155</v>
      </c>
      <c r="T795" s="2">
        <v>0.67865</v>
      </c>
    </row>
    <row r="796" spans="12:20" ht="12.75">
      <c r="L796" s="2">
        <v>119.5</v>
      </c>
      <c r="M796" s="2">
        <v>0.5755</v>
      </c>
      <c r="N796" s="2">
        <v>0.8003</v>
      </c>
      <c r="O796" s="2">
        <v>0.5274</v>
      </c>
      <c r="P796" s="157">
        <v>0.5567</v>
      </c>
      <c r="Q796" s="2">
        <v>0.5755</v>
      </c>
      <c r="R796" s="2">
        <v>0.8003</v>
      </c>
      <c r="S796" s="2">
        <v>0.55145</v>
      </c>
      <c r="T796" s="2">
        <v>0.6785</v>
      </c>
    </row>
    <row r="797" spans="12:20" ht="12.75">
      <c r="L797" s="2">
        <v>119.6</v>
      </c>
      <c r="M797" s="2">
        <v>0.5754</v>
      </c>
      <c r="N797" s="2">
        <v>0.8001</v>
      </c>
      <c r="O797" s="2">
        <v>0.5274</v>
      </c>
      <c r="P797" s="157">
        <v>0.5566</v>
      </c>
      <c r="Q797" s="2">
        <v>0.5754</v>
      </c>
      <c r="R797" s="2">
        <v>0.8001</v>
      </c>
      <c r="S797" s="2">
        <v>0.5514</v>
      </c>
      <c r="T797" s="2">
        <v>0.67835</v>
      </c>
    </row>
    <row r="798" spans="12:20" ht="12.75">
      <c r="L798" s="2">
        <v>119.7</v>
      </c>
      <c r="M798" s="2">
        <v>0.5753</v>
      </c>
      <c r="N798" s="2">
        <v>0.8</v>
      </c>
      <c r="O798" s="2">
        <v>0.5273</v>
      </c>
      <c r="P798" s="157">
        <v>0.5565</v>
      </c>
      <c r="Q798" s="2">
        <v>0.5753</v>
      </c>
      <c r="R798" s="2">
        <v>0.8</v>
      </c>
      <c r="S798" s="2">
        <v>0.5513</v>
      </c>
      <c r="T798" s="2">
        <v>0.67825</v>
      </c>
    </row>
    <row r="799" spans="12:20" ht="12.75">
      <c r="L799" s="2">
        <v>119.8</v>
      </c>
      <c r="M799" s="2">
        <v>0.5751</v>
      </c>
      <c r="N799" s="2">
        <v>0.7999</v>
      </c>
      <c r="O799" s="2">
        <v>0.5272</v>
      </c>
      <c r="P799" s="157">
        <v>0.5563</v>
      </c>
      <c r="Q799" s="2">
        <v>0.5751</v>
      </c>
      <c r="R799" s="2">
        <v>0.7999</v>
      </c>
      <c r="S799" s="2">
        <v>0.55115</v>
      </c>
      <c r="T799" s="2">
        <v>0.6781</v>
      </c>
    </row>
    <row r="800" spans="12:20" ht="12.75">
      <c r="L800" s="2">
        <v>119.9</v>
      </c>
      <c r="M800" s="2">
        <v>0.575</v>
      </c>
      <c r="N800" s="2">
        <v>0.7998</v>
      </c>
      <c r="O800" s="2">
        <v>0.528</v>
      </c>
      <c r="P800" s="157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</row>
    <row r="801" spans="12:20" ht="12.75">
      <c r="L801" s="2">
        <v>120</v>
      </c>
      <c r="M801" s="2">
        <v>0.5749</v>
      </c>
      <c r="N801" s="2">
        <v>0.7997</v>
      </c>
      <c r="O801" s="2">
        <v>0.527</v>
      </c>
      <c r="P801" s="157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</row>
    <row r="802" spans="12:20" ht="12.75">
      <c r="L802" s="2">
        <v>120.1</v>
      </c>
      <c r="M802" s="2">
        <v>0.5748</v>
      </c>
      <c r="N802" s="2">
        <v>0.7995</v>
      </c>
      <c r="O802" s="2">
        <v>0.5269</v>
      </c>
      <c r="P802" s="157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</row>
    <row r="803" spans="12:20" ht="12.75">
      <c r="L803" s="2">
        <v>120.2</v>
      </c>
      <c r="M803" s="2">
        <v>0.5747</v>
      </c>
      <c r="N803" s="2">
        <v>0.7994</v>
      </c>
      <c r="O803" s="2">
        <v>0.5268</v>
      </c>
      <c r="P803" s="157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</row>
    <row r="804" spans="12:20" ht="12.75">
      <c r="L804" s="2">
        <v>120.3</v>
      </c>
      <c r="M804" s="2">
        <v>0.5746</v>
      </c>
      <c r="N804" s="2">
        <v>0.7993</v>
      </c>
      <c r="O804" s="2">
        <v>0.5267</v>
      </c>
      <c r="P804" s="157">
        <v>0.5557</v>
      </c>
      <c r="Q804" s="2">
        <v>0.5746</v>
      </c>
      <c r="R804" s="2">
        <v>0.7993</v>
      </c>
      <c r="S804" s="2">
        <v>0.55065</v>
      </c>
      <c r="T804" s="2">
        <v>0.6775</v>
      </c>
    </row>
    <row r="805" spans="12:20" ht="12.75">
      <c r="L805" s="2">
        <v>120.4</v>
      </c>
      <c r="M805" s="2">
        <v>0.5745</v>
      </c>
      <c r="N805" s="2">
        <v>0.7992</v>
      </c>
      <c r="O805" s="2">
        <v>0.5266</v>
      </c>
      <c r="P805" s="157">
        <v>0.5555</v>
      </c>
      <c r="Q805" s="2">
        <v>0.5745</v>
      </c>
      <c r="R805" s="2">
        <v>0.7992</v>
      </c>
      <c r="S805" s="2">
        <v>0.55055</v>
      </c>
      <c r="T805" s="2">
        <v>0.67735</v>
      </c>
    </row>
    <row r="806" spans="12:20" ht="12.75">
      <c r="L806" s="2">
        <v>120.5</v>
      </c>
      <c r="M806" s="2">
        <v>0.5744</v>
      </c>
      <c r="N806" s="2">
        <v>0.7991</v>
      </c>
      <c r="O806" s="2">
        <v>0.5265</v>
      </c>
      <c r="P806" s="157">
        <v>0.5554</v>
      </c>
      <c r="Q806" s="2">
        <v>0.5744</v>
      </c>
      <c r="R806" s="2">
        <v>0.7991</v>
      </c>
      <c r="S806" s="2">
        <v>0.55045</v>
      </c>
      <c r="T806" s="2">
        <v>0.67725</v>
      </c>
    </row>
    <row r="807" spans="12:20" ht="12.75">
      <c r="L807" s="2">
        <v>120.6</v>
      </c>
      <c r="M807" s="2">
        <v>0.5743</v>
      </c>
      <c r="N807" s="2">
        <v>0.7989</v>
      </c>
      <c r="O807" s="2">
        <v>0.5264</v>
      </c>
      <c r="P807" s="157">
        <v>0.5553</v>
      </c>
      <c r="Q807" s="2">
        <v>0.5743</v>
      </c>
      <c r="R807" s="2">
        <v>0.7989</v>
      </c>
      <c r="S807" s="2">
        <v>0.55035</v>
      </c>
      <c r="T807" s="2">
        <v>0.6771</v>
      </c>
    </row>
    <row r="808" spans="12:20" ht="12.75">
      <c r="L808" s="2">
        <v>120.7</v>
      </c>
      <c r="M808" s="2">
        <v>0.5742</v>
      </c>
      <c r="N808" s="2">
        <v>0.7988</v>
      </c>
      <c r="O808" s="2">
        <v>0.5263</v>
      </c>
      <c r="P808" s="157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</row>
    <row r="809" spans="12:20" ht="12.75">
      <c r="L809" s="2">
        <v>120.8</v>
      </c>
      <c r="M809" s="2">
        <v>0.574</v>
      </c>
      <c r="N809" s="2">
        <v>0.7987</v>
      </c>
      <c r="O809" s="2">
        <v>0.5262</v>
      </c>
      <c r="P809" s="157">
        <v>0.555</v>
      </c>
      <c r="Q809" s="2">
        <v>0.574</v>
      </c>
      <c r="R809" s="2">
        <v>0.7987</v>
      </c>
      <c r="S809" s="2">
        <v>0.5501</v>
      </c>
      <c r="T809" s="2">
        <v>0.67685</v>
      </c>
    </row>
    <row r="810" spans="12:20" ht="12.75">
      <c r="L810" s="2">
        <v>120.9</v>
      </c>
      <c r="M810" s="2">
        <v>0.5739</v>
      </c>
      <c r="N810" s="2">
        <v>0.7986</v>
      </c>
      <c r="O810" s="2">
        <v>0.5271</v>
      </c>
      <c r="P810" s="157">
        <v>0.5549</v>
      </c>
      <c r="Q810" s="2">
        <v>0.5739</v>
      </c>
      <c r="R810" s="2">
        <v>0.7986</v>
      </c>
      <c r="S810" s="2">
        <v>0.5505</v>
      </c>
      <c r="T810" s="2">
        <v>0.67675</v>
      </c>
    </row>
    <row r="811" spans="12:20" ht="12.75">
      <c r="L811" s="2">
        <v>121</v>
      </c>
      <c r="M811" s="2">
        <v>0.5738</v>
      </c>
      <c r="N811" s="2">
        <v>0.7985</v>
      </c>
      <c r="O811" s="2">
        <v>0.526</v>
      </c>
      <c r="P811" s="157">
        <v>0.5547</v>
      </c>
      <c r="Q811" s="2">
        <v>0.5738</v>
      </c>
      <c r="R811" s="2">
        <v>0.7985</v>
      </c>
      <c r="S811" s="2">
        <v>0.5499</v>
      </c>
      <c r="T811" s="2">
        <v>0.6766</v>
      </c>
    </row>
    <row r="812" spans="12:20" ht="12.75">
      <c r="L812" s="2">
        <v>121.1</v>
      </c>
      <c r="M812" s="2">
        <v>0.5737</v>
      </c>
      <c r="N812" s="2">
        <v>0.7984</v>
      </c>
      <c r="O812" s="2">
        <v>0.5259</v>
      </c>
      <c r="P812" s="157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</row>
    <row r="813" spans="12:20" ht="12.75">
      <c r="L813" s="2">
        <v>121.2</v>
      </c>
      <c r="M813" s="2">
        <v>0.5736</v>
      </c>
      <c r="N813" s="2">
        <v>0.7982</v>
      </c>
      <c r="O813" s="2">
        <v>0.5258</v>
      </c>
      <c r="P813" s="157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</row>
    <row r="814" spans="12:20" ht="12.75">
      <c r="L814" s="2">
        <v>121.3</v>
      </c>
      <c r="M814" s="2">
        <v>0.5735</v>
      </c>
      <c r="N814" s="2">
        <v>0.7981</v>
      </c>
      <c r="O814" s="2">
        <v>0.5257</v>
      </c>
      <c r="P814" s="157">
        <v>0.5543</v>
      </c>
      <c r="Q814" s="2">
        <v>0.5735</v>
      </c>
      <c r="R814" s="2">
        <v>0.7981</v>
      </c>
      <c r="S814" s="2">
        <v>0.5496</v>
      </c>
      <c r="T814" s="2">
        <v>0.6762</v>
      </c>
    </row>
    <row r="815" spans="12:20" ht="12.75">
      <c r="L815" s="2">
        <v>121.4</v>
      </c>
      <c r="M815" s="2">
        <v>0.5734</v>
      </c>
      <c r="N815" s="2">
        <v>0.798</v>
      </c>
      <c r="O815" s="2">
        <v>0.5256</v>
      </c>
      <c r="P815" s="157">
        <v>0.5542</v>
      </c>
      <c r="Q815" s="2">
        <v>0.5734</v>
      </c>
      <c r="R815" s="2">
        <v>0.798</v>
      </c>
      <c r="S815" s="2">
        <v>0.5495</v>
      </c>
      <c r="T815" s="2">
        <v>0.6761</v>
      </c>
    </row>
    <row r="816" spans="12:20" ht="12.75">
      <c r="L816" s="2">
        <v>121.5</v>
      </c>
      <c r="M816" s="2">
        <v>0.5733</v>
      </c>
      <c r="N816" s="2">
        <v>0.7979</v>
      </c>
      <c r="O816" s="2">
        <v>0.5255</v>
      </c>
      <c r="P816" s="157">
        <v>0.5541</v>
      </c>
      <c r="Q816" s="2">
        <v>0.5733</v>
      </c>
      <c r="R816" s="2">
        <v>0.7979</v>
      </c>
      <c r="S816" s="2">
        <v>0.5494</v>
      </c>
      <c r="T816" s="2">
        <v>0.676</v>
      </c>
    </row>
    <row r="817" spans="12:20" ht="12.75">
      <c r="L817" s="2">
        <v>121.6</v>
      </c>
      <c r="M817" s="2">
        <v>0.5732</v>
      </c>
      <c r="N817" s="2">
        <v>0.7978</v>
      </c>
      <c r="O817" s="2">
        <v>0.5254</v>
      </c>
      <c r="P817" s="157">
        <v>0.5539</v>
      </c>
      <c r="Q817" s="2">
        <v>0.5732</v>
      </c>
      <c r="R817" s="2">
        <v>0.7978</v>
      </c>
      <c r="S817" s="2">
        <v>0.5493</v>
      </c>
      <c r="T817" s="2">
        <v>0.67585</v>
      </c>
    </row>
    <row r="818" spans="12:20" ht="12.75">
      <c r="L818" s="2">
        <v>121.7</v>
      </c>
      <c r="M818" s="2">
        <v>0.5731</v>
      </c>
      <c r="N818" s="2">
        <v>0.7977</v>
      </c>
      <c r="O818" s="2">
        <v>0.5253</v>
      </c>
      <c r="P818" s="157">
        <v>0.5538</v>
      </c>
      <c r="Q818" s="2">
        <v>0.5731</v>
      </c>
      <c r="R818" s="2">
        <v>0.7977</v>
      </c>
      <c r="S818" s="2">
        <v>0.5492</v>
      </c>
      <c r="T818" s="2">
        <v>0.67575</v>
      </c>
    </row>
    <row r="819" spans="12:20" ht="12.75">
      <c r="L819" s="2">
        <v>121.8</v>
      </c>
      <c r="M819" s="2">
        <v>0.573</v>
      </c>
      <c r="N819" s="2">
        <v>0.7975</v>
      </c>
      <c r="O819" s="2">
        <v>0.5251</v>
      </c>
      <c r="P819" s="157">
        <v>0.5537</v>
      </c>
      <c r="Q819" s="2">
        <v>0.573</v>
      </c>
      <c r="R819" s="2">
        <v>0.7975</v>
      </c>
      <c r="S819" s="2">
        <v>0.54905</v>
      </c>
      <c r="T819" s="2">
        <v>0.6756</v>
      </c>
    </row>
    <row r="820" spans="12:20" ht="12.75">
      <c r="L820" s="2">
        <v>121.9</v>
      </c>
      <c r="M820" s="2">
        <v>0.5729</v>
      </c>
      <c r="N820" s="2">
        <v>0.7974</v>
      </c>
      <c r="O820" s="2">
        <v>0.5261</v>
      </c>
      <c r="P820" s="157">
        <v>0.5536</v>
      </c>
      <c r="Q820" s="2">
        <v>0.5729</v>
      </c>
      <c r="R820" s="2">
        <v>0.7974</v>
      </c>
      <c r="S820" s="2">
        <v>0.5495</v>
      </c>
      <c r="T820" s="2">
        <v>0.6755</v>
      </c>
    </row>
    <row r="821" spans="12:20" ht="12.75">
      <c r="L821" s="2">
        <v>122</v>
      </c>
      <c r="M821" s="2">
        <v>0.5728</v>
      </c>
      <c r="N821" s="2">
        <v>0.7973</v>
      </c>
      <c r="O821" s="2">
        <v>0.5249</v>
      </c>
      <c r="P821" s="157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</row>
    <row r="822" spans="12:20" ht="12.75">
      <c r="L822" s="2">
        <v>122.1</v>
      </c>
      <c r="M822" s="2">
        <v>0.5727</v>
      </c>
      <c r="N822" s="2">
        <v>0.7972</v>
      </c>
      <c r="O822" s="2">
        <v>0.5248</v>
      </c>
      <c r="P822" s="157">
        <v>0.5533</v>
      </c>
      <c r="Q822" s="2">
        <v>0.5727</v>
      </c>
      <c r="R822" s="2">
        <v>0.7972</v>
      </c>
      <c r="S822" s="2">
        <v>0.54875</v>
      </c>
      <c r="T822" s="2">
        <v>0.67525</v>
      </c>
    </row>
    <row r="823" spans="12:20" ht="12.75">
      <c r="L823" s="2">
        <v>122.2</v>
      </c>
      <c r="M823" s="2">
        <v>0.5726</v>
      </c>
      <c r="N823" s="2">
        <v>0.7971</v>
      </c>
      <c r="O823" s="2">
        <v>0.5247</v>
      </c>
      <c r="P823" s="157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</row>
    <row r="824" spans="12:20" ht="12.75">
      <c r="L824" s="2">
        <v>122.3</v>
      </c>
      <c r="M824" s="2">
        <v>0.5725</v>
      </c>
      <c r="N824" s="2">
        <v>0.797</v>
      </c>
      <c r="O824" s="2">
        <v>0.5246</v>
      </c>
      <c r="P824" s="157">
        <v>0.553</v>
      </c>
      <c r="Q824" s="2">
        <v>0.5725</v>
      </c>
      <c r="R824" s="2">
        <v>0.797</v>
      </c>
      <c r="S824" s="2">
        <v>0.54855</v>
      </c>
      <c r="T824" s="2">
        <v>0.675</v>
      </c>
    </row>
    <row r="825" spans="12:20" ht="12.75">
      <c r="L825" s="2">
        <v>122.4</v>
      </c>
      <c r="M825" s="2">
        <v>0.5724</v>
      </c>
      <c r="N825" s="2">
        <v>0.7969</v>
      </c>
      <c r="O825" s="2">
        <v>0.5245</v>
      </c>
      <c r="P825" s="157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</row>
    <row r="826" spans="12:20" ht="12.75">
      <c r="L826" s="2">
        <v>122.5</v>
      </c>
      <c r="M826" s="2">
        <v>0.5723</v>
      </c>
      <c r="N826" s="2">
        <v>0.7967</v>
      </c>
      <c r="O826" s="2">
        <v>0.5243</v>
      </c>
      <c r="P826" s="157">
        <v>0.5528</v>
      </c>
      <c r="Q826" s="2">
        <v>0.5723</v>
      </c>
      <c r="R826" s="2">
        <v>0.7967</v>
      </c>
      <c r="S826" s="2">
        <v>0.5483</v>
      </c>
      <c r="T826" s="2">
        <v>0.67475</v>
      </c>
    </row>
    <row r="827" spans="12:20" ht="12.75">
      <c r="L827" s="2">
        <v>122.6</v>
      </c>
      <c r="M827" s="2">
        <v>0.5722</v>
      </c>
      <c r="N827" s="2">
        <v>0.7966</v>
      </c>
      <c r="O827" s="2">
        <v>0.5242</v>
      </c>
      <c r="P827" s="157">
        <v>0.5526</v>
      </c>
      <c r="Q827" s="2">
        <v>0.5722</v>
      </c>
      <c r="R827" s="2">
        <v>0.7966</v>
      </c>
      <c r="S827" s="2">
        <v>0.5482</v>
      </c>
      <c r="T827" s="2">
        <v>0.6746</v>
      </c>
    </row>
    <row r="828" spans="12:20" ht="12.75">
      <c r="L828" s="2">
        <v>122.7</v>
      </c>
      <c r="M828" s="2">
        <v>0.5721</v>
      </c>
      <c r="N828" s="2">
        <v>0.7965</v>
      </c>
      <c r="O828" s="2">
        <v>0.5241</v>
      </c>
      <c r="P828" s="157">
        <v>0.5525</v>
      </c>
      <c r="Q828" s="2">
        <v>0.5721</v>
      </c>
      <c r="R828" s="2">
        <v>0.7965</v>
      </c>
      <c r="S828" s="2">
        <v>0.5481</v>
      </c>
      <c r="T828" s="2">
        <v>0.6745</v>
      </c>
    </row>
    <row r="829" spans="12:20" ht="12.75">
      <c r="L829" s="2">
        <v>122.8</v>
      </c>
      <c r="M829" s="2">
        <v>0.572</v>
      </c>
      <c r="N829" s="2">
        <v>0.7964</v>
      </c>
      <c r="O829" s="2">
        <v>0.524</v>
      </c>
      <c r="P829" s="157">
        <v>0.5524</v>
      </c>
      <c r="Q829" s="2">
        <v>0.572</v>
      </c>
      <c r="R829" s="2">
        <v>0.7964</v>
      </c>
      <c r="S829" s="2">
        <v>0.548</v>
      </c>
      <c r="T829" s="2">
        <v>0.6744</v>
      </c>
    </row>
    <row r="830" spans="12:20" ht="12.75">
      <c r="L830" s="2">
        <v>122.9</v>
      </c>
      <c r="M830" s="2">
        <v>0.5719</v>
      </c>
      <c r="N830" s="2">
        <v>0.7963</v>
      </c>
      <c r="O830" s="2">
        <v>0.525</v>
      </c>
      <c r="P830" s="157">
        <v>0.5522</v>
      </c>
      <c r="Q830" s="2">
        <v>0.5719</v>
      </c>
      <c r="R830" s="2">
        <v>0.7963</v>
      </c>
      <c r="S830" s="2">
        <v>0.54845</v>
      </c>
      <c r="T830" s="2">
        <v>0.67425</v>
      </c>
    </row>
    <row r="831" spans="12:20" ht="12.75">
      <c r="L831" s="2">
        <v>123</v>
      </c>
      <c r="M831" s="2">
        <v>0.5718</v>
      </c>
      <c r="N831" s="2">
        <v>0.7962</v>
      </c>
      <c r="O831" s="2">
        <v>0.5237</v>
      </c>
      <c r="P831" s="157">
        <v>0.5521</v>
      </c>
      <c r="Q831" s="2">
        <v>0.5718</v>
      </c>
      <c r="R831" s="2">
        <v>0.7962</v>
      </c>
      <c r="S831" s="2">
        <v>0.54775</v>
      </c>
      <c r="T831" s="2">
        <v>0.67415</v>
      </c>
    </row>
    <row r="832" spans="12:20" ht="12.75">
      <c r="L832" s="2">
        <v>123.1</v>
      </c>
      <c r="M832" s="2">
        <v>0.5717</v>
      </c>
      <c r="N832" s="2">
        <v>0.796</v>
      </c>
      <c r="O832" s="2">
        <v>0.5236</v>
      </c>
      <c r="P832" s="157">
        <v>0.552</v>
      </c>
      <c r="Q832" s="2">
        <v>0.5717</v>
      </c>
      <c r="R832" s="2">
        <v>0.796</v>
      </c>
      <c r="S832" s="2">
        <v>0.54765</v>
      </c>
      <c r="T832" s="2">
        <v>0.674</v>
      </c>
    </row>
    <row r="833" spans="12:20" ht="12.75">
      <c r="L833" s="2">
        <v>123.2</v>
      </c>
      <c r="M833" s="2">
        <v>0.5716</v>
      </c>
      <c r="N833" s="2">
        <v>0.7959</v>
      </c>
      <c r="O833" s="2">
        <v>0.5235</v>
      </c>
      <c r="P833" s="157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</row>
    <row r="834" spans="12:20" ht="12.75">
      <c r="L834" s="2">
        <v>123.3</v>
      </c>
      <c r="M834" s="2">
        <v>0.5715</v>
      </c>
      <c r="N834" s="2">
        <v>0.7958</v>
      </c>
      <c r="O834" s="2">
        <v>0.5234</v>
      </c>
      <c r="P834" s="157">
        <v>0.5517</v>
      </c>
      <c r="Q834" s="2">
        <v>0.5715</v>
      </c>
      <c r="R834" s="2">
        <v>0.7958</v>
      </c>
      <c r="S834" s="2">
        <v>0.54745</v>
      </c>
      <c r="T834" s="2">
        <v>0.67375</v>
      </c>
    </row>
    <row r="835" spans="12:20" ht="12.75">
      <c r="L835" s="2">
        <v>123.4</v>
      </c>
      <c r="M835" s="2">
        <v>0.5714</v>
      </c>
      <c r="N835" s="2">
        <v>0.7957</v>
      </c>
      <c r="O835" s="2">
        <v>0.5232</v>
      </c>
      <c r="P835" s="157">
        <v>0.5516</v>
      </c>
      <c r="Q835" s="2">
        <v>0.5714</v>
      </c>
      <c r="R835" s="2">
        <v>0.7957</v>
      </c>
      <c r="S835" s="2">
        <v>0.5473</v>
      </c>
      <c r="T835" s="2">
        <v>0.67365</v>
      </c>
    </row>
    <row r="836" spans="12:20" ht="12.75">
      <c r="L836" s="2">
        <v>123.5</v>
      </c>
      <c r="M836" s="2">
        <v>0.5713</v>
      </c>
      <c r="N836" s="2">
        <v>0.7956</v>
      </c>
      <c r="O836" s="2">
        <v>0.5231</v>
      </c>
      <c r="P836" s="157">
        <v>0.5515</v>
      </c>
      <c r="Q836" s="2">
        <v>0.5713</v>
      </c>
      <c r="R836" s="2">
        <v>0.7956</v>
      </c>
      <c r="S836" s="2">
        <v>0.5472</v>
      </c>
      <c r="T836" s="2">
        <v>0.67355</v>
      </c>
    </row>
    <row r="837" spans="12:20" ht="12.75">
      <c r="L837" s="2">
        <v>123.6</v>
      </c>
      <c r="M837" s="2">
        <v>0.5712</v>
      </c>
      <c r="N837" s="2">
        <v>0.7955</v>
      </c>
      <c r="O837" s="2">
        <v>0.523</v>
      </c>
      <c r="P837" s="157">
        <v>0.5513</v>
      </c>
      <c r="Q837" s="2">
        <v>0.5712</v>
      </c>
      <c r="R837" s="2">
        <v>0.7955</v>
      </c>
      <c r="S837" s="2">
        <v>0.5471</v>
      </c>
      <c r="T837" s="2">
        <v>0.6734</v>
      </c>
    </row>
    <row r="838" spans="12:20" ht="12.75">
      <c r="L838" s="2">
        <v>123.7</v>
      </c>
      <c r="M838" s="2">
        <v>0.5711</v>
      </c>
      <c r="N838" s="2">
        <v>0.7954</v>
      </c>
      <c r="O838" s="2">
        <v>0.5228</v>
      </c>
      <c r="P838" s="157">
        <v>0.5512</v>
      </c>
      <c r="Q838" s="2">
        <v>0.5711</v>
      </c>
      <c r="R838" s="2">
        <v>0.7954</v>
      </c>
      <c r="S838" s="2">
        <v>0.54695</v>
      </c>
      <c r="T838" s="2">
        <v>0.6733</v>
      </c>
    </row>
    <row r="839" spans="12:20" ht="12.75">
      <c r="L839" s="2">
        <v>123.8</v>
      </c>
      <c r="M839" s="2">
        <v>0.571</v>
      </c>
      <c r="N839" s="2">
        <v>0.7953</v>
      </c>
      <c r="O839" s="2">
        <v>0.5227</v>
      </c>
      <c r="P839" s="157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</row>
    <row r="840" spans="12:20" ht="12.75">
      <c r="L840" s="2">
        <v>123.9</v>
      </c>
      <c r="M840" s="2">
        <v>0.5709</v>
      </c>
      <c r="N840" s="2">
        <v>0.7951</v>
      </c>
      <c r="O840" s="2">
        <v>0.5239</v>
      </c>
      <c r="P840" s="157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</row>
    <row r="841" spans="12:20" ht="12.75">
      <c r="L841" s="2">
        <v>124</v>
      </c>
      <c r="M841" s="2">
        <v>0.5708</v>
      </c>
      <c r="N841" s="2">
        <v>0.795</v>
      </c>
      <c r="O841" s="2">
        <v>0.5224</v>
      </c>
      <c r="P841" s="157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</row>
    <row r="842" spans="12:20" ht="12.75">
      <c r="L842" s="2">
        <v>124.1</v>
      </c>
      <c r="M842" s="2">
        <v>0.5707</v>
      </c>
      <c r="N842" s="2">
        <v>0.7949</v>
      </c>
      <c r="O842" s="2">
        <v>0.5223</v>
      </c>
      <c r="P842" s="157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</row>
    <row r="843" spans="12:20" ht="12.75">
      <c r="L843" s="2">
        <v>124.2</v>
      </c>
      <c r="M843" s="2">
        <v>0.5706</v>
      </c>
      <c r="N843" s="2">
        <v>0.7948</v>
      </c>
      <c r="O843" s="2">
        <v>0.5221</v>
      </c>
      <c r="P843" s="157">
        <v>0.5506</v>
      </c>
      <c r="Q843" s="2">
        <v>0.5706</v>
      </c>
      <c r="R843" s="2">
        <v>0.7948</v>
      </c>
      <c r="S843" s="2">
        <v>0.54635</v>
      </c>
      <c r="T843" s="2">
        <v>0.6727</v>
      </c>
    </row>
    <row r="844" spans="12:20" ht="12.75">
      <c r="L844" s="2">
        <v>124.3</v>
      </c>
      <c r="M844" s="2">
        <v>0.5705</v>
      </c>
      <c r="N844" s="2">
        <v>0.7947</v>
      </c>
      <c r="O844" s="2">
        <v>0.522</v>
      </c>
      <c r="P844" s="157">
        <v>0.5504</v>
      </c>
      <c r="Q844" s="2">
        <v>0.5705</v>
      </c>
      <c r="R844" s="2">
        <v>0.7947</v>
      </c>
      <c r="S844" s="2">
        <v>0.54625</v>
      </c>
      <c r="T844" s="2">
        <v>0.67255</v>
      </c>
    </row>
    <row r="845" spans="12:20" ht="12.75">
      <c r="L845" s="2">
        <v>124.4</v>
      </c>
      <c r="M845" s="2">
        <v>0.5704</v>
      </c>
      <c r="N845" s="2">
        <v>0.7946</v>
      </c>
      <c r="O845" s="2">
        <v>0.5219</v>
      </c>
      <c r="P845" s="157">
        <v>0.5503</v>
      </c>
      <c r="Q845" s="2">
        <v>0.5704</v>
      </c>
      <c r="R845" s="2">
        <v>0.7946</v>
      </c>
      <c r="S845" s="2">
        <v>0.54615</v>
      </c>
      <c r="T845" s="2">
        <v>0.67245</v>
      </c>
    </row>
    <row r="846" spans="12:20" ht="12.75">
      <c r="L846" s="2">
        <v>124.5</v>
      </c>
      <c r="M846" s="2">
        <v>0.5703</v>
      </c>
      <c r="N846" s="2">
        <v>0.7945</v>
      </c>
      <c r="O846" s="2">
        <v>0.5217</v>
      </c>
      <c r="P846" s="157">
        <v>0.5502</v>
      </c>
      <c r="Q846" s="2">
        <v>0.5703</v>
      </c>
      <c r="R846" s="2">
        <v>0.7945</v>
      </c>
      <c r="S846" s="2">
        <v>0.546</v>
      </c>
      <c r="T846" s="2">
        <v>0.67235</v>
      </c>
    </row>
    <row r="847" spans="12:20" ht="12.75">
      <c r="L847" s="2">
        <v>124.6</v>
      </c>
      <c r="M847" s="2">
        <v>0.5702</v>
      </c>
      <c r="N847" s="2">
        <v>0.7943</v>
      </c>
      <c r="O847" s="2">
        <v>0.5216</v>
      </c>
      <c r="P847" s="157">
        <v>0.55</v>
      </c>
      <c r="Q847" s="2">
        <v>0.5702</v>
      </c>
      <c r="R847" s="2">
        <v>0.7943</v>
      </c>
      <c r="S847" s="2">
        <v>0.5459</v>
      </c>
      <c r="T847" s="2">
        <v>0.67215</v>
      </c>
    </row>
    <row r="848" spans="12:20" ht="12.75">
      <c r="L848" s="2">
        <v>124.7</v>
      </c>
      <c r="M848" s="2">
        <v>0.5701</v>
      </c>
      <c r="N848" s="2">
        <v>0.7942</v>
      </c>
      <c r="O848" s="2">
        <v>0.5214</v>
      </c>
      <c r="P848" s="157">
        <v>0.5499</v>
      </c>
      <c r="Q848" s="2">
        <v>0.5701</v>
      </c>
      <c r="R848" s="2">
        <v>0.7942</v>
      </c>
      <c r="S848" s="2">
        <v>0.54575</v>
      </c>
      <c r="T848" s="2">
        <v>0.67205</v>
      </c>
    </row>
    <row r="849" spans="12:20" ht="12.75">
      <c r="L849" s="2">
        <v>124.8</v>
      </c>
      <c r="M849" s="2">
        <v>0.57</v>
      </c>
      <c r="N849" s="2">
        <v>0.7941</v>
      </c>
      <c r="O849" s="2">
        <v>0.5213</v>
      </c>
      <c r="P849" s="157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</row>
    <row r="850" spans="12:20" ht="12.75">
      <c r="L850" s="2">
        <v>124.9</v>
      </c>
      <c r="M850" s="2">
        <v>0.5699</v>
      </c>
      <c r="N850" s="2">
        <v>0.794</v>
      </c>
      <c r="O850" s="2">
        <v>0.5226</v>
      </c>
      <c r="P850" s="157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</row>
    <row r="851" spans="12:20" ht="12.75">
      <c r="L851" s="2">
        <v>125</v>
      </c>
      <c r="M851" s="2">
        <v>0.5698</v>
      </c>
      <c r="N851" s="2">
        <v>0.7939</v>
      </c>
      <c r="O851" s="2">
        <v>0.521</v>
      </c>
      <c r="P851" s="157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</row>
    <row r="852" spans="12:20" ht="12.75">
      <c r="L852" s="2">
        <v>125.1</v>
      </c>
      <c r="M852" s="2">
        <v>0.5698</v>
      </c>
      <c r="N852" s="2">
        <v>0.7938</v>
      </c>
      <c r="O852" s="2">
        <v>0.5209</v>
      </c>
      <c r="P852" s="157">
        <v>0.5494</v>
      </c>
      <c r="Q852" s="2">
        <v>0.5698</v>
      </c>
      <c r="R852" s="2">
        <v>0.7938</v>
      </c>
      <c r="S852" s="2">
        <v>0.54535</v>
      </c>
      <c r="T852" s="2">
        <v>0.6716</v>
      </c>
    </row>
    <row r="853" spans="12:20" ht="12.75">
      <c r="L853" s="2">
        <v>125.2</v>
      </c>
      <c r="M853" s="2">
        <v>0.5697</v>
      </c>
      <c r="N853" s="2">
        <v>0.7937</v>
      </c>
      <c r="O853" s="2">
        <v>0.5208</v>
      </c>
      <c r="P853" s="157">
        <v>0.5493</v>
      </c>
      <c r="Q853" s="2">
        <v>0.5697</v>
      </c>
      <c r="R853" s="2">
        <v>0.7937</v>
      </c>
      <c r="S853" s="2">
        <v>0.54525</v>
      </c>
      <c r="T853" s="2">
        <v>0.6715</v>
      </c>
    </row>
    <row r="854" spans="12:20" ht="12.75">
      <c r="L854" s="2">
        <v>125.3</v>
      </c>
      <c r="M854" s="2">
        <v>0.5696</v>
      </c>
      <c r="N854" s="2">
        <v>0.7936</v>
      </c>
      <c r="O854" s="2">
        <v>0.5206</v>
      </c>
      <c r="P854" s="157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</row>
    <row r="855" spans="12:20" ht="12.75">
      <c r="L855" s="2">
        <v>125.4</v>
      </c>
      <c r="M855" s="2">
        <v>0.5695</v>
      </c>
      <c r="N855" s="2">
        <v>0.7934</v>
      </c>
      <c r="O855" s="2">
        <v>0.5205</v>
      </c>
      <c r="P855" s="157">
        <v>0.549</v>
      </c>
      <c r="Q855" s="2">
        <v>0.5695</v>
      </c>
      <c r="R855" s="2">
        <v>0.7934</v>
      </c>
      <c r="S855" s="2">
        <v>0.545</v>
      </c>
      <c r="T855" s="2">
        <v>0.6712</v>
      </c>
    </row>
    <row r="856" spans="12:20" ht="12.75">
      <c r="L856" s="2">
        <v>125.5</v>
      </c>
      <c r="M856" s="2">
        <v>0.5694</v>
      </c>
      <c r="N856" s="2">
        <v>0.7933</v>
      </c>
      <c r="O856" s="2">
        <v>0.5204</v>
      </c>
      <c r="P856" s="157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</row>
    <row r="857" spans="12:20" ht="12.75">
      <c r="L857" s="2">
        <v>125.6</v>
      </c>
      <c r="M857" s="2">
        <v>0.5693</v>
      </c>
      <c r="N857" s="2">
        <v>0.7932</v>
      </c>
      <c r="O857" s="2">
        <v>0.5203</v>
      </c>
      <c r="P857" s="157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</row>
    <row r="858" spans="12:20" ht="12.75">
      <c r="L858" s="2">
        <v>125.7</v>
      </c>
      <c r="M858" s="2">
        <v>0.5692</v>
      </c>
      <c r="N858" s="2">
        <v>0.7931</v>
      </c>
      <c r="O858" s="2">
        <v>0.5202</v>
      </c>
      <c r="P858" s="157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</row>
    <row r="859" spans="12:20" ht="12.75">
      <c r="L859" s="2">
        <v>125.8</v>
      </c>
      <c r="M859" s="2">
        <v>0.5691</v>
      </c>
      <c r="N859" s="2">
        <v>0.793</v>
      </c>
      <c r="O859" s="2">
        <v>0.52</v>
      </c>
      <c r="P859" s="157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</row>
    <row r="860" spans="12:20" ht="12.75">
      <c r="L860" s="2">
        <v>125.9</v>
      </c>
      <c r="M860" s="2">
        <v>0.569</v>
      </c>
      <c r="N860" s="2">
        <v>0.7929</v>
      </c>
      <c r="O860" s="2" t="s">
        <v>138</v>
      </c>
      <c r="P860" s="157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</row>
    <row r="861" spans="12:20" ht="12.75">
      <c r="L861" s="2">
        <v>126</v>
      </c>
      <c r="M861" s="2">
        <v>0.5689</v>
      </c>
      <c r="N861" s="2">
        <v>0.7928</v>
      </c>
      <c r="O861" s="2">
        <v>0.5198</v>
      </c>
      <c r="P861" s="157">
        <v>0.5482</v>
      </c>
      <c r="Q861" s="2">
        <v>0.5689</v>
      </c>
      <c r="R861" s="2">
        <v>0.7928</v>
      </c>
      <c r="S861" s="2">
        <v>0.54435</v>
      </c>
      <c r="T861" s="2">
        <v>0.6705</v>
      </c>
    </row>
    <row r="862" spans="12:20" ht="12.75">
      <c r="L862" s="2">
        <v>126.1</v>
      </c>
      <c r="M862" s="2">
        <v>0.5688</v>
      </c>
      <c r="N862" s="2">
        <v>0.7927</v>
      </c>
      <c r="O862" s="2">
        <v>0.5197</v>
      </c>
      <c r="P862" s="157">
        <v>0.5481</v>
      </c>
      <c r="Q862" s="2">
        <v>0.5688</v>
      </c>
      <c r="R862" s="2">
        <v>0.7927</v>
      </c>
      <c r="S862" s="2">
        <v>0.54425</v>
      </c>
      <c r="T862" s="2">
        <v>0.6704</v>
      </c>
    </row>
    <row r="863" spans="12:20" ht="12.75">
      <c r="L863" s="2">
        <v>126.2</v>
      </c>
      <c r="M863" s="2">
        <v>0.5688</v>
      </c>
      <c r="N863" s="2">
        <v>0.7926</v>
      </c>
      <c r="O863" s="2">
        <v>0.5196</v>
      </c>
      <c r="P863" s="157">
        <v>0.548</v>
      </c>
      <c r="Q863" s="2">
        <v>0.5688</v>
      </c>
      <c r="R863" s="2">
        <v>0.7926</v>
      </c>
      <c r="S863" s="2">
        <v>0.5442</v>
      </c>
      <c r="T863" s="2">
        <v>0.6703</v>
      </c>
    </row>
    <row r="864" spans="12:20" ht="12.75">
      <c r="L864" s="2">
        <v>126.3</v>
      </c>
      <c r="M864" s="2">
        <v>0.5687</v>
      </c>
      <c r="N864" s="2">
        <v>0.7924</v>
      </c>
      <c r="O864" s="2">
        <v>0.5194</v>
      </c>
      <c r="P864" s="157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</row>
    <row r="865" spans="12:20" ht="12.75">
      <c r="L865" s="2">
        <v>126.4</v>
      </c>
      <c r="M865" s="2">
        <v>0.5686</v>
      </c>
      <c r="N865" s="2">
        <v>0.7923</v>
      </c>
      <c r="O865" s="2">
        <v>0.5193</v>
      </c>
      <c r="P865" s="157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</row>
    <row r="866" spans="12:20" ht="12.75">
      <c r="L866" s="2">
        <v>126.5</v>
      </c>
      <c r="M866" s="2">
        <v>0.5685</v>
      </c>
      <c r="N866" s="2">
        <v>0.7922</v>
      </c>
      <c r="O866" s="2">
        <v>0.5192</v>
      </c>
      <c r="P866" s="157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</row>
    <row r="867" spans="12:20" ht="12.75">
      <c r="L867" s="2">
        <v>126.6</v>
      </c>
      <c r="M867" s="2">
        <v>0.5684</v>
      </c>
      <c r="N867" s="2">
        <v>0.7921</v>
      </c>
      <c r="O867" s="2">
        <v>0.5191</v>
      </c>
      <c r="P867" s="157">
        <v>0.5475</v>
      </c>
      <c r="Q867" s="2">
        <v>0.5684</v>
      </c>
      <c r="R867" s="2">
        <v>0.7921</v>
      </c>
      <c r="S867" s="2">
        <v>0.54375</v>
      </c>
      <c r="T867" s="2">
        <v>0.6698</v>
      </c>
    </row>
    <row r="868" spans="12:20" ht="12.75">
      <c r="L868" s="2">
        <v>126.7</v>
      </c>
      <c r="M868" s="2">
        <v>0.5683</v>
      </c>
      <c r="N868" s="2">
        <v>0.792</v>
      </c>
      <c r="O868" s="2">
        <v>0.519</v>
      </c>
      <c r="P868" s="157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</row>
    <row r="869" spans="12:20" ht="12.75">
      <c r="L869" s="2">
        <v>126.8</v>
      </c>
      <c r="M869" s="2">
        <v>0.5682</v>
      </c>
      <c r="N869" s="2">
        <v>0.7919</v>
      </c>
      <c r="O869" s="2">
        <v>0.5188</v>
      </c>
      <c r="P869" s="157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</row>
    <row r="870" spans="12:20" ht="12.75">
      <c r="L870" s="2">
        <v>126.9</v>
      </c>
      <c r="M870" s="2">
        <v>0.5681</v>
      </c>
      <c r="N870" s="2">
        <v>0.7918</v>
      </c>
      <c r="O870" s="2">
        <v>0.5199</v>
      </c>
      <c r="P870" s="157">
        <v>0.5471</v>
      </c>
      <c r="Q870" s="2">
        <v>0.5681</v>
      </c>
      <c r="R870" s="2">
        <v>0.7918</v>
      </c>
      <c r="S870" s="2">
        <v>0.544</v>
      </c>
      <c r="T870" s="2">
        <v>0.66945</v>
      </c>
    </row>
    <row r="871" spans="12:20" ht="12.75">
      <c r="L871" s="2">
        <v>127</v>
      </c>
      <c r="M871" s="2">
        <v>0.5681</v>
      </c>
      <c r="N871" s="2">
        <v>0.7917</v>
      </c>
      <c r="O871" s="2">
        <v>0.5186</v>
      </c>
      <c r="P871" s="157">
        <v>0.5469</v>
      </c>
      <c r="Q871" s="2">
        <v>0.5681</v>
      </c>
      <c r="R871" s="2">
        <v>0.7917</v>
      </c>
      <c r="S871" s="2">
        <v>0.54335</v>
      </c>
      <c r="T871" s="2">
        <v>0.6693</v>
      </c>
    </row>
    <row r="872" spans="12:20" ht="12.75">
      <c r="L872" s="2">
        <v>127.1</v>
      </c>
      <c r="M872" s="2">
        <v>0.568</v>
      </c>
      <c r="N872" s="2">
        <v>0.7915</v>
      </c>
      <c r="O872" s="2">
        <v>0.5185</v>
      </c>
      <c r="P872" s="157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</row>
    <row r="873" spans="12:20" ht="12.75">
      <c r="L873" s="2">
        <v>127.2</v>
      </c>
      <c r="M873" s="2">
        <v>0.5679</v>
      </c>
      <c r="N873" s="2">
        <v>0.7914</v>
      </c>
      <c r="O873" s="2">
        <v>0.5184</v>
      </c>
      <c r="P873" s="157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</row>
    <row r="874" spans="12:20" ht="12.75">
      <c r="L874" s="2">
        <v>127.3</v>
      </c>
      <c r="M874" s="2">
        <v>0.5678</v>
      </c>
      <c r="N874" s="2">
        <v>0.7913</v>
      </c>
      <c r="O874" s="2">
        <v>0.5182</v>
      </c>
      <c r="P874" s="157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</row>
    <row r="875" spans="12:20" ht="12.75">
      <c r="L875" s="2">
        <v>127.4</v>
      </c>
      <c r="M875" s="2">
        <v>0.5677</v>
      </c>
      <c r="N875" s="2">
        <v>0.7912</v>
      </c>
      <c r="O875" s="2">
        <v>0.5181</v>
      </c>
      <c r="P875" s="157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</row>
    <row r="876" spans="12:20" ht="12.75">
      <c r="L876" s="2">
        <v>127.5</v>
      </c>
      <c r="M876" s="2">
        <v>0.5676</v>
      </c>
      <c r="N876" s="2">
        <v>0.7911</v>
      </c>
      <c r="O876" s="2">
        <v>0.518</v>
      </c>
      <c r="P876" s="157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</row>
    <row r="877" spans="12:20" ht="12.75">
      <c r="L877" s="2">
        <v>127.6</v>
      </c>
      <c r="M877" s="2">
        <v>0.5675</v>
      </c>
      <c r="N877" s="2">
        <v>0.791</v>
      </c>
      <c r="O877" s="2">
        <v>0.5179</v>
      </c>
      <c r="P877" s="157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</row>
    <row r="878" spans="12:20" ht="12.75">
      <c r="L878" s="2">
        <v>127.7</v>
      </c>
      <c r="M878" s="2">
        <v>0.5675</v>
      </c>
      <c r="N878" s="2">
        <v>0.7909</v>
      </c>
      <c r="O878" s="2">
        <v>0.5178</v>
      </c>
      <c r="P878" s="157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</row>
    <row r="879" spans="12:20" ht="12.75">
      <c r="L879" s="2">
        <v>127.8</v>
      </c>
      <c r="M879" s="2">
        <v>0.5674</v>
      </c>
      <c r="N879" s="2">
        <v>0.7908</v>
      </c>
      <c r="O879" s="2">
        <v>0.5176</v>
      </c>
      <c r="P879" s="157">
        <v>0.5459</v>
      </c>
      <c r="Q879" s="2">
        <v>0.5674</v>
      </c>
      <c r="R879" s="2">
        <v>0.7908</v>
      </c>
      <c r="S879" s="2">
        <v>0.5425</v>
      </c>
      <c r="T879" s="2">
        <v>0.66835</v>
      </c>
    </row>
    <row r="880" spans="12:20" ht="12.75">
      <c r="L880" s="2">
        <v>127.9</v>
      </c>
      <c r="M880" s="2">
        <v>0.5673</v>
      </c>
      <c r="N880" s="2">
        <v>0.7907</v>
      </c>
      <c r="O880" s="2">
        <v>0.5187</v>
      </c>
      <c r="P880" s="157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</row>
    <row r="881" spans="12:20" ht="12.75">
      <c r="L881" s="2">
        <v>128</v>
      </c>
      <c r="M881" s="2">
        <v>0.5672</v>
      </c>
      <c r="N881" s="2">
        <v>0.7905</v>
      </c>
      <c r="O881" s="2">
        <v>0.5174</v>
      </c>
      <c r="P881" s="157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</row>
    <row r="882" spans="12:20" ht="12.75">
      <c r="L882" s="2">
        <v>128.1</v>
      </c>
      <c r="M882" s="2">
        <v>0.5671</v>
      </c>
      <c r="N882" s="2">
        <v>0.7904</v>
      </c>
      <c r="O882" s="2">
        <v>0.5173</v>
      </c>
      <c r="P882" s="157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</row>
    <row r="883" spans="12:20" ht="12.75">
      <c r="L883" s="2">
        <v>128.2</v>
      </c>
      <c r="M883" s="2">
        <v>0.567</v>
      </c>
      <c r="N883" s="2">
        <v>0.7903</v>
      </c>
      <c r="O883" s="2">
        <v>0.5172</v>
      </c>
      <c r="P883" s="157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</row>
    <row r="884" spans="12:20" ht="12.75">
      <c r="L884" s="2">
        <v>128.3</v>
      </c>
      <c r="M884" s="2">
        <v>0.567</v>
      </c>
      <c r="N884" s="2">
        <v>0.7902</v>
      </c>
      <c r="O884" s="2">
        <v>0.517</v>
      </c>
      <c r="P884" s="157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</row>
    <row r="885" spans="12:20" ht="12.75">
      <c r="L885" s="2">
        <v>128.4</v>
      </c>
      <c r="M885" s="2">
        <v>0.5669</v>
      </c>
      <c r="N885" s="2">
        <v>0.7901</v>
      </c>
      <c r="O885" s="2">
        <v>0.5169</v>
      </c>
      <c r="P885" s="157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</row>
    <row r="886" spans="12:20" ht="12.75">
      <c r="L886" s="2">
        <v>128.5</v>
      </c>
      <c r="M886" s="2">
        <v>0.5668</v>
      </c>
      <c r="N886" s="2">
        <v>0.79</v>
      </c>
      <c r="O886" s="2">
        <v>0.5168</v>
      </c>
      <c r="P886" s="157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</row>
    <row r="887" spans="12:20" ht="12.75">
      <c r="L887" s="2">
        <v>128.6</v>
      </c>
      <c r="M887" s="2">
        <v>0.5667</v>
      </c>
      <c r="N887" s="2">
        <v>0.7899</v>
      </c>
      <c r="O887" s="2">
        <v>0.5167</v>
      </c>
      <c r="P887" s="157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</row>
    <row r="888" spans="12:20" ht="12.75">
      <c r="L888" s="2">
        <v>128.7</v>
      </c>
      <c r="M888" s="2">
        <v>0.5666</v>
      </c>
      <c r="N888" s="2">
        <v>0.7898</v>
      </c>
      <c r="O888" s="2">
        <v>0.5166</v>
      </c>
      <c r="P888" s="157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</row>
    <row r="889" spans="12:20" ht="12.75">
      <c r="L889" s="2">
        <v>128.8</v>
      </c>
      <c r="M889" s="2">
        <v>0.5665</v>
      </c>
      <c r="N889" s="2">
        <v>0.7897</v>
      </c>
      <c r="O889" s="2">
        <v>0.5164</v>
      </c>
      <c r="P889" s="157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</row>
    <row r="890" spans="12:20" ht="12.75">
      <c r="L890" s="2">
        <v>128.9</v>
      </c>
      <c r="M890" s="2">
        <v>0.5665</v>
      </c>
      <c r="N890" s="2">
        <v>0.7895</v>
      </c>
      <c r="O890" s="2">
        <v>0.5175</v>
      </c>
      <c r="P890" s="157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</row>
    <row r="891" spans="12:20" ht="12.75">
      <c r="L891" s="2">
        <v>129</v>
      </c>
      <c r="M891" s="2">
        <v>0.5664</v>
      </c>
      <c r="N891" s="2">
        <v>0.7894</v>
      </c>
      <c r="O891" s="2">
        <v>0.5162</v>
      </c>
      <c r="P891" s="157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</row>
    <row r="892" spans="12:20" ht="12.75">
      <c r="L892" s="2">
        <v>129.1</v>
      </c>
      <c r="M892" s="2">
        <v>0.5663</v>
      </c>
      <c r="N892" s="2">
        <v>0.7893</v>
      </c>
      <c r="O892" s="2">
        <v>0.5161</v>
      </c>
      <c r="P892" s="157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</row>
    <row r="893" spans="12:20" ht="12.75">
      <c r="L893" s="2">
        <v>129.2</v>
      </c>
      <c r="M893" s="2">
        <v>0.5662</v>
      </c>
      <c r="N893" s="2">
        <v>0.7892</v>
      </c>
      <c r="O893" s="2">
        <v>0.516</v>
      </c>
      <c r="P893" s="157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</row>
    <row r="894" spans="12:20" ht="12.75">
      <c r="L894" s="2">
        <v>129.3</v>
      </c>
      <c r="M894" s="2">
        <v>0.5661</v>
      </c>
      <c r="N894" s="2">
        <v>0.7891</v>
      </c>
      <c r="O894" s="2">
        <v>0.5158</v>
      </c>
      <c r="P894" s="157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</row>
    <row r="895" spans="12:20" ht="12.75">
      <c r="L895" s="2">
        <v>129.4</v>
      </c>
      <c r="M895" s="2">
        <v>0.5661</v>
      </c>
      <c r="N895" s="2">
        <v>0.789</v>
      </c>
      <c r="O895" s="2">
        <v>0.5157</v>
      </c>
      <c r="P895" s="157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</row>
    <row r="896" spans="12:20" ht="12.75">
      <c r="L896" s="2">
        <v>129.5</v>
      </c>
      <c r="M896" s="2">
        <v>0.566</v>
      </c>
      <c r="N896" s="2">
        <v>0.7889</v>
      </c>
      <c r="O896" s="2">
        <v>0.5156</v>
      </c>
      <c r="P896" s="157">
        <v>0.5438</v>
      </c>
      <c r="Q896" s="2">
        <v>0.566</v>
      </c>
      <c r="R896" s="2">
        <v>0.7889</v>
      </c>
      <c r="S896" s="2">
        <v>0.5408</v>
      </c>
      <c r="T896" s="2">
        <v>0.66635</v>
      </c>
    </row>
    <row r="897" spans="12:20" ht="12.75">
      <c r="L897" s="2">
        <v>129.6</v>
      </c>
      <c r="M897" s="2">
        <v>0.5659</v>
      </c>
      <c r="N897" s="2">
        <v>0.7888</v>
      </c>
      <c r="O897" s="2">
        <v>0.5155</v>
      </c>
      <c r="P897" s="157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</row>
    <row r="898" spans="12:20" ht="12.75">
      <c r="L898" s="2">
        <v>129.7</v>
      </c>
      <c r="M898" s="2">
        <v>0.5658</v>
      </c>
      <c r="N898" s="2">
        <v>0.7887</v>
      </c>
      <c r="O898" s="2">
        <v>0.5154</v>
      </c>
      <c r="P898" s="157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</row>
    <row r="899" spans="12:20" ht="12.75">
      <c r="L899" s="2">
        <v>129.8</v>
      </c>
      <c r="M899" s="2">
        <v>0.5658</v>
      </c>
      <c r="N899" s="2">
        <v>0.7886</v>
      </c>
      <c r="O899" s="2">
        <v>0.5152</v>
      </c>
      <c r="P899" s="157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</row>
    <row r="900" spans="12:20" ht="12.75">
      <c r="L900" s="2">
        <v>129.9</v>
      </c>
      <c r="M900" s="2">
        <v>0.5657</v>
      </c>
      <c r="N900" s="2">
        <v>0.7884</v>
      </c>
      <c r="O900" s="2">
        <v>0.5163</v>
      </c>
      <c r="P900" s="157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</row>
    <row r="901" spans="12:20" ht="12.75">
      <c r="L901" s="2">
        <v>130</v>
      </c>
      <c r="M901" s="2">
        <v>0.5656</v>
      </c>
      <c r="N901" s="2">
        <v>0.7883</v>
      </c>
      <c r="O901" s="2">
        <v>0.515</v>
      </c>
      <c r="P901" s="157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</row>
    <row r="902" spans="12:20" ht="12.75">
      <c r="L902" s="2">
        <v>130.1</v>
      </c>
      <c r="M902" s="2">
        <v>0.5655</v>
      </c>
      <c r="N902" s="2">
        <v>0.7882</v>
      </c>
      <c r="O902" s="2">
        <v>0.5149</v>
      </c>
      <c r="P902" s="157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</row>
    <row r="903" spans="12:20" ht="12.75">
      <c r="L903" s="2">
        <v>130.2</v>
      </c>
      <c r="M903" s="2">
        <v>0.5654</v>
      </c>
      <c r="N903" s="2">
        <v>0.7881</v>
      </c>
      <c r="O903" s="2">
        <v>0.5147</v>
      </c>
      <c r="P903" s="157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</row>
    <row r="904" spans="12:20" ht="12.75">
      <c r="L904" s="2">
        <v>130.3</v>
      </c>
      <c r="M904" s="2">
        <v>0.5654</v>
      </c>
      <c r="N904" s="2">
        <v>0.788</v>
      </c>
      <c r="O904" s="2">
        <v>0.5146</v>
      </c>
      <c r="P904" s="157">
        <v>0.5428</v>
      </c>
      <c r="Q904" s="2">
        <v>0.5654</v>
      </c>
      <c r="R904" s="2">
        <v>0.788</v>
      </c>
      <c r="S904" s="2">
        <v>0.54</v>
      </c>
      <c r="T904" s="2">
        <v>0.6654</v>
      </c>
    </row>
    <row r="905" spans="12:20" ht="12.75">
      <c r="L905" s="2">
        <v>130.4</v>
      </c>
      <c r="M905" s="2">
        <v>0.5653</v>
      </c>
      <c r="N905" s="2">
        <v>0.7879</v>
      </c>
      <c r="O905" s="2">
        <v>0.5145</v>
      </c>
      <c r="P905" s="157">
        <v>0.5426</v>
      </c>
      <c r="Q905" s="2">
        <v>0.5653</v>
      </c>
      <c r="R905" s="2">
        <v>0.7879</v>
      </c>
      <c r="S905" s="2">
        <v>0.5399</v>
      </c>
      <c r="T905" s="2">
        <v>0.66525</v>
      </c>
    </row>
    <row r="906" spans="12:20" ht="12.75">
      <c r="L906" s="2">
        <v>130.5</v>
      </c>
      <c r="M906" s="2">
        <v>0.5652</v>
      </c>
      <c r="N906" s="2">
        <v>0.7878</v>
      </c>
      <c r="O906" s="2">
        <v>0.5143</v>
      </c>
      <c r="P906" s="157">
        <v>0.5425</v>
      </c>
      <c r="Q906" s="2">
        <v>0.5652</v>
      </c>
      <c r="R906" s="2">
        <v>0.7878</v>
      </c>
      <c r="S906" s="2">
        <v>0.53975</v>
      </c>
      <c r="T906" s="2">
        <v>0.66515</v>
      </c>
    </row>
    <row r="907" spans="12:20" ht="12.75">
      <c r="L907" s="2">
        <v>130.6</v>
      </c>
      <c r="M907" s="2">
        <v>0.5651</v>
      </c>
      <c r="N907" s="2">
        <v>0.7877</v>
      </c>
      <c r="O907" s="2">
        <v>0.5142</v>
      </c>
      <c r="P907" s="157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</row>
    <row r="908" spans="12:20" ht="12.75">
      <c r="L908" s="2">
        <v>130.7</v>
      </c>
      <c r="M908" s="2">
        <v>0.5651</v>
      </c>
      <c r="N908" s="2">
        <v>0.7876</v>
      </c>
      <c r="O908" s="2">
        <v>0.5141</v>
      </c>
      <c r="P908" s="157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</row>
    <row r="909" spans="12:20" ht="12.75">
      <c r="L909" s="2">
        <v>130.8</v>
      </c>
      <c r="M909" s="2">
        <v>0.565</v>
      </c>
      <c r="N909" s="2">
        <v>0.7875</v>
      </c>
      <c r="O909" s="2">
        <v>0.514</v>
      </c>
      <c r="P909" s="157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</row>
    <row r="910" spans="12:20" ht="12.75">
      <c r="L910" s="2">
        <v>130.9</v>
      </c>
      <c r="M910" s="2">
        <v>0.5649</v>
      </c>
      <c r="N910" s="2">
        <v>0.7873</v>
      </c>
      <c r="O910" s="2">
        <v>0.5151</v>
      </c>
      <c r="P910" s="157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</row>
    <row r="911" spans="12:20" ht="12.75">
      <c r="L911" s="2">
        <v>131</v>
      </c>
      <c r="M911" s="2">
        <v>0.5648</v>
      </c>
      <c r="N911" s="2">
        <v>0.7872</v>
      </c>
      <c r="O911" s="2">
        <v>0.5138</v>
      </c>
      <c r="P911" s="157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</row>
    <row r="912" spans="12:20" ht="12.75">
      <c r="L912" s="2">
        <v>131.1</v>
      </c>
      <c r="M912" s="2">
        <v>0.5647</v>
      </c>
      <c r="N912" s="2">
        <v>0.7871</v>
      </c>
      <c r="O912" s="2">
        <v>0.5137</v>
      </c>
      <c r="P912" s="157">
        <v>0.5417</v>
      </c>
      <c r="Q912" s="2">
        <v>0.5647</v>
      </c>
      <c r="R912" s="2">
        <v>0.7871</v>
      </c>
      <c r="S912" s="2">
        <v>0.5392</v>
      </c>
      <c r="T912" s="2">
        <v>0.6644</v>
      </c>
    </row>
    <row r="913" spans="12:20" ht="12.75">
      <c r="L913" s="2">
        <v>131.2</v>
      </c>
      <c r="M913" s="2">
        <v>0.5647</v>
      </c>
      <c r="N913" s="2">
        <v>0.787</v>
      </c>
      <c r="O913" s="2">
        <v>0.5136</v>
      </c>
      <c r="P913" s="157">
        <v>0.5416</v>
      </c>
      <c r="Q913" s="2">
        <v>0.5647</v>
      </c>
      <c r="R913" s="2">
        <v>0.787</v>
      </c>
      <c r="S913" s="2">
        <v>0.53915</v>
      </c>
      <c r="T913" s="2">
        <v>0.6643</v>
      </c>
    </row>
    <row r="914" spans="12:20" ht="12.75">
      <c r="L914" s="2">
        <v>131.3</v>
      </c>
      <c r="M914" s="2">
        <v>0.5646</v>
      </c>
      <c r="N914" s="2">
        <v>0.7869</v>
      </c>
      <c r="O914" s="2">
        <v>0.5134</v>
      </c>
      <c r="P914" s="157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</row>
    <row r="915" spans="12:20" ht="12.75">
      <c r="L915" s="2">
        <v>131.4</v>
      </c>
      <c r="M915" s="2">
        <v>0.5645</v>
      </c>
      <c r="N915" s="2">
        <v>0.7868</v>
      </c>
      <c r="O915" s="2">
        <v>0.5133</v>
      </c>
      <c r="P915" s="157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</row>
    <row r="916" spans="12:20" ht="12.75">
      <c r="L916" s="2">
        <v>131.5</v>
      </c>
      <c r="M916" s="2">
        <v>0.5644</v>
      </c>
      <c r="N916" s="2">
        <v>0.7867</v>
      </c>
      <c r="O916" s="2">
        <v>0.5132</v>
      </c>
      <c r="P916" s="157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</row>
    <row r="917" spans="12:20" ht="12.75">
      <c r="L917" s="2">
        <v>131.6</v>
      </c>
      <c r="M917" s="2">
        <v>0.5644</v>
      </c>
      <c r="N917" s="2">
        <v>0.7866</v>
      </c>
      <c r="O917" s="2">
        <v>0.5131</v>
      </c>
      <c r="P917" s="157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</row>
    <row r="918" spans="12:20" ht="12.75">
      <c r="L918" s="2">
        <v>131.7</v>
      </c>
      <c r="M918" s="2">
        <v>0.5643</v>
      </c>
      <c r="N918" s="2">
        <v>0.7865</v>
      </c>
      <c r="O918" s="2">
        <v>0.513</v>
      </c>
      <c r="P918" s="157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</row>
    <row r="919" spans="12:20" ht="12.75">
      <c r="L919" s="2">
        <v>131.8</v>
      </c>
      <c r="M919" s="2">
        <v>0.5642</v>
      </c>
      <c r="N919" s="2">
        <v>0.7864</v>
      </c>
      <c r="O919" s="2">
        <v>0.5128</v>
      </c>
      <c r="P919" s="157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</row>
    <row r="920" spans="12:20" ht="12.75">
      <c r="L920" s="2">
        <v>131.9</v>
      </c>
      <c r="M920" s="2">
        <v>0.5642</v>
      </c>
      <c r="N920" s="2">
        <v>0.7862</v>
      </c>
      <c r="O920" s="2">
        <v>0.5139</v>
      </c>
      <c r="P920" s="157">
        <v>0.5407</v>
      </c>
      <c r="Q920" s="2">
        <v>0.5642</v>
      </c>
      <c r="R920" s="2">
        <v>0.7862</v>
      </c>
      <c r="S920" s="2">
        <v>0.53905</v>
      </c>
      <c r="T920" s="2">
        <v>0.66345</v>
      </c>
    </row>
    <row r="921" spans="12:20" ht="12.75">
      <c r="L921" s="2">
        <v>132</v>
      </c>
      <c r="M921" s="2">
        <v>0.5641</v>
      </c>
      <c r="N921" s="2">
        <v>0.7861</v>
      </c>
      <c r="O921" s="2">
        <v>0.5126</v>
      </c>
      <c r="P921" s="157">
        <v>0.5406</v>
      </c>
      <c r="Q921" s="2">
        <v>0.5641</v>
      </c>
      <c r="R921" s="2">
        <v>0.7861</v>
      </c>
      <c r="S921" s="2">
        <v>0.53835</v>
      </c>
      <c r="T921" s="2">
        <v>0.66335</v>
      </c>
    </row>
    <row r="922" spans="12:20" ht="12.75">
      <c r="L922" s="2">
        <v>132.1</v>
      </c>
      <c r="M922" s="2">
        <v>0.564</v>
      </c>
      <c r="N922" s="2">
        <v>0.786</v>
      </c>
      <c r="O922" s="2">
        <v>0.5125</v>
      </c>
      <c r="P922" s="157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</row>
    <row r="923" spans="12:20" ht="12.75">
      <c r="L923" s="2">
        <v>132.2</v>
      </c>
      <c r="M923" s="2">
        <v>0.5639</v>
      </c>
      <c r="N923" s="2">
        <v>0.7859</v>
      </c>
      <c r="O923" s="2">
        <v>0.5124</v>
      </c>
      <c r="P923" s="157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</row>
    <row r="924" spans="12:20" ht="12.75">
      <c r="L924" s="2">
        <v>132.3</v>
      </c>
      <c r="M924" s="2">
        <v>0.5639</v>
      </c>
      <c r="N924" s="2">
        <v>0.7858</v>
      </c>
      <c r="O924" s="2">
        <v>0.5122</v>
      </c>
      <c r="P924" s="157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</row>
    <row r="925" spans="12:20" ht="12.75">
      <c r="L925" s="2">
        <v>132.4</v>
      </c>
      <c r="M925" s="2">
        <v>0.5638</v>
      </c>
      <c r="N925" s="2">
        <v>0.7857</v>
      </c>
      <c r="O925" s="2">
        <v>0.5121</v>
      </c>
      <c r="P925" s="157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</row>
    <row r="926" spans="12:20" ht="12.75">
      <c r="L926" s="2">
        <v>132.5</v>
      </c>
      <c r="M926" s="2">
        <v>0.5637</v>
      </c>
      <c r="N926" s="2">
        <v>0.7856</v>
      </c>
      <c r="O926" s="2">
        <v>0.512</v>
      </c>
      <c r="P926" s="157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</row>
    <row r="927" spans="12:20" ht="12.75">
      <c r="L927" s="2">
        <v>132.6</v>
      </c>
      <c r="M927" s="2">
        <v>0.5636</v>
      </c>
      <c r="N927" s="2">
        <v>0.7855</v>
      </c>
      <c r="O927" s="2">
        <v>0.5119</v>
      </c>
      <c r="P927" s="157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</row>
    <row r="928" spans="12:20" ht="12.75">
      <c r="L928" s="2">
        <v>132.7</v>
      </c>
      <c r="M928" s="2">
        <v>0.5636</v>
      </c>
      <c r="N928" s="2">
        <v>0.7854</v>
      </c>
      <c r="O928" s="2">
        <v>0.5118</v>
      </c>
      <c r="P928" s="157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</row>
    <row r="929" spans="12:20" ht="12.75">
      <c r="L929" s="2">
        <v>132.8</v>
      </c>
      <c r="M929" s="2">
        <v>0.5635</v>
      </c>
      <c r="N929" s="2">
        <v>0.7853</v>
      </c>
      <c r="O929" s="2">
        <v>0.5116</v>
      </c>
      <c r="P929" s="157">
        <v>0.5396</v>
      </c>
      <c r="Q929" s="2">
        <v>0.5635</v>
      </c>
      <c r="R929" s="2">
        <v>0.7853</v>
      </c>
      <c r="S929" s="2">
        <v>0.53755</v>
      </c>
      <c r="T929" s="2">
        <v>0.66245</v>
      </c>
    </row>
    <row r="930" spans="12:20" ht="12.75">
      <c r="L930" s="2">
        <v>132.9</v>
      </c>
      <c r="M930" s="2">
        <v>0.5634</v>
      </c>
      <c r="N930" s="2">
        <v>0.7852</v>
      </c>
      <c r="O930" s="2">
        <v>0.5127</v>
      </c>
      <c r="P930" s="157">
        <v>0.5395</v>
      </c>
      <c r="Q930" s="2">
        <v>0.5634</v>
      </c>
      <c r="R930" s="2">
        <v>0.7852</v>
      </c>
      <c r="S930" s="2">
        <v>0.53805</v>
      </c>
      <c r="T930" s="2">
        <v>0.66235</v>
      </c>
    </row>
    <row r="931" spans="12:20" ht="12.75">
      <c r="L931" s="2">
        <v>133</v>
      </c>
      <c r="M931" s="2">
        <v>0.5634</v>
      </c>
      <c r="N931" s="2">
        <v>0.785</v>
      </c>
      <c r="O931" s="2">
        <v>0.5114</v>
      </c>
      <c r="P931" s="157">
        <v>0.5394</v>
      </c>
      <c r="Q931" s="2">
        <v>0.5634</v>
      </c>
      <c r="R931" s="2">
        <v>0.785</v>
      </c>
      <c r="S931" s="2">
        <v>0.5374</v>
      </c>
      <c r="T931" s="2">
        <v>0.6622</v>
      </c>
    </row>
    <row r="932" spans="12:20" ht="12.75">
      <c r="L932" s="2">
        <v>133.1</v>
      </c>
      <c r="M932" s="2">
        <v>0.5633</v>
      </c>
      <c r="N932" s="2">
        <v>0.7849</v>
      </c>
      <c r="O932" s="2">
        <v>0.5113</v>
      </c>
      <c r="P932" s="157">
        <v>0.5392</v>
      </c>
      <c r="Q932" s="2">
        <v>0.5633</v>
      </c>
      <c r="R932" s="2">
        <v>0.7849</v>
      </c>
      <c r="S932" s="2">
        <v>0.5373</v>
      </c>
      <c r="T932" s="2">
        <v>0.66205</v>
      </c>
    </row>
    <row r="933" spans="12:20" ht="12.75">
      <c r="L933" s="2">
        <v>133.2</v>
      </c>
      <c r="M933" s="2">
        <v>0.5632</v>
      </c>
      <c r="N933" s="2">
        <v>0.7848</v>
      </c>
      <c r="O933" s="2">
        <v>0.5112</v>
      </c>
      <c r="P933" s="157">
        <v>0.5391</v>
      </c>
      <c r="Q933" s="2">
        <v>0.5632</v>
      </c>
      <c r="R933" s="2">
        <v>0.7848</v>
      </c>
      <c r="S933" s="2">
        <v>0.5372</v>
      </c>
      <c r="T933" s="2">
        <v>0.66195</v>
      </c>
    </row>
    <row r="934" spans="12:20" ht="12.75">
      <c r="L934" s="2">
        <v>133.3</v>
      </c>
      <c r="M934" s="2">
        <v>0.5631</v>
      </c>
      <c r="N934" s="2">
        <v>0.7847</v>
      </c>
      <c r="O934" s="2">
        <v>0.511</v>
      </c>
      <c r="P934" s="157">
        <v>0.579</v>
      </c>
      <c r="Q934" s="2">
        <v>0.5631</v>
      </c>
      <c r="R934" s="2">
        <v>0.7847</v>
      </c>
      <c r="S934" s="2">
        <v>0.53705</v>
      </c>
      <c r="T934" s="2">
        <v>0.68185</v>
      </c>
    </row>
    <row r="935" spans="12:20" ht="12.75">
      <c r="L935" s="2">
        <v>133.4</v>
      </c>
      <c r="M935" s="2">
        <v>0.5631</v>
      </c>
      <c r="N935" s="2">
        <v>0.7846</v>
      </c>
      <c r="O935" s="2">
        <v>0.5109</v>
      </c>
      <c r="P935" s="157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</row>
    <row r="936" spans="12:20" ht="12.75">
      <c r="L936" s="2">
        <v>133.5</v>
      </c>
      <c r="M936" s="2">
        <v>0.563</v>
      </c>
      <c r="N936" s="2">
        <v>0.7845</v>
      </c>
      <c r="O936" s="2">
        <v>0.5108</v>
      </c>
      <c r="P936" s="157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</row>
    <row r="937" spans="12:20" ht="12.75">
      <c r="L937" s="2">
        <v>133.6</v>
      </c>
      <c r="M937" s="2">
        <v>0.5629</v>
      </c>
      <c r="N937" s="2">
        <v>0.7844</v>
      </c>
      <c r="O937" s="2">
        <v>0.5107</v>
      </c>
      <c r="P937" s="157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</row>
    <row r="938" spans="12:20" ht="12.75">
      <c r="L938" s="2">
        <v>133.7</v>
      </c>
      <c r="M938" s="2">
        <v>0.5629</v>
      </c>
      <c r="N938" s="2">
        <v>0.7843</v>
      </c>
      <c r="O938" s="2">
        <v>0.5106</v>
      </c>
      <c r="P938" s="157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</row>
    <row r="939" spans="12:20" ht="12.75">
      <c r="L939" s="2">
        <v>133.8</v>
      </c>
      <c r="M939" s="2">
        <v>0.5628</v>
      </c>
      <c r="N939" s="2">
        <v>0.7842</v>
      </c>
      <c r="O939" s="2">
        <v>0.5104</v>
      </c>
      <c r="P939" s="157">
        <v>0.5384</v>
      </c>
      <c r="Q939" s="2">
        <v>0.5628</v>
      </c>
      <c r="R939" s="2">
        <v>0.7842</v>
      </c>
      <c r="S939" s="2">
        <v>0.5366</v>
      </c>
      <c r="T939" s="2">
        <v>0.6613</v>
      </c>
    </row>
    <row r="940" spans="12:20" ht="12.75">
      <c r="L940" s="2">
        <v>133.9</v>
      </c>
      <c r="M940" s="2">
        <v>0.5627</v>
      </c>
      <c r="N940" s="2">
        <v>0.7841</v>
      </c>
      <c r="O940" s="2">
        <v>0.5115</v>
      </c>
      <c r="P940" s="157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</row>
    <row r="941" spans="12:20" ht="12.75">
      <c r="L941" s="2">
        <v>134</v>
      </c>
      <c r="M941" s="2">
        <v>0.5627</v>
      </c>
      <c r="N941" s="2">
        <v>0.784</v>
      </c>
      <c r="O941" s="2">
        <v>0.5102</v>
      </c>
      <c r="P941" s="157">
        <v>0.5381</v>
      </c>
      <c r="Q941" s="2">
        <v>0.5627</v>
      </c>
      <c r="R941" s="2">
        <v>0.784</v>
      </c>
      <c r="S941" s="2">
        <v>0.53645</v>
      </c>
      <c r="T941" s="2">
        <v>0.66105</v>
      </c>
    </row>
    <row r="942" spans="12:20" ht="12.75">
      <c r="L942" s="2">
        <v>134.1</v>
      </c>
      <c r="M942" s="2">
        <v>0.5626</v>
      </c>
      <c r="N942" s="2">
        <v>0.7838</v>
      </c>
      <c r="O942" s="2">
        <v>0.5101</v>
      </c>
      <c r="P942" s="157">
        <v>0.538</v>
      </c>
      <c r="Q942" s="2">
        <v>0.5626</v>
      </c>
      <c r="R942" s="2">
        <v>0.7838</v>
      </c>
      <c r="S942" s="2">
        <v>0.53635</v>
      </c>
      <c r="T942" s="2">
        <v>0.6609</v>
      </c>
    </row>
    <row r="943" spans="12:20" ht="12.75">
      <c r="L943" s="2">
        <v>134.2</v>
      </c>
      <c r="M943" s="2">
        <v>0.5625</v>
      </c>
      <c r="N943" s="2">
        <v>0.7837</v>
      </c>
      <c r="O943" s="2">
        <v>0.51</v>
      </c>
      <c r="P943" s="157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</row>
    <row r="944" spans="12:20" ht="12.75">
      <c r="L944" s="2">
        <v>134.3</v>
      </c>
      <c r="M944" s="2">
        <v>0.5624</v>
      </c>
      <c r="N944" s="2">
        <v>0.7836</v>
      </c>
      <c r="O944" s="2">
        <v>0.5098</v>
      </c>
      <c r="P944" s="157">
        <v>0.5378</v>
      </c>
      <c r="Q944" s="2">
        <v>0.5624</v>
      </c>
      <c r="R944" s="2">
        <v>0.7836</v>
      </c>
      <c r="S944" s="2">
        <v>0.5361</v>
      </c>
      <c r="T944" s="2">
        <v>0.6607</v>
      </c>
    </row>
    <row r="945" spans="12:20" ht="12.75">
      <c r="L945" s="2">
        <v>134.4</v>
      </c>
      <c r="M945" s="2">
        <v>0.5624</v>
      </c>
      <c r="N945" s="2">
        <v>0.7835</v>
      </c>
      <c r="O945" s="2">
        <v>0.5097</v>
      </c>
      <c r="P945" s="157">
        <v>0.5376</v>
      </c>
      <c r="Q945" s="2">
        <v>0.5624</v>
      </c>
      <c r="R945" s="2">
        <v>0.7835</v>
      </c>
      <c r="S945" s="2">
        <v>0.53605</v>
      </c>
      <c r="T945" s="2">
        <v>0.66055</v>
      </c>
    </row>
    <row r="946" spans="12:20" ht="12.75">
      <c r="L946" s="2">
        <v>134.5</v>
      </c>
      <c r="M946" s="2">
        <v>0.5623</v>
      </c>
      <c r="N946" s="2">
        <v>0.7834</v>
      </c>
      <c r="O946" s="2">
        <v>0.5096</v>
      </c>
      <c r="P946" s="157">
        <v>0.5375</v>
      </c>
      <c r="Q946" s="2">
        <v>0.5623</v>
      </c>
      <c r="R946" s="2">
        <v>0.7834</v>
      </c>
      <c r="S946" s="2">
        <v>0.53595</v>
      </c>
      <c r="T946" s="2">
        <v>0.66045</v>
      </c>
    </row>
    <row r="947" spans="12:20" ht="12.75">
      <c r="L947" s="2">
        <v>134.6</v>
      </c>
      <c r="M947" s="2">
        <v>0.5622</v>
      </c>
      <c r="N947" s="2">
        <v>0.7833</v>
      </c>
      <c r="O947" s="2">
        <v>0.5095</v>
      </c>
      <c r="P947" s="157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</row>
    <row r="948" spans="12:20" ht="12.75">
      <c r="L948" s="2">
        <v>134.7</v>
      </c>
      <c r="M948" s="2">
        <v>0.5622</v>
      </c>
      <c r="N948" s="2">
        <v>0.7832</v>
      </c>
      <c r="O948" s="2">
        <v>0.5094</v>
      </c>
      <c r="P948" s="157">
        <v>0.5373</v>
      </c>
      <c r="Q948" s="2">
        <v>0.5622</v>
      </c>
      <c r="R948" s="2">
        <v>0.7832</v>
      </c>
      <c r="S948" s="2">
        <v>0.5358</v>
      </c>
      <c r="T948" s="2">
        <v>0.66025</v>
      </c>
    </row>
    <row r="949" spans="12:20" ht="12.75">
      <c r="L949" s="2">
        <v>134.8</v>
      </c>
      <c r="M949" s="2">
        <v>0.5621</v>
      </c>
      <c r="N949" s="2">
        <v>0.7831</v>
      </c>
      <c r="O949" s="2">
        <v>0.5092</v>
      </c>
      <c r="P949" s="157">
        <v>0.5371</v>
      </c>
      <c r="Q949" s="2">
        <v>0.5621</v>
      </c>
      <c r="R949" s="2">
        <v>0.7831</v>
      </c>
      <c r="S949" s="2">
        <v>0.53565</v>
      </c>
      <c r="T949" s="2">
        <v>0.6601</v>
      </c>
    </row>
    <row r="950" spans="12:20" ht="12.75">
      <c r="L950" s="2">
        <v>134.9</v>
      </c>
      <c r="M950" s="2">
        <v>0.562</v>
      </c>
      <c r="N950" s="2">
        <v>0.783</v>
      </c>
      <c r="O950" s="2">
        <v>0.5103</v>
      </c>
      <c r="P950" s="157">
        <v>0.537</v>
      </c>
      <c r="Q950" s="2">
        <v>0.562</v>
      </c>
      <c r="R950" s="2">
        <v>0.783</v>
      </c>
      <c r="S950" s="2">
        <v>0.53615</v>
      </c>
      <c r="T950" s="2">
        <v>0.66</v>
      </c>
    </row>
    <row r="951" spans="12:20" ht="12.75">
      <c r="L951" s="2">
        <v>135</v>
      </c>
      <c r="M951" s="2">
        <v>0.562</v>
      </c>
      <c r="N951" s="2">
        <v>0.7829</v>
      </c>
      <c r="O951" s="2">
        <v>0.509</v>
      </c>
      <c r="P951" s="157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</row>
    <row r="952" spans="12:20" ht="12.75">
      <c r="L952" s="2">
        <v>135.1</v>
      </c>
      <c r="M952" s="2">
        <v>0.5619</v>
      </c>
      <c r="N952" s="2">
        <v>0.7828</v>
      </c>
      <c r="O952" s="2">
        <v>0.5089</v>
      </c>
      <c r="P952" s="157">
        <v>0.5368</v>
      </c>
      <c r="Q952" s="2">
        <v>0.5619</v>
      </c>
      <c r="R952" s="2">
        <v>0.7828</v>
      </c>
      <c r="S952" s="2">
        <v>0.5354</v>
      </c>
      <c r="T952" s="2">
        <v>0.6598</v>
      </c>
    </row>
    <row r="953" spans="12:20" ht="12.75">
      <c r="L953" s="2">
        <v>135.2</v>
      </c>
      <c r="M953" s="2">
        <v>0.5618</v>
      </c>
      <c r="N953" s="2">
        <v>0.7827</v>
      </c>
      <c r="O953" s="2">
        <v>0.5088</v>
      </c>
      <c r="P953" s="157">
        <v>0.5366</v>
      </c>
      <c r="Q953" s="2">
        <v>0.5618</v>
      </c>
      <c r="R953" s="2">
        <v>0.7827</v>
      </c>
      <c r="S953" s="2">
        <v>0.5353</v>
      </c>
      <c r="T953" s="2">
        <v>0.65965</v>
      </c>
    </row>
    <row r="954" spans="12:20" ht="12.75">
      <c r="L954" s="2">
        <v>135.3</v>
      </c>
      <c r="M954" s="2">
        <v>0.5618</v>
      </c>
      <c r="N954" s="2">
        <v>0.7825</v>
      </c>
      <c r="O954" s="2">
        <v>0.5086</v>
      </c>
      <c r="P954" s="157">
        <v>0.5365</v>
      </c>
      <c r="Q954" s="2">
        <v>0.5618</v>
      </c>
      <c r="R954" s="2">
        <v>0.7825</v>
      </c>
      <c r="S954" s="2">
        <v>0.5352</v>
      </c>
      <c r="T954" s="2">
        <v>0.6595</v>
      </c>
    </row>
    <row r="955" spans="12:20" ht="12.75">
      <c r="L955" s="2">
        <v>135.4</v>
      </c>
      <c r="M955" s="2">
        <v>0.5617</v>
      </c>
      <c r="N955" s="2">
        <v>0.7824</v>
      </c>
      <c r="O955" s="2">
        <v>0.5085</v>
      </c>
      <c r="P955" s="157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</row>
    <row r="956" spans="12:20" ht="12.75">
      <c r="L956" s="2">
        <v>135.5</v>
      </c>
      <c r="M956" s="2">
        <v>0.5616</v>
      </c>
      <c r="N956" s="2">
        <v>0.7823</v>
      </c>
      <c r="O956" s="2">
        <v>0.5084</v>
      </c>
      <c r="P956" s="157">
        <v>0.5363</v>
      </c>
      <c r="Q956" s="2">
        <v>0.5616</v>
      </c>
      <c r="R956" s="2">
        <v>0.7823</v>
      </c>
      <c r="S956" s="2">
        <v>0.535</v>
      </c>
      <c r="T956" s="2">
        <v>0.6593</v>
      </c>
    </row>
    <row r="957" spans="12:20" ht="12.75">
      <c r="L957" s="2">
        <v>135.6</v>
      </c>
      <c r="M957" s="2">
        <v>0.5616</v>
      </c>
      <c r="N957" s="2">
        <v>0.7822</v>
      </c>
      <c r="O957" s="2">
        <v>0.5083</v>
      </c>
      <c r="P957" s="157">
        <v>0.5361</v>
      </c>
      <c r="Q957" s="2">
        <v>0.5616</v>
      </c>
      <c r="R957" s="2">
        <v>0.7822</v>
      </c>
      <c r="S957" s="2">
        <v>0.53495</v>
      </c>
      <c r="T957" s="2">
        <v>0.65915</v>
      </c>
    </row>
    <row r="958" spans="12:20" ht="12.75">
      <c r="L958" s="2">
        <v>135.7</v>
      </c>
      <c r="M958" s="2">
        <v>0.5615</v>
      </c>
      <c r="N958" s="2">
        <v>0.7821</v>
      </c>
      <c r="O958" s="2">
        <v>0.5082</v>
      </c>
      <c r="P958" s="157">
        <v>0.536</v>
      </c>
      <c r="Q958" s="2">
        <v>0.5615</v>
      </c>
      <c r="R958" s="2">
        <v>0.7821</v>
      </c>
      <c r="S958" s="2">
        <v>0.53485</v>
      </c>
      <c r="T958" s="2">
        <v>0.65905</v>
      </c>
    </row>
    <row r="959" spans="12:20" ht="12.75">
      <c r="L959" s="2">
        <v>135.8</v>
      </c>
      <c r="M959" s="2">
        <v>0.5614</v>
      </c>
      <c r="N959" s="2">
        <v>0.782</v>
      </c>
      <c r="O959" s="2">
        <v>0.508</v>
      </c>
      <c r="P959" s="157">
        <v>0.5359</v>
      </c>
      <c r="Q959" s="2">
        <v>0.5614</v>
      </c>
      <c r="R959" s="2">
        <v>0.782</v>
      </c>
      <c r="S959" s="2">
        <v>0.5347</v>
      </c>
      <c r="T959" s="2">
        <v>0.65895</v>
      </c>
    </row>
    <row r="960" spans="12:20" ht="12.75">
      <c r="L960" s="2">
        <v>135.9</v>
      </c>
      <c r="M960" s="2">
        <v>0.5614</v>
      </c>
      <c r="N960" s="2">
        <v>0.7819</v>
      </c>
      <c r="O960" s="2">
        <v>0.5091</v>
      </c>
      <c r="P960" s="157">
        <v>0.5358</v>
      </c>
      <c r="Q960" s="2">
        <v>0.5614</v>
      </c>
      <c r="R960" s="2">
        <v>0.7819</v>
      </c>
      <c r="S960" s="2">
        <v>0.53525</v>
      </c>
      <c r="T960" s="2">
        <v>0.65885</v>
      </c>
    </row>
    <row r="961" spans="12:20" ht="12.75">
      <c r="L961" s="2">
        <v>136</v>
      </c>
      <c r="M961" s="2">
        <v>0.5613</v>
      </c>
      <c r="N961" s="2">
        <v>0.7818</v>
      </c>
      <c r="O961" s="2">
        <v>0.5078</v>
      </c>
      <c r="P961" s="157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</row>
    <row r="962" spans="12:20" ht="12.75">
      <c r="L962" s="2">
        <v>136.1</v>
      </c>
      <c r="M962" s="2">
        <v>0.5612</v>
      </c>
      <c r="N962" s="2">
        <v>0.7817</v>
      </c>
      <c r="O962" s="2">
        <v>0.5077</v>
      </c>
      <c r="P962" s="157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</row>
    <row r="963" spans="12:20" ht="12.75">
      <c r="L963" s="2">
        <v>136.2</v>
      </c>
      <c r="M963" s="2">
        <v>0.5612</v>
      </c>
      <c r="N963" s="2">
        <v>0.7816</v>
      </c>
      <c r="O963" s="2">
        <v>0.5076</v>
      </c>
      <c r="P963" s="157">
        <v>0.5354</v>
      </c>
      <c r="Q963" s="2">
        <v>0.5612</v>
      </c>
      <c r="R963" s="2">
        <v>0.7816</v>
      </c>
      <c r="S963" s="2">
        <v>0.5344</v>
      </c>
      <c r="T963" s="2">
        <v>0.6585</v>
      </c>
    </row>
    <row r="964" spans="12:20" ht="12.75">
      <c r="L964" s="2">
        <v>136.3</v>
      </c>
      <c r="M964" s="2">
        <v>0.5611</v>
      </c>
      <c r="N964" s="2">
        <v>0.7815</v>
      </c>
      <c r="O964" s="2">
        <v>0.5075</v>
      </c>
      <c r="P964" s="157">
        <v>0.5353</v>
      </c>
      <c r="Q964" s="2">
        <v>0.5611</v>
      </c>
      <c r="R964" s="2">
        <v>0.7815</v>
      </c>
      <c r="S964" s="2">
        <v>0.5343</v>
      </c>
      <c r="T964" s="2">
        <v>0.6584</v>
      </c>
    </row>
    <row r="965" spans="12:20" ht="12.75">
      <c r="L965" s="2">
        <v>136.4</v>
      </c>
      <c r="M965" s="2">
        <v>0.561</v>
      </c>
      <c r="N965" s="2">
        <v>0.7814</v>
      </c>
      <c r="O965" s="2">
        <v>0.5073</v>
      </c>
      <c r="P965" s="157">
        <v>0.5352</v>
      </c>
      <c r="Q965" s="2">
        <v>0.561</v>
      </c>
      <c r="R965" s="2">
        <v>0.7814</v>
      </c>
      <c r="S965" s="2">
        <v>0.53415</v>
      </c>
      <c r="T965" s="2">
        <v>0.6583</v>
      </c>
    </row>
    <row r="966" spans="12:20" ht="12.75">
      <c r="L966" s="2">
        <v>136.5</v>
      </c>
      <c r="M966" s="2">
        <v>0.561</v>
      </c>
      <c r="N966" s="2">
        <v>0.7813</v>
      </c>
      <c r="O966" s="2">
        <v>0.5072</v>
      </c>
      <c r="P966" s="157">
        <v>0.535</v>
      </c>
      <c r="Q966" s="2">
        <v>0.561</v>
      </c>
      <c r="R966" s="2">
        <v>0.7813</v>
      </c>
      <c r="S966" s="2">
        <v>0.5341</v>
      </c>
      <c r="T966" s="2">
        <v>0.65815</v>
      </c>
    </row>
    <row r="967" spans="12:20" ht="12.75">
      <c r="L967" s="2">
        <v>136.6</v>
      </c>
      <c r="M967" s="2">
        <v>0.5609</v>
      </c>
      <c r="N967" s="2">
        <v>0.7812</v>
      </c>
      <c r="O967" s="2">
        <v>0.5071</v>
      </c>
      <c r="P967" s="157">
        <v>0.5349</v>
      </c>
      <c r="Q967" s="2">
        <v>0.5609</v>
      </c>
      <c r="R967" s="2">
        <v>0.7812</v>
      </c>
      <c r="S967" s="2">
        <v>0.534</v>
      </c>
      <c r="T967" s="2">
        <v>0.65805</v>
      </c>
    </row>
    <row r="968" spans="12:20" ht="12.75">
      <c r="L968" s="2">
        <v>136.7</v>
      </c>
      <c r="M968" s="2">
        <v>0.5609</v>
      </c>
      <c r="N968" s="2">
        <v>0.7811</v>
      </c>
      <c r="O968" s="2">
        <v>0.507</v>
      </c>
      <c r="P968" s="157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</row>
    <row r="969" spans="12:20" ht="12.75">
      <c r="L969" s="2">
        <v>136.8</v>
      </c>
      <c r="M969" s="2">
        <v>0.5608</v>
      </c>
      <c r="N969" s="2">
        <v>0.7809</v>
      </c>
      <c r="O969" s="2">
        <v>0.5069</v>
      </c>
      <c r="P969" s="157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</row>
    <row r="970" spans="12:20" ht="12.75">
      <c r="L970" s="2">
        <v>136.9</v>
      </c>
      <c r="M970" s="2">
        <v>0.5607</v>
      </c>
      <c r="N970" s="2">
        <v>0.7808</v>
      </c>
      <c r="O970" s="2">
        <v>0.5079</v>
      </c>
      <c r="P970" s="157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</row>
    <row r="971" spans="12:20" ht="12.75">
      <c r="L971" s="2">
        <v>137</v>
      </c>
      <c r="M971" s="2">
        <v>0.5607</v>
      </c>
      <c r="N971" s="2">
        <v>0.7807</v>
      </c>
      <c r="O971" s="2">
        <v>0.5067</v>
      </c>
      <c r="P971" s="157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</row>
    <row r="972" spans="12:20" ht="12.75">
      <c r="L972" s="2">
        <v>137.1</v>
      </c>
      <c r="M972" s="2">
        <v>0.5606</v>
      </c>
      <c r="N972" s="2">
        <v>0.7806</v>
      </c>
      <c r="O972" s="2">
        <v>0.5066</v>
      </c>
      <c r="P972" s="157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</row>
    <row r="973" spans="12:20" ht="12.75">
      <c r="L973" s="2">
        <v>137.2</v>
      </c>
      <c r="M973" s="2">
        <v>0.5605</v>
      </c>
      <c r="N973" s="2">
        <v>0.7805</v>
      </c>
      <c r="O973" s="2">
        <v>0.5065</v>
      </c>
      <c r="P973" s="157">
        <v>0.5342</v>
      </c>
      <c r="Q973" s="2">
        <v>0.5605</v>
      </c>
      <c r="R973" s="2">
        <v>0.7805</v>
      </c>
      <c r="S973" s="2">
        <v>0.5335</v>
      </c>
      <c r="T973" s="2">
        <v>0.65735</v>
      </c>
    </row>
    <row r="974" spans="12:20" ht="12.75">
      <c r="L974" s="2">
        <v>137.3</v>
      </c>
      <c r="M974" s="2">
        <v>0.5605</v>
      </c>
      <c r="N974" s="2">
        <v>0.7804</v>
      </c>
      <c r="O974" s="2">
        <v>0.5064</v>
      </c>
      <c r="P974" s="157">
        <v>0.5341</v>
      </c>
      <c r="Q974" s="2">
        <v>0.5605</v>
      </c>
      <c r="R974" s="2">
        <v>0.7804</v>
      </c>
      <c r="S974" s="2">
        <v>0.53345</v>
      </c>
      <c r="T974" s="2">
        <v>0.65725</v>
      </c>
    </row>
    <row r="975" spans="12:20" ht="12.75">
      <c r="L975" s="2">
        <v>137.4</v>
      </c>
      <c r="M975" s="2">
        <v>0.5604</v>
      </c>
      <c r="N975" s="2">
        <v>0.7803</v>
      </c>
      <c r="O975" s="2">
        <v>0.5062</v>
      </c>
      <c r="P975" s="157">
        <v>0.5339</v>
      </c>
      <c r="Q975" s="2">
        <v>0.5604</v>
      </c>
      <c r="R975" s="2">
        <v>0.7803</v>
      </c>
      <c r="S975" s="2">
        <v>0.5333</v>
      </c>
      <c r="T975" s="2">
        <v>0.6571</v>
      </c>
    </row>
    <row r="976" spans="12:20" ht="12.75">
      <c r="L976" s="2">
        <v>137.5</v>
      </c>
      <c r="M976" s="2">
        <v>0.5603</v>
      </c>
      <c r="N976" s="2">
        <v>0.7802</v>
      </c>
      <c r="O976" s="2">
        <v>0.5061</v>
      </c>
      <c r="P976" s="157">
        <v>0.5338</v>
      </c>
      <c r="Q976" s="2">
        <v>0.5603</v>
      </c>
      <c r="R976" s="2">
        <v>0.7802</v>
      </c>
      <c r="S976" s="2">
        <v>0.5332</v>
      </c>
      <c r="T976" s="2">
        <v>0.657</v>
      </c>
    </row>
    <row r="977" spans="12:20" ht="12.75">
      <c r="L977" s="2">
        <v>137.6</v>
      </c>
      <c r="M977" s="2">
        <v>0.5603</v>
      </c>
      <c r="N977" s="2">
        <v>0.7801</v>
      </c>
      <c r="O977" s="2">
        <v>0.506</v>
      </c>
      <c r="P977" s="157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</row>
    <row r="978" spans="12:20" ht="12.75">
      <c r="L978" s="2">
        <v>137.7</v>
      </c>
      <c r="M978" s="2">
        <v>0.5602</v>
      </c>
      <c r="N978" s="2">
        <v>0.78</v>
      </c>
      <c r="O978" s="2">
        <v>0.5059</v>
      </c>
      <c r="P978" s="157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</row>
    <row r="979" spans="12:20" ht="12.75">
      <c r="L979" s="2">
        <v>137.8</v>
      </c>
      <c r="M979" s="2">
        <v>0.5602</v>
      </c>
      <c r="N979" s="2">
        <v>0.7799</v>
      </c>
      <c r="O979" s="2">
        <v>0.5058</v>
      </c>
      <c r="P979" s="157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</row>
    <row r="980" spans="12:20" ht="12.75">
      <c r="L980" s="2">
        <v>137.9</v>
      </c>
      <c r="M980" s="2">
        <v>0.5601</v>
      </c>
      <c r="N980" s="2">
        <v>0.7798</v>
      </c>
      <c r="O980" s="2">
        <v>0.5068</v>
      </c>
      <c r="P980" s="157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</row>
    <row r="981" spans="12:20" ht="12.75">
      <c r="L981" s="2">
        <v>138</v>
      </c>
      <c r="M981" s="2">
        <v>0.56</v>
      </c>
      <c r="N981" s="2">
        <v>0.7797</v>
      </c>
      <c r="O981" s="2">
        <v>0.5056</v>
      </c>
      <c r="P981" s="157">
        <v>0.5332</v>
      </c>
      <c r="Q981" s="2">
        <v>0.56</v>
      </c>
      <c r="R981" s="2">
        <v>0.7797</v>
      </c>
      <c r="S981" s="2">
        <v>0.5328</v>
      </c>
      <c r="T981" s="2">
        <v>0.65645</v>
      </c>
    </row>
    <row r="982" spans="12:20" ht="12.75">
      <c r="L982" s="2">
        <v>138.1</v>
      </c>
      <c r="M982" s="2">
        <v>0.56</v>
      </c>
      <c r="N982" s="2">
        <v>0.7796</v>
      </c>
      <c r="O982" s="2">
        <v>0.5055</v>
      </c>
      <c r="P982" s="157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</row>
    <row r="983" spans="12:20" ht="12.75">
      <c r="L983" s="2">
        <v>138.2</v>
      </c>
      <c r="M983" s="2">
        <v>0.5599</v>
      </c>
      <c r="N983" s="2">
        <v>0.7795</v>
      </c>
      <c r="O983" s="2">
        <v>0.5054</v>
      </c>
      <c r="P983" s="157">
        <v>0.533</v>
      </c>
      <c r="Q983" s="2">
        <v>0.5599</v>
      </c>
      <c r="R983" s="2">
        <v>0.7795</v>
      </c>
      <c r="S983" s="2">
        <v>0.53265</v>
      </c>
      <c r="T983" s="2">
        <v>0.65625</v>
      </c>
    </row>
    <row r="984" spans="12:20" ht="12.75">
      <c r="L984" s="2">
        <v>138.3</v>
      </c>
      <c r="M984" s="2">
        <v>0.5598</v>
      </c>
      <c r="N984" s="2">
        <v>0.7794</v>
      </c>
      <c r="O984" s="2">
        <v>0.5053</v>
      </c>
      <c r="P984" s="157">
        <v>0.5328</v>
      </c>
      <c r="Q984" s="2">
        <v>0.5598</v>
      </c>
      <c r="R984" s="2">
        <v>0.7794</v>
      </c>
      <c r="S984" s="2">
        <v>0.53255</v>
      </c>
      <c r="T984" s="2">
        <v>0.6561</v>
      </c>
    </row>
    <row r="985" spans="12:20" ht="12.75">
      <c r="L985" s="2">
        <v>138.4</v>
      </c>
      <c r="M985" s="2">
        <v>0.5598</v>
      </c>
      <c r="N985" s="2">
        <v>0.7793</v>
      </c>
      <c r="O985" s="2">
        <v>0.5051</v>
      </c>
      <c r="P985" s="157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</row>
    <row r="986" spans="12:20" ht="12.75">
      <c r="L986" s="2">
        <v>138.5</v>
      </c>
      <c r="M986" s="2">
        <v>0.5597</v>
      </c>
      <c r="N986" s="2">
        <v>0.7792</v>
      </c>
      <c r="O986" s="2">
        <v>0.505</v>
      </c>
      <c r="P986" s="157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</row>
    <row r="987" spans="12:20" ht="12.75">
      <c r="L987" s="2">
        <v>138.6</v>
      </c>
      <c r="M987" s="2">
        <v>0.5597</v>
      </c>
      <c r="N987" s="2">
        <v>0.7791</v>
      </c>
      <c r="O987" s="2">
        <v>0.5049</v>
      </c>
      <c r="P987" s="157">
        <v>0.5325</v>
      </c>
      <c r="Q987" s="2">
        <v>0.5597</v>
      </c>
      <c r="R987" s="2">
        <v>0.7791</v>
      </c>
      <c r="S987" s="2">
        <v>0.5323</v>
      </c>
      <c r="T987" s="2">
        <v>0.6558</v>
      </c>
    </row>
    <row r="988" spans="12:20" ht="12.75">
      <c r="L988" s="2">
        <v>138.7</v>
      </c>
      <c r="M988" s="2">
        <v>0.5596</v>
      </c>
      <c r="N988" s="2">
        <v>0.779</v>
      </c>
      <c r="O988" s="2">
        <v>0.5048</v>
      </c>
      <c r="P988" s="157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</row>
    <row r="989" spans="12:20" ht="12.75">
      <c r="L989" s="2">
        <v>138.8</v>
      </c>
      <c r="M989" s="2">
        <v>0.5595</v>
      </c>
      <c r="N989" s="2">
        <v>0.7789</v>
      </c>
      <c r="O989" s="2">
        <v>0.5047</v>
      </c>
      <c r="P989" s="157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</row>
    <row r="990" spans="12:20" ht="12.75">
      <c r="L990" s="2">
        <v>138.9</v>
      </c>
      <c r="M990" s="2">
        <v>0.5595</v>
      </c>
      <c r="N990" s="2">
        <v>0.7787</v>
      </c>
      <c r="O990" s="2">
        <v>0.5057</v>
      </c>
      <c r="P990" s="157">
        <v>0.5321</v>
      </c>
      <c r="Q990" s="2">
        <v>0.5595</v>
      </c>
      <c r="R990" s="2">
        <v>0.7787</v>
      </c>
      <c r="S990" s="2">
        <v>0.5326</v>
      </c>
      <c r="T990" s="2">
        <v>0.6554</v>
      </c>
    </row>
    <row r="991" spans="12:20" ht="12.75">
      <c r="L991" s="2">
        <v>139</v>
      </c>
      <c r="M991" s="2">
        <v>0.5594</v>
      </c>
      <c r="N991" s="2">
        <v>0.7786</v>
      </c>
      <c r="O991" s="2">
        <v>0.5045</v>
      </c>
      <c r="P991" s="157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</row>
    <row r="992" spans="12:20" ht="12.75">
      <c r="L992" s="2">
        <v>139.1</v>
      </c>
      <c r="M992" s="2">
        <v>0.5593</v>
      </c>
      <c r="N992" s="2">
        <v>0.7785</v>
      </c>
      <c r="O992" s="2">
        <v>0.5044</v>
      </c>
      <c r="P992" s="157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</row>
    <row r="993" spans="12:20" ht="12.75">
      <c r="L993" s="2">
        <v>139.2</v>
      </c>
      <c r="M993" s="2">
        <v>0.5593</v>
      </c>
      <c r="N993" s="2">
        <v>0.7784</v>
      </c>
      <c r="O993" s="2">
        <v>0.5043</v>
      </c>
      <c r="P993" s="157">
        <v>0.5318</v>
      </c>
      <c r="Q993" s="2">
        <v>0.5593</v>
      </c>
      <c r="R993" s="2">
        <v>0.7784</v>
      </c>
      <c r="S993" s="2">
        <v>0.5318</v>
      </c>
      <c r="T993" s="2">
        <v>0.6551</v>
      </c>
    </row>
    <row r="994" spans="12:20" ht="12.75">
      <c r="L994" s="2">
        <v>139.3</v>
      </c>
      <c r="M994" s="2">
        <v>0.5592</v>
      </c>
      <c r="N994" s="2">
        <v>0.7783</v>
      </c>
      <c r="O994" s="2">
        <v>0.5042</v>
      </c>
      <c r="P994" s="157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</row>
    <row r="995" spans="12:20" ht="12.75">
      <c r="L995" s="2">
        <v>139.4</v>
      </c>
      <c r="M995" s="2">
        <v>0.5592</v>
      </c>
      <c r="N995" s="2">
        <v>0.7782</v>
      </c>
      <c r="O995" s="2">
        <v>0.504</v>
      </c>
      <c r="P995" s="157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</row>
    <row r="996" spans="12:20" ht="12.75">
      <c r="L996" s="2">
        <v>139.5</v>
      </c>
      <c r="M996" s="2">
        <v>0.5591</v>
      </c>
      <c r="N996" s="2">
        <v>0.7781</v>
      </c>
      <c r="O996" s="2">
        <v>0.5039</v>
      </c>
      <c r="P996" s="157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</row>
    <row r="997" spans="12:20" ht="12.75">
      <c r="L997" s="2">
        <v>139.6</v>
      </c>
      <c r="M997" s="2">
        <v>0.559</v>
      </c>
      <c r="N997" s="2">
        <v>0.778</v>
      </c>
      <c r="O997" s="2">
        <v>0.5038</v>
      </c>
      <c r="P997" s="157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</row>
    <row r="998" spans="12:20" ht="12.75">
      <c r="L998" s="2">
        <v>139.7</v>
      </c>
      <c r="M998" s="2">
        <v>0.559</v>
      </c>
      <c r="N998" s="2">
        <v>0.7779</v>
      </c>
      <c r="O998" s="2">
        <v>0.5037</v>
      </c>
      <c r="P998" s="157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</row>
    <row r="999" spans="12:20" ht="12.75">
      <c r="L999" s="2">
        <v>139.8</v>
      </c>
      <c r="M999" s="2">
        <v>0.5589</v>
      </c>
      <c r="N999" s="2">
        <v>0.7778</v>
      </c>
      <c r="O999" s="2">
        <v>0.5036</v>
      </c>
      <c r="P999" s="157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</row>
    <row r="1000" spans="12:20" ht="12.75">
      <c r="L1000" s="2">
        <v>139.9</v>
      </c>
      <c r="M1000" s="2">
        <v>0.5589</v>
      </c>
      <c r="N1000" s="2">
        <v>0.7777</v>
      </c>
      <c r="O1000" s="2">
        <v>0.5046</v>
      </c>
      <c r="P1000" s="157">
        <v>0.5309</v>
      </c>
      <c r="Q1000" s="2">
        <v>0.5589</v>
      </c>
      <c r="R1000" s="2">
        <v>0.7777</v>
      </c>
      <c r="S1000" s="2">
        <v>0.53175</v>
      </c>
      <c r="T1000" s="2">
        <v>0.6543</v>
      </c>
    </row>
    <row r="1001" spans="12:20" ht="12.75">
      <c r="L1001" s="2">
        <v>140</v>
      </c>
      <c r="M1001" s="2">
        <v>0.5588</v>
      </c>
      <c r="N1001" s="2">
        <v>0.7776</v>
      </c>
      <c r="O1001" s="2">
        <v>0.5034</v>
      </c>
      <c r="P1001" s="157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</row>
    <row r="1002" spans="12:20" ht="12.75">
      <c r="L1002" s="2">
        <v>140.1</v>
      </c>
      <c r="M1002" s="2">
        <v>0.5587</v>
      </c>
      <c r="N1002" s="2">
        <v>0.7775</v>
      </c>
      <c r="O1002" s="2">
        <v>0.5033</v>
      </c>
      <c r="P1002" s="157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</row>
    <row r="1003" spans="12:20" ht="12.75">
      <c r="L1003" s="2">
        <v>140.2</v>
      </c>
      <c r="M1003" s="2">
        <v>0.5587</v>
      </c>
      <c r="N1003" s="2">
        <v>0.7774</v>
      </c>
      <c r="O1003" s="2">
        <v>0.5032</v>
      </c>
      <c r="P1003" s="157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</row>
    <row r="1004" spans="12:20" ht="12.75">
      <c r="L1004" s="2">
        <v>140.3</v>
      </c>
      <c r="M1004" s="2">
        <v>0.5586</v>
      </c>
      <c r="N1004" s="2">
        <v>0.7773</v>
      </c>
      <c r="O1004" s="2">
        <v>0.5031</v>
      </c>
      <c r="P1004" s="157">
        <v>0.53056</v>
      </c>
      <c r="Q1004" s="2">
        <v>0.5586</v>
      </c>
      <c r="R1004" s="2">
        <v>0.7773</v>
      </c>
      <c r="S1004" s="2">
        <v>0.53085</v>
      </c>
      <c r="T1004" s="2">
        <v>0.65393</v>
      </c>
    </row>
    <row r="1005" spans="12:20" ht="12.75">
      <c r="L1005" s="2">
        <v>140.4</v>
      </c>
      <c r="M1005" s="2">
        <v>0.5586</v>
      </c>
      <c r="N1005" s="2">
        <v>0.7772</v>
      </c>
      <c r="O1005" s="2">
        <v>0.5029</v>
      </c>
      <c r="P1005" s="157">
        <v>0.53046</v>
      </c>
      <c r="Q1005" s="2">
        <v>0.5586</v>
      </c>
      <c r="R1005" s="2">
        <v>0.7772</v>
      </c>
      <c r="S1005" s="2">
        <v>0.53075</v>
      </c>
      <c r="T1005" s="2">
        <v>0.65383</v>
      </c>
    </row>
    <row r="1006" spans="12:20" ht="12.75">
      <c r="L1006" s="2">
        <v>140.5</v>
      </c>
      <c r="M1006" s="2">
        <v>0.5585</v>
      </c>
      <c r="N1006" s="2">
        <v>0.7771</v>
      </c>
      <c r="O1006" s="2">
        <v>0.5028</v>
      </c>
      <c r="P1006" s="157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</row>
    <row r="1007" spans="12:20" ht="12.75">
      <c r="L1007" s="2">
        <v>140.6</v>
      </c>
      <c r="M1007" s="2">
        <v>0.5585</v>
      </c>
      <c r="N1007" s="2">
        <v>0.777</v>
      </c>
      <c r="O1007" s="2">
        <v>0.5027</v>
      </c>
      <c r="P1007" s="157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</row>
    <row r="1008" spans="12:20" ht="12.75">
      <c r="L1008" s="2">
        <v>140.7</v>
      </c>
      <c r="M1008" s="2">
        <v>0.5584</v>
      </c>
      <c r="N1008" s="2">
        <v>0.7769</v>
      </c>
      <c r="O1008" s="2">
        <v>0.5026</v>
      </c>
      <c r="P1008" s="157">
        <v>0.53012</v>
      </c>
      <c r="Q1008" s="2">
        <v>0.5584</v>
      </c>
      <c r="R1008" s="2">
        <v>0.7769</v>
      </c>
      <c r="S1008" s="2">
        <v>0.5305</v>
      </c>
      <c r="T1008" s="2">
        <v>0.65351</v>
      </c>
    </row>
    <row r="1009" spans="12:20" ht="12.75">
      <c r="L1009" s="2">
        <v>140.8</v>
      </c>
      <c r="M1009" s="2">
        <v>0.5583</v>
      </c>
      <c r="N1009" s="2">
        <v>0.7768</v>
      </c>
      <c r="O1009" s="2">
        <v>0.5025</v>
      </c>
      <c r="P1009" s="157">
        <v>0.53002</v>
      </c>
      <c r="Q1009" s="2">
        <v>0.5583</v>
      </c>
      <c r="R1009" s="2">
        <v>0.7768</v>
      </c>
      <c r="S1009" s="2">
        <v>0.5304</v>
      </c>
      <c r="T1009" s="2">
        <v>0.65341</v>
      </c>
    </row>
    <row r="1010" spans="12:20" ht="12.75">
      <c r="L1010" s="2">
        <v>140.9</v>
      </c>
      <c r="M1010" s="2">
        <v>0.5583</v>
      </c>
      <c r="N1010" s="2">
        <v>0.7767</v>
      </c>
      <c r="O1010" s="2">
        <v>0.5035</v>
      </c>
      <c r="P1010" s="157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</row>
    <row r="1011" spans="12:20" ht="12.75">
      <c r="L1011" s="2">
        <v>141</v>
      </c>
      <c r="M1011" s="2">
        <v>0.5582</v>
      </c>
      <c r="N1011" s="2">
        <v>0.7766</v>
      </c>
      <c r="O1011" s="2">
        <v>0.5023</v>
      </c>
      <c r="P1011" s="157">
        <v>0.5298</v>
      </c>
      <c r="Q1011" s="2">
        <v>0.5582</v>
      </c>
      <c r="R1011" s="2">
        <v>0.7766</v>
      </c>
      <c r="S1011" s="2">
        <v>0.53025</v>
      </c>
      <c r="T1011" s="2">
        <v>0.6532</v>
      </c>
    </row>
    <row r="1012" spans="12:20" ht="12.75">
      <c r="L1012" s="2">
        <v>141.1</v>
      </c>
      <c r="M1012" s="2">
        <v>0.5582</v>
      </c>
      <c r="N1012" s="2">
        <v>0.7765</v>
      </c>
      <c r="O1012" s="2">
        <v>0.5022</v>
      </c>
      <c r="P1012" s="157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</row>
    <row r="1013" spans="12:20" ht="12.75">
      <c r="L1013" s="2">
        <v>141.2</v>
      </c>
      <c r="M1013" s="2">
        <v>0.5581</v>
      </c>
      <c r="N1013" s="2">
        <v>0.7764</v>
      </c>
      <c r="O1013" s="2">
        <v>0.5021</v>
      </c>
      <c r="P1013" s="157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</row>
    <row r="1014" spans="12:20" ht="12.75">
      <c r="L1014" s="2">
        <v>141.3</v>
      </c>
      <c r="M1014" s="2">
        <v>0.558</v>
      </c>
      <c r="N1014" s="2">
        <v>0.7763</v>
      </c>
      <c r="O1014" s="2">
        <v>0.502</v>
      </c>
      <c r="P1014" s="157">
        <v>0.52946</v>
      </c>
      <c r="Q1014" s="2">
        <v>0.558</v>
      </c>
      <c r="R1014" s="2">
        <v>0.7763</v>
      </c>
      <c r="S1014" s="2">
        <v>0.53</v>
      </c>
      <c r="T1014" s="2">
        <v>0.65288</v>
      </c>
    </row>
    <row r="1015" spans="12:20" ht="12.75">
      <c r="L1015" s="2">
        <v>141.4</v>
      </c>
      <c r="M1015" s="2">
        <v>0.558</v>
      </c>
      <c r="N1015" s="2">
        <v>0.7762</v>
      </c>
      <c r="O1015" s="2">
        <v>0.5018</v>
      </c>
      <c r="P1015" s="157">
        <v>0.52936</v>
      </c>
      <c r="Q1015" s="2">
        <v>0.558</v>
      </c>
      <c r="R1015" s="2">
        <v>0.7762</v>
      </c>
      <c r="S1015" s="2">
        <v>0.5299</v>
      </c>
      <c r="T1015" s="2">
        <v>0.65278</v>
      </c>
    </row>
    <row r="1016" spans="12:20" ht="12.75">
      <c r="L1016" s="2">
        <v>141.5</v>
      </c>
      <c r="M1016" s="2">
        <v>0.5579</v>
      </c>
      <c r="N1016" s="2">
        <v>0.7761</v>
      </c>
      <c r="O1016" s="2">
        <v>0.5017</v>
      </c>
      <c r="P1016" s="157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</row>
    <row r="1017" spans="12:20" ht="12.75">
      <c r="L1017" s="2">
        <v>141.6</v>
      </c>
      <c r="M1017" s="2">
        <v>0.5579</v>
      </c>
      <c r="N1017" s="2">
        <v>0.776</v>
      </c>
      <c r="O1017" s="2">
        <v>0.5016</v>
      </c>
      <c r="P1017" s="157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</row>
    <row r="1018" spans="12:20" ht="12.75">
      <c r="L1018" s="2">
        <v>141.7</v>
      </c>
      <c r="M1018" s="2">
        <v>0.5578</v>
      </c>
      <c r="N1018" s="2">
        <v>0.7759</v>
      </c>
      <c r="O1018" s="2">
        <v>0.5015</v>
      </c>
      <c r="P1018" s="157">
        <v>0.52902</v>
      </c>
      <c r="Q1018" s="2">
        <v>0.5578</v>
      </c>
      <c r="R1018" s="2">
        <v>0.7759</v>
      </c>
      <c r="S1018" s="2">
        <v>0.52965</v>
      </c>
      <c r="T1018" s="2">
        <v>0.65246</v>
      </c>
    </row>
    <row r="1019" spans="12:20" ht="12.75">
      <c r="L1019" s="2">
        <v>141.8</v>
      </c>
      <c r="M1019" s="2">
        <v>0.5578</v>
      </c>
      <c r="N1019" s="2">
        <v>0.7759</v>
      </c>
      <c r="O1019" s="2">
        <v>0.5014</v>
      </c>
      <c r="P1019" s="157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</row>
    <row r="1020" spans="12:20" ht="12.75">
      <c r="L1020" s="2">
        <v>141.9</v>
      </c>
      <c r="M1020" s="2">
        <v>0.5577</v>
      </c>
      <c r="N1020" s="2">
        <v>0.7758</v>
      </c>
      <c r="O1020" s="2">
        <v>0.5024</v>
      </c>
      <c r="P1020" s="157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</row>
    <row r="1021" spans="12:20" ht="12.75">
      <c r="L1021" s="2">
        <v>142</v>
      </c>
      <c r="M1021" s="2">
        <v>0.5576</v>
      </c>
      <c r="N1021" s="2">
        <v>0.7757</v>
      </c>
      <c r="O1021" s="2">
        <v>0.5012</v>
      </c>
      <c r="P1021" s="157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</row>
    <row r="1022" spans="12:20" ht="12.75">
      <c r="L1022" s="2">
        <v>142.1</v>
      </c>
      <c r="M1022" s="2">
        <v>0.5576</v>
      </c>
      <c r="N1022" s="2">
        <v>0.7756</v>
      </c>
      <c r="O1022" s="2">
        <v>0.5011</v>
      </c>
      <c r="P1022" s="157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</row>
    <row r="1023" spans="12:20" ht="12.75">
      <c r="L1023" s="2">
        <v>142.2</v>
      </c>
      <c r="M1023" s="2">
        <v>0.5575</v>
      </c>
      <c r="N1023" s="2">
        <v>0.7755</v>
      </c>
      <c r="O1023" s="2">
        <v>0.5011</v>
      </c>
      <c r="P1023" s="157">
        <v>0.52848</v>
      </c>
      <c r="Q1023" s="2">
        <v>0.5575</v>
      </c>
      <c r="R1023" s="2">
        <v>0.7755</v>
      </c>
      <c r="S1023" s="2">
        <v>0.5293</v>
      </c>
      <c r="T1023" s="2">
        <v>0.65199</v>
      </c>
    </row>
    <row r="1024" spans="12:20" ht="12.75">
      <c r="L1024" s="2">
        <v>142.3</v>
      </c>
      <c r="M1024" s="2">
        <v>0.5575</v>
      </c>
      <c r="N1024" s="2">
        <v>0.7754</v>
      </c>
      <c r="O1024" s="2">
        <v>0.5009</v>
      </c>
      <c r="P1024" s="157">
        <v>0.52836</v>
      </c>
      <c r="Q1024" s="2">
        <v>0.5575</v>
      </c>
      <c r="R1024" s="2">
        <v>0.7754</v>
      </c>
      <c r="S1024" s="2">
        <v>0.5292</v>
      </c>
      <c r="T1024" s="2">
        <v>0.65188</v>
      </c>
    </row>
    <row r="1025" spans="12:20" ht="12.75">
      <c r="L1025" s="2">
        <v>142.4</v>
      </c>
      <c r="M1025" s="2">
        <v>0.5574</v>
      </c>
      <c r="N1025" s="2">
        <v>0.7753</v>
      </c>
      <c r="O1025" s="2">
        <v>0.5007</v>
      </c>
      <c r="P1025" s="157">
        <v>0.52828</v>
      </c>
      <c r="Q1025" s="2">
        <v>0.5574</v>
      </c>
      <c r="R1025" s="2">
        <v>0.7753</v>
      </c>
      <c r="S1025" s="2">
        <v>0.52905</v>
      </c>
      <c r="T1025" s="2">
        <v>0.65179</v>
      </c>
    </row>
    <row r="1026" spans="12:20" ht="12.75">
      <c r="L1026" s="2">
        <v>142.5</v>
      </c>
      <c r="M1026" s="2">
        <v>0.5573</v>
      </c>
      <c r="N1026" s="2">
        <v>0.7752</v>
      </c>
      <c r="O1026" s="2">
        <v>0.5006</v>
      </c>
      <c r="P1026" s="157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</row>
    <row r="1027" spans="12:20" ht="12.75">
      <c r="L1027" s="2">
        <v>142.6</v>
      </c>
      <c r="M1027" s="2">
        <v>0.5573</v>
      </c>
      <c r="N1027" s="2">
        <v>0.7751</v>
      </c>
      <c r="O1027" s="2">
        <v>0.5005</v>
      </c>
      <c r="P1027" s="157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</row>
    <row r="1028" spans="12:20" ht="12.75">
      <c r="L1028" s="2">
        <v>142.7</v>
      </c>
      <c r="M1028" s="2">
        <v>0.5572</v>
      </c>
      <c r="N1028" s="2">
        <v>0.775</v>
      </c>
      <c r="O1028" s="2">
        <v>0.5004</v>
      </c>
      <c r="P1028" s="157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</row>
    <row r="1029" spans="12:20" ht="12.75">
      <c r="L1029" s="2">
        <v>142.8</v>
      </c>
      <c r="M1029" s="2">
        <v>0.5572</v>
      </c>
      <c r="N1029" s="2">
        <v>0.7749</v>
      </c>
      <c r="O1029" s="2">
        <v>0.5003</v>
      </c>
      <c r="P1029" s="157">
        <v>0.52784</v>
      </c>
      <c r="Q1029" s="2">
        <v>0.5572</v>
      </c>
      <c r="R1029" s="2">
        <v>0.7749</v>
      </c>
      <c r="S1029" s="2">
        <v>0.52875</v>
      </c>
      <c r="T1029" s="2">
        <v>0.65137</v>
      </c>
    </row>
    <row r="1030" spans="12:20" ht="12.75">
      <c r="L1030" s="2">
        <v>142.9</v>
      </c>
      <c r="M1030" s="2">
        <v>0.5571</v>
      </c>
      <c r="N1030" s="2">
        <v>0.7748</v>
      </c>
      <c r="O1030" s="2">
        <v>0.5013</v>
      </c>
      <c r="P1030" s="157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</row>
    <row r="1031" spans="12:20" ht="12.75">
      <c r="L1031" s="2">
        <v>143</v>
      </c>
      <c r="M1031" s="2">
        <v>0.5571</v>
      </c>
      <c r="N1031" s="2">
        <v>0.7747</v>
      </c>
      <c r="O1031" s="2">
        <v>0.5001</v>
      </c>
      <c r="P1031" s="157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</row>
    <row r="1032" spans="12:20" ht="12.75">
      <c r="L1032" s="2">
        <v>143.1</v>
      </c>
      <c r="M1032" s="2">
        <v>0.557</v>
      </c>
      <c r="N1032" s="2">
        <v>0.7746</v>
      </c>
      <c r="O1032" s="2">
        <v>0.5</v>
      </c>
      <c r="P1032" s="157">
        <v>0.5275</v>
      </c>
      <c r="Q1032" s="2">
        <v>0.557</v>
      </c>
      <c r="R1032" s="2">
        <v>0.7746</v>
      </c>
      <c r="S1032" s="2">
        <v>0.5285</v>
      </c>
      <c r="T1032" s="2">
        <v>0.65105</v>
      </c>
    </row>
    <row r="1033" spans="12:20" ht="12.75">
      <c r="L1033" s="2">
        <v>143.2</v>
      </c>
      <c r="M1033" s="2">
        <v>0.557</v>
      </c>
      <c r="N1033" s="2">
        <v>0.7745</v>
      </c>
      <c r="O1033" s="2">
        <v>0.4999</v>
      </c>
      <c r="P1033" s="157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</row>
    <row r="1034" spans="12:20" ht="12.75">
      <c r="L1034" s="2">
        <v>143.3</v>
      </c>
      <c r="M1034" s="2">
        <v>0.5569</v>
      </c>
      <c r="N1034" s="2">
        <v>0.7744</v>
      </c>
      <c r="O1034" s="2">
        <v>0.4998</v>
      </c>
      <c r="P1034" s="157">
        <v>0.52728</v>
      </c>
      <c r="Q1034" s="2">
        <v>0.5569</v>
      </c>
      <c r="R1034" s="2">
        <v>0.7744</v>
      </c>
      <c r="S1034" s="2">
        <v>0.52835</v>
      </c>
      <c r="T1034" s="2">
        <v>0.65084</v>
      </c>
    </row>
    <row r="1035" spans="12:20" ht="12.75">
      <c r="L1035" s="2">
        <v>143.4</v>
      </c>
      <c r="M1035" s="2">
        <v>0.5568</v>
      </c>
      <c r="N1035" s="2">
        <v>0.7744</v>
      </c>
      <c r="O1035" s="2">
        <v>0.4997</v>
      </c>
      <c r="P1035" s="157">
        <v>0.52712</v>
      </c>
      <c r="Q1035" s="2">
        <v>0.5568</v>
      </c>
      <c r="R1035" s="2">
        <v>0.7744</v>
      </c>
      <c r="S1035" s="2">
        <v>0.52825</v>
      </c>
      <c r="T1035" s="2">
        <v>0.65076</v>
      </c>
    </row>
    <row r="1036" spans="12:20" ht="12.75">
      <c r="L1036" s="2">
        <v>143.5</v>
      </c>
      <c r="M1036" s="2">
        <v>0.5568</v>
      </c>
      <c r="N1036" s="2">
        <v>0.7743</v>
      </c>
      <c r="O1036" s="2">
        <v>0.4995</v>
      </c>
      <c r="P1036" s="157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</row>
    <row r="1037" spans="12:20" ht="12.75">
      <c r="L1037" s="2">
        <v>143.6</v>
      </c>
      <c r="M1037" s="2">
        <v>0.5567</v>
      </c>
      <c r="N1037" s="2">
        <v>0.7742</v>
      </c>
      <c r="O1037" s="2">
        <v>0.4994</v>
      </c>
      <c r="P1037" s="157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</row>
    <row r="1038" spans="12:20" ht="12.75">
      <c r="L1038" s="2">
        <v>143.7</v>
      </c>
      <c r="M1038" s="2">
        <v>0.5567</v>
      </c>
      <c r="N1038" s="2">
        <v>0.7741</v>
      </c>
      <c r="O1038" s="2">
        <v>0.4993</v>
      </c>
      <c r="P1038" s="157">
        <v>0.52684</v>
      </c>
      <c r="Q1038" s="2">
        <v>0.5567</v>
      </c>
      <c r="R1038" s="2">
        <v>0.7741</v>
      </c>
      <c r="S1038" s="2">
        <v>0.528</v>
      </c>
      <c r="T1038" s="2">
        <v>0.65047</v>
      </c>
    </row>
    <row r="1039" spans="12:20" ht="12.75">
      <c r="L1039" s="2">
        <v>143.8</v>
      </c>
      <c r="M1039" s="2">
        <v>0.5566</v>
      </c>
      <c r="N1039" s="2">
        <v>0.774</v>
      </c>
      <c r="O1039" s="2">
        <v>0.4992</v>
      </c>
      <c r="P1039" s="157">
        <v>0.52674</v>
      </c>
      <c r="Q1039" s="2">
        <v>0.5566</v>
      </c>
      <c r="R1039" s="2">
        <v>0.774</v>
      </c>
      <c r="S1039" s="2">
        <v>0.5279</v>
      </c>
      <c r="T1039" s="2">
        <v>0.65037</v>
      </c>
    </row>
    <row r="1040" spans="12:20" ht="12.75">
      <c r="L1040" s="2">
        <v>143.9</v>
      </c>
      <c r="M1040" s="2">
        <v>0.5566</v>
      </c>
      <c r="N1040" s="2">
        <v>0.7739</v>
      </c>
      <c r="O1040" s="2">
        <v>0.5002</v>
      </c>
      <c r="P1040" s="157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</row>
    <row r="1041" spans="12:20" ht="12.75">
      <c r="L1041" s="2">
        <v>144</v>
      </c>
      <c r="M1041" s="2">
        <v>0.5565</v>
      </c>
      <c r="N1041" s="2">
        <v>0.7738</v>
      </c>
      <c r="O1041" s="2">
        <v>0.499</v>
      </c>
      <c r="P1041" s="157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</row>
    <row r="1042" spans="12:20" ht="12.75">
      <c r="L1042" s="2">
        <v>144.1</v>
      </c>
      <c r="M1042" s="2">
        <v>0.5565</v>
      </c>
      <c r="N1042" s="2">
        <v>0.7737</v>
      </c>
      <c r="O1042" s="2">
        <v>0.4989</v>
      </c>
      <c r="P1042" s="157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</row>
    <row r="1043" spans="12:20" ht="12.75">
      <c r="L1043" s="2">
        <v>144.2</v>
      </c>
      <c r="M1043" s="2">
        <v>0.5564</v>
      </c>
      <c r="N1043" s="2">
        <v>0.7736</v>
      </c>
      <c r="O1043" s="2">
        <v>0.4988</v>
      </c>
      <c r="P1043" s="157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</row>
    <row r="1044" spans="12:20" ht="12.75">
      <c r="L1044" s="2">
        <v>144.3</v>
      </c>
      <c r="M1044" s="2">
        <v>0.5563</v>
      </c>
      <c r="N1044" s="2">
        <v>0.7736</v>
      </c>
      <c r="O1044" s="2">
        <v>0.4987</v>
      </c>
      <c r="P1044" s="157">
        <v>0.52618</v>
      </c>
      <c r="Q1044" s="2">
        <v>0.5563</v>
      </c>
      <c r="R1044" s="2">
        <v>0.7736</v>
      </c>
      <c r="S1044" s="2">
        <v>0.5275</v>
      </c>
      <c r="T1044" s="2">
        <v>0.64989</v>
      </c>
    </row>
    <row r="1045" spans="12:20" ht="12.75">
      <c r="L1045" s="2">
        <v>144.4</v>
      </c>
      <c r="M1045" s="2">
        <v>0.5563</v>
      </c>
      <c r="N1045" s="2">
        <v>0.7735</v>
      </c>
      <c r="O1045" s="2">
        <v>0.4986</v>
      </c>
      <c r="P1045" s="157">
        <v>0.52608</v>
      </c>
      <c r="Q1045" s="2">
        <v>0.5563</v>
      </c>
      <c r="R1045" s="2">
        <v>0.7735</v>
      </c>
      <c r="S1045" s="2">
        <v>0.52745</v>
      </c>
      <c r="T1045" s="2">
        <v>0.64979</v>
      </c>
    </row>
    <row r="1046" spans="12:20" ht="12.75">
      <c r="L1046" s="2">
        <v>144.5</v>
      </c>
      <c r="M1046" s="2">
        <v>0.5562</v>
      </c>
      <c r="N1046" s="2">
        <v>0.7734</v>
      </c>
      <c r="O1046" s="2">
        <v>0.4985</v>
      </c>
      <c r="P1046" s="157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</row>
    <row r="1047" spans="12:20" ht="12.75">
      <c r="L1047" s="2">
        <v>144.6</v>
      </c>
      <c r="M1047" s="2">
        <v>0.5562</v>
      </c>
      <c r="N1047" s="2">
        <v>0.7733</v>
      </c>
      <c r="O1047" s="2">
        <v>0.4983</v>
      </c>
      <c r="P1047" s="157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</row>
    <row r="1048" spans="12:20" ht="12.75">
      <c r="L1048" s="2">
        <v>144.7</v>
      </c>
      <c r="M1048" s="2">
        <v>0.5561</v>
      </c>
      <c r="N1048" s="2">
        <v>0.7732</v>
      </c>
      <c r="O1048" s="2">
        <v>0.4982</v>
      </c>
      <c r="P1048" s="157">
        <v>0.52574</v>
      </c>
      <c r="Q1048" s="2">
        <v>0.5561</v>
      </c>
      <c r="R1048" s="2">
        <v>0.7732</v>
      </c>
      <c r="S1048" s="2">
        <v>0.52715</v>
      </c>
      <c r="T1048" s="2">
        <v>0.64947</v>
      </c>
    </row>
    <row r="1049" spans="12:20" ht="12.75">
      <c r="L1049" s="2">
        <v>144.8</v>
      </c>
      <c r="M1049" s="2">
        <v>0.5561</v>
      </c>
      <c r="N1049" s="2">
        <v>0.7731</v>
      </c>
      <c r="O1049" s="2">
        <v>0.4981</v>
      </c>
      <c r="P1049" s="157">
        <v>0.52564</v>
      </c>
      <c r="Q1049" s="2">
        <v>0.5561</v>
      </c>
      <c r="R1049" s="2">
        <v>0.7731</v>
      </c>
      <c r="S1049" s="2">
        <v>0.5271</v>
      </c>
      <c r="T1049" s="2">
        <v>0.64937</v>
      </c>
    </row>
    <row r="1050" spans="12:20" ht="12.75">
      <c r="L1050" s="2">
        <v>144.9</v>
      </c>
      <c r="M1050" s="2">
        <v>0.556</v>
      </c>
      <c r="N1050" s="2">
        <v>0.773</v>
      </c>
      <c r="O1050" s="2">
        <v>0.4991</v>
      </c>
      <c r="P1050" s="157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</row>
    <row r="1051" spans="12:20" ht="12.75">
      <c r="L1051" s="2">
        <v>145</v>
      </c>
      <c r="M1051" s="2">
        <v>0.556</v>
      </c>
      <c r="N1051" s="2">
        <v>0.773</v>
      </c>
      <c r="O1051" s="2">
        <v>0.4979</v>
      </c>
      <c r="P1051" s="157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</row>
    <row r="1052" spans="12:20" ht="12.75">
      <c r="L1052" s="2">
        <v>145.1</v>
      </c>
      <c r="M1052" s="2">
        <v>0.5559</v>
      </c>
      <c r="N1052" s="2">
        <v>0.7729</v>
      </c>
      <c r="O1052" s="2">
        <v>0.4978</v>
      </c>
      <c r="P1052" s="157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</row>
    <row r="1053" spans="12:20" ht="12.75">
      <c r="L1053" s="2">
        <v>145.2</v>
      </c>
      <c r="M1053" s="2">
        <v>0.5558</v>
      </c>
      <c r="N1053" s="2">
        <v>0.7728</v>
      </c>
      <c r="O1053" s="2">
        <v>0.4977</v>
      </c>
      <c r="P1053" s="157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</row>
    <row r="1054" spans="12:20" ht="12.75">
      <c r="L1054" s="2">
        <v>145.3</v>
      </c>
      <c r="M1054" s="2">
        <v>0.5558</v>
      </c>
      <c r="N1054" s="2">
        <v>0.7727</v>
      </c>
      <c r="O1054" s="2">
        <v>0.4976</v>
      </c>
      <c r="P1054" s="157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</row>
    <row r="1055" spans="12:20" ht="12.75">
      <c r="L1055" s="2">
        <v>145.4</v>
      </c>
      <c r="M1055" s="2">
        <v>0.5557</v>
      </c>
      <c r="N1055" s="2">
        <v>0.7726</v>
      </c>
      <c r="O1055" s="2">
        <v>0.4975</v>
      </c>
      <c r="P1055" s="157">
        <v>0.52502</v>
      </c>
      <c r="Q1055" s="2">
        <v>0.5557</v>
      </c>
      <c r="R1055" s="2">
        <v>0.7726</v>
      </c>
      <c r="S1055" s="2">
        <v>0.5266</v>
      </c>
      <c r="T1055" s="2">
        <v>0.64881</v>
      </c>
    </row>
    <row r="1056" spans="12:20" ht="12.75">
      <c r="L1056" s="2">
        <v>145.5</v>
      </c>
      <c r="M1056" s="2">
        <v>0.5557</v>
      </c>
      <c r="N1056" s="2">
        <v>0.7725</v>
      </c>
      <c r="O1056" s="2">
        <v>0.4974</v>
      </c>
      <c r="P1056" s="157">
        <v>0.52492</v>
      </c>
      <c r="Q1056" s="2">
        <v>0.5557</v>
      </c>
      <c r="R1056" s="2">
        <v>0.7725</v>
      </c>
      <c r="S1056" s="2">
        <v>0.52655</v>
      </c>
      <c r="T1056" s="2">
        <v>0.64871</v>
      </c>
    </row>
    <row r="1057" spans="12:20" ht="12.75">
      <c r="L1057" s="2">
        <v>145.6</v>
      </c>
      <c r="M1057" s="2">
        <v>0.5556</v>
      </c>
      <c r="N1057" s="2">
        <v>0.7725</v>
      </c>
      <c r="O1057" s="2">
        <v>0.4973</v>
      </c>
      <c r="P1057" s="157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</row>
    <row r="1058" spans="12:20" ht="12.75">
      <c r="L1058" s="2">
        <v>145.7</v>
      </c>
      <c r="M1058" s="2">
        <v>0.5556</v>
      </c>
      <c r="N1058" s="2">
        <v>0.7724</v>
      </c>
      <c r="O1058" s="2">
        <v>0.4972</v>
      </c>
      <c r="P1058" s="157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</row>
    <row r="1059" spans="12:20" ht="12.75">
      <c r="L1059" s="2">
        <v>145.8</v>
      </c>
      <c r="M1059" s="2">
        <v>0.5555</v>
      </c>
      <c r="N1059" s="2">
        <v>0.7723</v>
      </c>
      <c r="O1059" s="2">
        <v>0.4971</v>
      </c>
      <c r="P1059" s="157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</row>
    <row r="1060" spans="12:20" ht="12.75">
      <c r="L1060" s="2">
        <v>145.9</v>
      </c>
      <c r="M1060" s="2">
        <v>0.5555</v>
      </c>
      <c r="N1060" s="2">
        <v>0.7722</v>
      </c>
      <c r="O1060" s="2">
        <v>0.498</v>
      </c>
      <c r="P1060" s="157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</row>
    <row r="1061" spans="12:20" ht="12.75">
      <c r="L1061" s="2">
        <v>146</v>
      </c>
      <c r="M1061" s="2">
        <v>0.5554</v>
      </c>
      <c r="N1061" s="2">
        <v>0.7721</v>
      </c>
      <c r="O1061" s="2">
        <v>0.4969</v>
      </c>
      <c r="P1061" s="157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</row>
    <row r="1062" spans="12:20" ht="12.75">
      <c r="L1062" s="2">
        <v>146.1</v>
      </c>
      <c r="M1062" s="2">
        <v>0.5554</v>
      </c>
      <c r="N1062" s="2">
        <v>0.7721</v>
      </c>
      <c r="O1062" s="2">
        <v>0.4968</v>
      </c>
      <c r="P1062" s="157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</row>
    <row r="1063" spans="12:20" ht="12.75">
      <c r="L1063" s="2">
        <v>146.2</v>
      </c>
      <c r="M1063" s="2">
        <v>0.5553</v>
      </c>
      <c r="N1063" s="2">
        <v>0.772</v>
      </c>
      <c r="O1063" s="2">
        <v>0.4967</v>
      </c>
      <c r="P1063" s="157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</row>
    <row r="1064" spans="12:20" ht="12.75">
      <c r="L1064" s="2">
        <v>146.3</v>
      </c>
      <c r="M1064" s="2">
        <v>0.5552</v>
      </c>
      <c r="N1064" s="2">
        <v>0.7719</v>
      </c>
      <c r="O1064" s="2">
        <v>0.4966</v>
      </c>
      <c r="P1064" s="157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</row>
    <row r="1065" spans="12:20" ht="12.75">
      <c r="L1065" s="2">
        <v>146.4</v>
      </c>
      <c r="M1065" s="2">
        <v>0.5552</v>
      </c>
      <c r="N1065" s="2">
        <v>0.7718</v>
      </c>
      <c r="O1065" s="2">
        <v>0.4965</v>
      </c>
      <c r="P1065" s="157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</row>
    <row r="1066" spans="12:20" ht="12.75">
      <c r="L1066" s="2">
        <v>146.5</v>
      </c>
      <c r="M1066" s="2">
        <v>0.5551</v>
      </c>
      <c r="N1066" s="2">
        <v>0.7717</v>
      </c>
      <c r="O1066" s="2">
        <v>0.4964</v>
      </c>
      <c r="P1066" s="157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</row>
    <row r="1067" spans="12:20" ht="12.75">
      <c r="L1067" s="2">
        <v>146.6</v>
      </c>
      <c r="M1067" s="2">
        <v>0.5551</v>
      </c>
      <c r="N1067" s="2">
        <v>0.7717</v>
      </c>
      <c r="O1067" s="2">
        <v>0.4963</v>
      </c>
      <c r="P1067" s="157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</row>
    <row r="1068" spans="12:20" ht="12.75">
      <c r="L1068" s="2">
        <v>146.7</v>
      </c>
      <c r="M1068" s="2">
        <v>0.555</v>
      </c>
      <c r="N1068" s="2">
        <v>0.7716</v>
      </c>
      <c r="O1068" s="2">
        <v>0.4962</v>
      </c>
      <c r="P1068" s="157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</row>
    <row r="1069" spans="12:20" ht="12.75">
      <c r="L1069" s="2">
        <v>146.8</v>
      </c>
      <c r="M1069" s="2">
        <v>0.555</v>
      </c>
      <c r="N1069" s="2">
        <v>0.7715</v>
      </c>
      <c r="O1069" s="2">
        <v>0.4961</v>
      </c>
      <c r="P1069" s="157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</row>
    <row r="1070" spans="12:20" ht="12.75">
      <c r="L1070" s="2">
        <v>146.9</v>
      </c>
      <c r="M1070" s="2">
        <v>0.5549</v>
      </c>
      <c r="N1070" s="2">
        <v>0.7714</v>
      </c>
      <c r="O1070" s="2">
        <v>0.497</v>
      </c>
      <c r="P1070" s="157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</row>
    <row r="1071" spans="12:20" ht="12.75">
      <c r="L1071" s="2">
        <v>147</v>
      </c>
      <c r="M1071" s="2">
        <v>0.5549</v>
      </c>
      <c r="N1071" s="2">
        <v>0.7714</v>
      </c>
      <c r="O1071" s="2">
        <v>0.4959</v>
      </c>
      <c r="P1071" s="157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</row>
    <row r="1072" spans="12:20" ht="12.75">
      <c r="L1072" s="2">
        <v>147.1</v>
      </c>
      <c r="M1072" s="2">
        <v>0.5548</v>
      </c>
      <c r="N1072" s="2">
        <v>0.7713</v>
      </c>
      <c r="O1072" s="2">
        <v>0.4958</v>
      </c>
      <c r="P1072" s="157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</row>
    <row r="1073" spans="12:20" ht="12.75">
      <c r="L1073" s="2">
        <v>147.2</v>
      </c>
      <c r="M1073" s="2">
        <v>0.5548</v>
      </c>
      <c r="N1073" s="2">
        <v>0.7712</v>
      </c>
      <c r="O1073" s="2">
        <v>0.4957</v>
      </c>
      <c r="P1073" s="157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</row>
    <row r="1074" spans="12:20" ht="12.75">
      <c r="L1074" s="2">
        <v>147.3</v>
      </c>
      <c r="M1074" s="2">
        <v>0.5547</v>
      </c>
      <c r="N1074" s="2">
        <v>0.7712</v>
      </c>
      <c r="O1074" s="2">
        <v>0.4956</v>
      </c>
      <c r="P1074" s="157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</row>
    <row r="1075" spans="12:20" ht="12.75">
      <c r="L1075" s="2">
        <v>147.4</v>
      </c>
      <c r="M1075" s="2">
        <v>0.5547</v>
      </c>
      <c r="N1075" s="2">
        <v>0.7711</v>
      </c>
      <c r="O1075" s="2">
        <v>0.4955</v>
      </c>
      <c r="P1075" s="157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</row>
    <row r="1076" spans="12:20" ht="12.75">
      <c r="L1076" s="2">
        <v>147.5</v>
      </c>
      <c r="M1076" s="2">
        <v>0.5546</v>
      </c>
      <c r="N1076" s="2">
        <v>0.771</v>
      </c>
      <c r="O1076" s="2">
        <v>0.4954</v>
      </c>
      <c r="P1076" s="157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</row>
    <row r="1077" spans="12:20" ht="12.75">
      <c r="L1077" s="2">
        <v>147.6</v>
      </c>
      <c r="M1077" s="2">
        <v>0.5546</v>
      </c>
      <c r="N1077" s="2">
        <v>0.7709</v>
      </c>
      <c r="O1077" s="2">
        <v>0.4953</v>
      </c>
      <c r="P1077" s="157">
        <v>0.52282</v>
      </c>
      <c r="Q1077" s="2">
        <v>0.5546</v>
      </c>
      <c r="R1077" s="2">
        <v>0.7709</v>
      </c>
      <c r="S1077" s="2">
        <v>0.52495</v>
      </c>
      <c r="T1077" s="2">
        <v>0.64686</v>
      </c>
    </row>
    <row r="1078" spans="12:20" ht="12.75">
      <c r="L1078" s="2">
        <v>147.7</v>
      </c>
      <c r="M1078" s="2">
        <v>0.5545</v>
      </c>
      <c r="N1078" s="2">
        <v>0.7709</v>
      </c>
      <c r="O1078" s="2">
        <v>0.4952</v>
      </c>
      <c r="P1078" s="157">
        <v>0.52272</v>
      </c>
      <c r="Q1078" s="2">
        <v>0.5545</v>
      </c>
      <c r="R1078" s="2">
        <v>0.7709</v>
      </c>
      <c r="S1078" s="2">
        <v>0.52485</v>
      </c>
      <c r="T1078" s="2">
        <v>0.64681</v>
      </c>
    </row>
    <row r="1079" spans="12:20" ht="12.75">
      <c r="L1079" s="2">
        <v>147.8</v>
      </c>
      <c r="M1079" s="2">
        <v>0.5544</v>
      </c>
      <c r="N1079" s="2">
        <v>0.7708</v>
      </c>
      <c r="O1079" s="2">
        <v>0.4951</v>
      </c>
      <c r="P1079" s="157">
        <v>0.52262</v>
      </c>
      <c r="Q1079" s="2">
        <v>0.5544</v>
      </c>
      <c r="R1079" s="2">
        <v>0.7708</v>
      </c>
      <c r="S1079" s="2">
        <v>0.52475</v>
      </c>
      <c r="T1079" s="2">
        <v>0.64671</v>
      </c>
    </row>
    <row r="1080" spans="12:20" ht="12.75">
      <c r="L1080" s="2">
        <v>147.9</v>
      </c>
      <c r="M1080" s="2">
        <v>0.5544</v>
      </c>
      <c r="N1080" s="2">
        <v>0.7707</v>
      </c>
      <c r="O1080" s="2">
        <v>0.496</v>
      </c>
      <c r="P1080" s="157">
        <v>0.52252</v>
      </c>
      <c r="Q1080" s="2">
        <v>0.5544</v>
      </c>
      <c r="R1080" s="2">
        <v>0.7707</v>
      </c>
      <c r="S1080" s="2">
        <v>0.5252</v>
      </c>
      <c r="T1080" s="2">
        <v>0.64661</v>
      </c>
    </row>
    <row r="1081" spans="12:20" ht="12.75">
      <c r="L1081" s="2">
        <v>148</v>
      </c>
      <c r="M1081" s="2">
        <v>0.5543</v>
      </c>
      <c r="N1081" s="2">
        <v>0.7707</v>
      </c>
      <c r="O1081" s="2">
        <v>0.4949</v>
      </c>
      <c r="P1081" s="157">
        <v>0.52242</v>
      </c>
      <c r="Q1081" s="2">
        <v>0.5543</v>
      </c>
      <c r="R1081" s="2">
        <v>0.7707</v>
      </c>
      <c r="S1081" s="2">
        <v>0.5246</v>
      </c>
      <c r="T1081" s="2">
        <v>0.64656</v>
      </c>
    </row>
    <row r="1082" spans="12:20" ht="12.75">
      <c r="L1082" s="2">
        <v>148.1</v>
      </c>
      <c r="M1082" s="2">
        <v>0.5543</v>
      </c>
      <c r="N1082" s="2">
        <v>0.7706</v>
      </c>
      <c r="O1082" s="2">
        <v>0.4948</v>
      </c>
      <c r="P1082" s="157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</row>
    <row r="1083" spans="12:20" ht="12.75">
      <c r="L1083" s="2">
        <v>148.2</v>
      </c>
      <c r="M1083" s="2">
        <v>0.5542</v>
      </c>
      <c r="N1083" s="2">
        <v>0.7705</v>
      </c>
      <c r="O1083" s="2">
        <v>0.4947</v>
      </c>
      <c r="P1083" s="157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</row>
    <row r="1084" spans="12:20" ht="12.75">
      <c r="L1084" s="2">
        <v>148.3</v>
      </c>
      <c r="M1084" s="2">
        <v>0.5542</v>
      </c>
      <c r="N1084" s="2">
        <v>0.7705</v>
      </c>
      <c r="O1084" s="2">
        <v>0.4946</v>
      </c>
      <c r="P1084" s="157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</row>
    <row r="1085" spans="12:20" ht="12.75">
      <c r="L1085" s="2">
        <v>148.4</v>
      </c>
      <c r="M1085" s="2">
        <v>0.5541</v>
      </c>
      <c r="N1085" s="2">
        <v>0.7704</v>
      </c>
      <c r="O1085" s="2">
        <v>0.4945</v>
      </c>
      <c r="P1085" s="157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</row>
    <row r="1086" spans="12:20" ht="12.75">
      <c r="L1086" s="2">
        <v>148.5</v>
      </c>
      <c r="M1086" s="2">
        <v>0.5541</v>
      </c>
      <c r="N1086" s="2">
        <v>0.7703</v>
      </c>
      <c r="O1086" s="2">
        <v>0.4944</v>
      </c>
      <c r="P1086" s="157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</row>
    <row r="1087" spans="12:20" ht="12.75">
      <c r="L1087" s="2">
        <v>148.6</v>
      </c>
      <c r="M1087" s="2">
        <v>0.554</v>
      </c>
      <c r="N1087" s="2">
        <v>0.7703</v>
      </c>
      <c r="O1087" s="2">
        <v>0.4943</v>
      </c>
      <c r="P1087" s="157">
        <v>0.52182</v>
      </c>
      <c r="Q1087" s="2">
        <v>0.554</v>
      </c>
      <c r="R1087" s="2">
        <v>0.7703</v>
      </c>
      <c r="S1087" s="2">
        <v>0.52415</v>
      </c>
      <c r="T1087" s="2">
        <v>0.64606</v>
      </c>
    </row>
    <row r="1088" spans="12:20" ht="12.75">
      <c r="L1088" s="2">
        <v>148.7</v>
      </c>
      <c r="M1088" s="2">
        <v>0.554</v>
      </c>
      <c r="N1088" s="2">
        <v>0.7702</v>
      </c>
      <c r="O1088" s="2">
        <v>0.4942</v>
      </c>
      <c r="P1088" s="157">
        <v>0.52172</v>
      </c>
      <c r="Q1088" s="2">
        <v>0.554</v>
      </c>
      <c r="R1088" s="2">
        <v>0.7702</v>
      </c>
      <c r="S1088" s="2">
        <v>0.5241</v>
      </c>
      <c r="T1088" s="2">
        <v>0.64596</v>
      </c>
    </row>
    <row r="1089" spans="12:20" ht="12.75">
      <c r="L1089" s="2">
        <v>148.8</v>
      </c>
      <c r="M1089" s="2">
        <v>0.5539</v>
      </c>
      <c r="N1089" s="2">
        <v>0.7702</v>
      </c>
      <c r="O1089" s="2">
        <v>0.4941</v>
      </c>
      <c r="P1089" s="157">
        <v>0.52162</v>
      </c>
      <c r="Q1089" s="2">
        <v>0.5539</v>
      </c>
      <c r="R1089" s="2">
        <v>0.7702</v>
      </c>
      <c r="S1089" s="2">
        <v>0.524</v>
      </c>
      <c r="T1089" s="2">
        <v>0.64591</v>
      </c>
    </row>
    <row r="1090" spans="12:20" ht="12.75">
      <c r="L1090" s="2">
        <v>148.9</v>
      </c>
      <c r="M1090" s="2">
        <v>0.5539</v>
      </c>
      <c r="N1090" s="2">
        <v>0.7701</v>
      </c>
      <c r="O1090" s="2">
        <v>0.495</v>
      </c>
      <c r="P1090" s="157">
        <v>0.52152</v>
      </c>
      <c r="Q1090" s="2">
        <v>0.5539</v>
      </c>
      <c r="R1090" s="2">
        <v>0.7701</v>
      </c>
      <c r="S1090" s="2">
        <v>0.52445</v>
      </c>
      <c r="T1090" s="2">
        <v>0.64581</v>
      </c>
    </row>
    <row r="1091" spans="12:20" ht="12.75">
      <c r="L1091" s="2">
        <v>149</v>
      </c>
      <c r="M1091" s="2">
        <v>0.5538</v>
      </c>
      <c r="N1091" s="2">
        <v>0.77</v>
      </c>
      <c r="O1091" s="2">
        <v>0.4939</v>
      </c>
      <c r="P1091" s="157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</row>
    <row r="1092" spans="12:20" ht="12.75">
      <c r="L1092" s="2">
        <v>149.1</v>
      </c>
      <c r="M1092" s="2">
        <v>0.5538</v>
      </c>
      <c r="N1092" s="2">
        <v>0.77</v>
      </c>
      <c r="O1092" s="2">
        <v>0.4938</v>
      </c>
      <c r="P1092" s="157">
        <v>0.52132</v>
      </c>
      <c r="Q1092" s="2">
        <v>0.5538</v>
      </c>
      <c r="R1092" s="2">
        <v>0.77</v>
      </c>
      <c r="S1092" s="2">
        <v>0.5238</v>
      </c>
      <c r="T1092" s="2">
        <v>0.64566</v>
      </c>
    </row>
    <row r="1093" spans="12:20" ht="12.75">
      <c r="L1093" s="2">
        <v>149.2</v>
      </c>
      <c r="M1093" s="2">
        <v>0.5537</v>
      </c>
      <c r="N1093" s="2">
        <v>0.7699</v>
      </c>
      <c r="O1093" s="2">
        <v>0.4937</v>
      </c>
      <c r="P1093" s="157">
        <v>0.52122</v>
      </c>
      <c r="Q1093" s="2">
        <v>0.5537</v>
      </c>
      <c r="R1093" s="2">
        <v>0.7699</v>
      </c>
      <c r="S1093" s="2">
        <v>0.5237</v>
      </c>
      <c r="T1093" s="2">
        <v>0.64556</v>
      </c>
    </row>
    <row r="1094" spans="12:20" ht="12.75">
      <c r="L1094" s="2">
        <v>149.3</v>
      </c>
      <c r="M1094" s="2">
        <v>0.5537</v>
      </c>
      <c r="N1094" s="2">
        <v>0.7699</v>
      </c>
      <c r="O1094" s="2">
        <v>0.4936</v>
      </c>
      <c r="P1094" s="157">
        <v>0.52112</v>
      </c>
      <c r="Q1094" s="2">
        <v>0.5537</v>
      </c>
      <c r="R1094" s="2">
        <v>0.7699</v>
      </c>
      <c r="S1094" s="2">
        <v>0.52365</v>
      </c>
      <c r="T1094" s="2">
        <v>0.64551</v>
      </c>
    </row>
    <row r="1095" spans="12:20" ht="12.75">
      <c r="L1095" s="2">
        <v>149.4</v>
      </c>
      <c r="M1095" s="2">
        <v>0.5536</v>
      </c>
      <c r="N1095" s="2">
        <v>0.7698</v>
      </c>
      <c r="O1095" s="2">
        <v>0.4935</v>
      </c>
      <c r="P1095" s="157">
        <v>0.52102</v>
      </c>
      <c r="Q1095" s="2">
        <v>0.5536</v>
      </c>
      <c r="R1095" s="2">
        <v>0.7698</v>
      </c>
      <c r="S1095" s="2">
        <v>0.52355</v>
      </c>
      <c r="T1095" s="2">
        <v>0.64541</v>
      </c>
    </row>
    <row r="1096" spans="12:20" ht="12.75">
      <c r="L1096" s="2">
        <v>149.5</v>
      </c>
      <c r="M1096" s="2">
        <v>0.5536</v>
      </c>
      <c r="N1096" s="2">
        <v>0.7698</v>
      </c>
      <c r="O1096" s="2">
        <v>0.4934</v>
      </c>
      <c r="P1096" s="157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</row>
    <row r="1097" spans="12:20" ht="12.75">
      <c r="L1097" s="2">
        <v>149.6</v>
      </c>
      <c r="M1097" s="2">
        <v>0.5535</v>
      </c>
      <c r="N1097" s="2">
        <v>0.7697</v>
      </c>
      <c r="O1097" s="2">
        <v>0.4933</v>
      </c>
      <c r="P1097" s="157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</row>
    <row r="1098" spans="12:20" ht="12.75">
      <c r="L1098" s="2">
        <v>149.7</v>
      </c>
      <c r="M1098" s="2">
        <v>0.5535</v>
      </c>
      <c r="N1098" s="2">
        <v>0.7696</v>
      </c>
      <c r="O1098" s="2">
        <v>0.4932</v>
      </c>
      <c r="P1098" s="157">
        <v>0.52072</v>
      </c>
      <c r="Q1098" s="2">
        <v>0.5535</v>
      </c>
      <c r="R1098" s="2">
        <v>0.7696</v>
      </c>
      <c r="S1098" s="2">
        <v>0.52335</v>
      </c>
      <c r="T1098" s="2">
        <v>0.64516</v>
      </c>
    </row>
    <row r="1099" spans="12:20" ht="12.75">
      <c r="L1099" s="2">
        <v>149.8</v>
      </c>
      <c r="M1099" s="2">
        <v>0.5534</v>
      </c>
      <c r="N1099" s="2">
        <v>0.7696</v>
      </c>
      <c r="O1099" s="2">
        <v>0.4931</v>
      </c>
      <c r="P1099" s="157">
        <v>0.52062</v>
      </c>
      <c r="Q1099" s="2">
        <v>0.5534</v>
      </c>
      <c r="R1099" s="2">
        <v>0.7696</v>
      </c>
      <c r="S1099" s="2">
        <v>0.52325</v>
      </c>
      <c r="T1099" s="2">
        <v>0.64511</v>
      </c>
    </row>
    <row r="1100" spans="12:20" ht="12.75">
      <c r="L1100" s="2">
        <v>149.9</v>
      </c>
      <c r="M1100" s="2">
        <v>0.5533</v>
      </c>
      <c r="N1100" s="2">
        <v>0.7695</v>
      </c>
      <c r="O1100" s="2">
        <v>0.494</v>
      </c>
      <c r="P1100" s="157">
        <v>0.52052</v>
      </c>
      <c r="Q1100" s="2">
        <v>0.5533</v>
      </c>
      <c r="R1100" s="2">
        <v>0.7695</v>
      </c>
      <c r="S1100" s="2">
        <v>0.52365</v>
      </c>
      <c r="T1100" s="2">
        <v>0.64501</v>
      </c>
    </row>
    <row r="1101" spans="12:20" ht="12.75">
      <c r="L1101" s="2">
        <v>150</v>
      </c>
      <c r="M1101" s="2">
        <v>0.5533</v>
      </c>
      <c r="N1101" s="2">
        <v>0.7695</v>
      </c>
      <c r="O1101" s="2">
        <v>0.4929</v>
      </c>
      <c r="P1101" s="157">
        <v>0.52042</v>
      </c>
      <c r="Q1101" s="2">
        <v>0.5533</v>
      </c>
      <c r="R1101" s="2">
        <v>0.7695</v>
      </c>
      <c r="S1101" s="2">
        <v>0.5231</v>
      </c>
      <c r="T1101" s="2">
        <v>0.64496</v>
      </c>
    </row>
    <row r="1102" spans="12:20" ht="12.75">
      <c r="L1102" s="2">
        <v>150.1</v>
      </c>
      <c r="M1102" s="2">
        <v>0.5532</v>
      </c>
      <c r="N1102" s="2">
        <v>0.7694</v>
      </c>
      <c r="O1102" s="2">
        <v>0.4928</v>
      </c>
      <c r="P1102" s="157">
        <v>0.52032</v>
      </c>
      <c r="Q1102" s="2">
        <v>0.5532</v>
      </c>
      <c r="R1102" s="2">
        <v>0.7694</v>
      </c>
      <c r="S1102" s="2">
        <v>0.523</v>
      </c>
      <c r="T1102" s="2">
        <v>0.64486</v>
      </c>
    </row>
    <row r="1103" spans="12:20" ht="12.75">
      <c r="L1103" s="2">
        <v>150.2</v>
      </c>
      <c r="M1103" s="2">
        <v>0.5532</v>
      </c>
      <c r="N1103" s="2">
        <v>0.7694</v>
      </c>
      <c r="O1103" s="2">
        <v>0.4927</v>
      </c>
      <c r="P1103" s="157">
        <v>0.52022</v>
      </c>
      <c r="Q1103" s="2">
        <v>0.5532</v>
      </c>
      <c r="R1103" s="2">
        <v>0.7694</v>
      </c>
      <c r="S1103" s="2">
        <v>0.52295</v>
      </c>
      <c r="T1103" s="2">
        <v>0.64481</v>
      </c>
    </row>
    <row r="1104" spans="12:20" ht="12.75">
      <c r="L1104" s="2">
        <v>150.3</v>
      </c>
      <c r="M1104" s="2">
        <v>0.5531</v>
      </c>
      <c r="N1104" s="2">
        <v>0.7693</v>
      </c>
      <c r="O1104" s="2">
        <v>0.4926</v>
      </c>
      <c r="P1104" s="157">
        <v>0.52012</v>
      </c>
      <c r="Q1104" s="2">
        <v>0.5531</v>
      </c>
      <c r="R1104" s="2">
        <v>0.7693</v>
      </c>
      <c r="S1104" s="2">
        <v>0.52285</v>
      </c>
      <c r="T1104" s="2">
        <v>0.64471</v>
      </c>
    </row>
    <row r="1105" spans="12:20" ht="12.75">
      <c r="L1105" s="2">
        <v>150.4</v>
      </c>
      <c r="M1105" s="2">
        <v>0.5531</v>
      </c>
      <c r="N1105" s="2">
        <v>0.7693</v>
      </c>
      <c r="O1105" s="2">
        <v>0.4925</v>
      </c>
      <c r="P1105" s="157">
        <v>0.52002</v>
      </c>
      <c r="Q1105" s="2">
        <v>0.5531</v>
      </c>
      <c r="R1105" s="2">
        <v>0.7693</v>
      </c>
      <c r="S1105" s="2">
        <v>0.5228</v>
      </c>
      <c r="T1105" s="2">
        <v>0.64466</v>
      </c>
    </row>
    <row r="1106" spans="12:20" ht="12.75">
      <c r="L1106" s="2">
        <v>150.5</v>
      </c>
      <c r="M1106" s="2">
        <v>0.553</v>
      </c>
      <c r="N1106" s="2">
        <v>0.7692</v>
      </c>
      <c r="O1106" s="2">
        <v>0.4924</v>
      </c>
      <c r="P1106" s="157">
        <v>0.51992</v>
      </c>
      <c r="Q1106" s="2">
        <v>0.553</v>
      </c>
      <c r="R1106" s="2">
        <v>0.7692</v>
      </c>
      <c r="S1106" s="2">
        <v>0.5227</v>
      </c>
      <c r="T1106" s="2">
        <v>0.64456</v>
      </c>
    </row>
    <row r="1107" spans="12:20" ht="12.75">
      <c r="L1107" s="2">
        <v>150.6</v>
      </c>
      <c r="M1107" s="2">
        <v>0.553</v>
      </c>
      <c r="N1107" s="2">
        <v>0.7692</v>
      </c>
      <c r="O1107" s="2">
        <v>0.4923</v>
      </c>
      <c r="P1107" s="157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</row>
    <row r="1108" spans="12:20" ht="12.75">
      <c r="L1108" s="2">
        <v>150.7</v>
      </c>
      <c r="M1108" s="2">
        <v>0.5529</v>
      </c>
      <c r="N1108" s="2">
        <v>0.7691</v>
      </c>
      <c r="O1108" s="2">
        <v>0.4922</v>
      </c>
      <c r="P1108" s="157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</row>
    <row r="1109" spans="12:20" ht="12.75">
      <c r="L1109" s="2">
        <v>150.8</v>
      </c>
      <c r="M1109" s="2">
        <v>0.5529</v>
      </c>
      <c r="N1109" s="2">
        <v>0.7691</v>
      </c>
      <c r="O1109" s="2">
        <v>0.4921</v>
      </c>
      <c r="P1109" s="157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</row>
    <row r="1110" spans="12:20" ht="12.75">
      <c r="L1110" s="2">
        <v>150.9</v>
      </c>
      <c r="M1110" s="2">
        <v>0.5528</v>
      </c>
      <c r="N1110" s="2">
        <v>0.7691</v>
      </c>
      <c r="O1110" s="2">
        <v>0.493</v>
      </c>
      <c r="P1110" s="157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</row>
    <row r="1111" spans="12:20" ht="12.75">
      <c r="L1111" s="2">
        <v>151</v>
      </c>
      <c r="M1111" s="2">
        <v>0.5528</v>
      </c>
      <c r="N1111" s="2">
        <v>0.7691</v>
      </c>
      <c r="O1111" s="2">
        <v>0.4919</v>
      </c>
      <c r="P1111" s="157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</row>
    <row r="1112" spans="12:20" ht="12.75">
      <c r="L1112" s="2">
        <v>151.1</v>
      </c>
      <c r="M1112" s="2">
        <v>0.5527</v>
      </c>
      <c r="N1112" s="2">
        <v>0.7691</v>
      </c>
      <c r="O1112" s="2">
        <v>0.4918</v>
      </c>
      <c r="P1112" s="157">
        <v>0.51916</v>
      </c>
      <c r="Q1112" s="2">
        <v>0.5527</v>
      </c>
      <c r="R1112" s="2">
        <v>0.7691</v>
      </c>
      <c r="S1112" s="2">
        <v>0.52225</v>
      </c>
      <c r="T1112" s="2">
        <v>0.64413</v>
      </c>
    </row>
    <row r="1113" spans="12:20" ht="12.75">
      <c r="L1113" s="2">
        <v>151.2</v>
      </c>
      <c r="M1113" s="2">
        <v>0.5527</v>
      </c>
      <c r="N1113" s="2">
        <v>0.7691</v>
      </c>
      <c r="O1113" s="2">
        <v>0.4917</v>
      </c>
      <c r="P1113" s="157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</row>
    <row r="1114" spans="12:20" ht="12.75">
      <c r="L1114" s="2">
        <v>151.3</v>
      </c>
      <c r="M1114" s="2">
        <v>0.5526</v>
      </c>
      <c r="N1114" s="2">
        <v>0.7691</v>
      </c>
      <c r="O1114" s="2">
        <v>0.4916</v>
      </c>
      <c r="P1114" s="157">
        <v>0.51886</v>
      </c>
      <c r="Q1114" s="2">
        <v>0.5526</v>
      </c>
      <c r="R1114" s="2">
        <v>0.7691</v>
      </c>
      <c r="S1114" s="2">
        <v>0.5221</v>
      </c>
      <c r="T1114" s="2">
        <v>0.64398</v>
      </c>
    </row>
    <row r="1115" spans="12:20" ht="12.75">
      <c r="L1115" s="2">
        <v>151.4</v>
      </c>
      <c r="M1115" s="2">
        <v>0.5526</v>
      </c>
      <c r="N1115" s="2">
        <v>0.7691</v>
      </c>
      <c r="O1115" s="2">
        <v>0.4915</v>
      </c>
      <c r="P1115" s="157">
        <v>0.51872</v>
      </c>
      <c r="Q1115" s="2">
        <v>0.5526</v>
      </c>
      <c r="R1115" s="2">
        <v>0.7691</v>
      </c>
      <c r="S1115" s="2">
        <v>0.52205</v>
      </c>
      <c r="T1115" s="2">
        <v>0.64391</v>
      </c>
    </row>
    <row r="1116" spans="12:20" ht="12.75">
      <c r="L1116" s="2">
        <v>151.5</v>
      </c>
      <c r="M1116" s="2">
        <v>0.5525</v>
      </c>
      <c r="N1116" s="2">
        <v>0.7691</v>
      </c>
      <c r="O1116" s="2">
        <v>0.4914</v>
      </c>
      <c r="P1116" s="157">
        <v>0.51856</v>
      </c>
      <c r="Q1116" s="2">
        <v>0.5525</v>
      </c>
      <c r="R1116" s="2">
        <v>0.7691</v>
      </c>
      <c r="S1116" s="2">
        <v>0.52195</v>
      </c>
      <c r="T1116" s="2">
        <v>0.64383</v>
      </c>
    </row>
    <row r="1117" spans="12:20" ht="12.75">
      <c r="L1117" s="2">
        <v>151.6</v>
      </c>
      <c r="M1117" s="2">
        <v>0.5525</v>
      </c>
      <c r="N1117" s="2">
        <v>0.7691</v>
      </c>
      <c r="O1117" s="2">
        <v>0.4913</v>
      </c>
      <c r="P1117" s="157">
        <v>0.51842</v>
      </c>
      <c r="Q1117" s="2">
        <v>0.5525</v>
      </c>
      <c r="R1117" s="2">
        <v>0.7691</v>
      </c>
      <c r="S1117" s="2">
        <v>0.5219</v>
      </c>
      <c r="T1117" s="2">
        <v>0.64376</v>
      </c>
    </row>
    <row r="1118" spans="12:20" ht="12.75">
      <c r="L1118" s="2">
        <v>151.7</v>
      </c>
      <c r="M1118" s="2">
        <v>0.5524</v>
      </c>
      <c r="N1118" s="2">
        <v>0.7691</v>
      </c>
      <c r="O1118" s="2">
        <v>0.4912</v>
      </c>
      <c r="P1118" s="157">
        <v>0.51826</v>
      </c>
      <c r="Q1118" s="2">
        <v>0.5524</v>
      </c>
      <c r="R1118" s="2">
        <v>0.7691</v>
      </c>
      <c r="S1118" s="2">
        <v>0.5218</v>
      </c>
      <c r="T1118" s="2">
        <v>0.64368</v>
      </c>
    </row>
    <row r="1119" spans="12:20" ht="12.75">
      <c r="L1119" s="2">
        <v>151.8</v>
      </c>
      <c r="M1119" s="2">
        <v>0.5524</v>
      </c>
      <c r="N1119" s="2">
        <v>0.7691</v>
      </c>
      <c r="O1119" s="2">
        <v>0.4911</v>
      </c>
      <c r="P1119" s="157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</row>
    <row r="1120" spans="12:20" ht="12.75">
      <c r="L1120" s="2">
        <v>151.9</v>
      </c>
      <c r="M1120" s="2">
        <v>0.5523</v>
      </c>
      <c r="N1120" s="2">
        <v>0.7691</v>
      </c>
      <c r="O1120" s="2">
        <v>0.492</v>
      </c>
      <c r="P1120" s="157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</row>
    <row r="1121" spans="12:20" ht="12.75">
      <c r="L1121" s="2">
        <v>152</v>
      </c>
      <c r="M1121" s="2">
        <v>0.5523</v>
      </c>
      <c r="N1121" s="2">
        <v>0.7691</v>
      </c>
      <c r="O1121" s="2">
        <v>0.4909</v>
      </c>
      <c r="P1121" s="157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</row>
    <row r="1122" spans="12:20" ht="12.75">
      <c r="L1122" s="2">
        <v>152.1</v>
      </c>
      <c r="M1122" s="2">
        <v>0.5522</v>
      </c>
      <c r="N1122" s="2">
        <v>0.7691</v>
      </c>
      <c r="O1122" s="2">
        <v>0.4908</v>
      </c>
      <c r="P1122" s="157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</row>
    <row r="1123" spans="12:20" ht="12.75">
      <c r="L1123" s="2">
        <v>152.2</v>
      </c>
      <c r="M1123" s="2">
        <v>0.5522</v>
      </c>
      <c r="N1123" s="2">
        <v>0.7691</v>
      </c>
      <c r="O1123" s="2">
        <v>0.4907</v>
      </c>
      <c r="P1123" s="157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</row>
    <row r="1124" spans="12:20" ht="12.75">
      <c r="L1124" s="2">
        <v>152.3</v>
      </c>
      <c r="M1124" s="2">
        <v>0.5521</v>
      </c>
      <c r="N1124" s="2">
        <v>0.7691</v>
      </c>
      <c r="O1124" s="2">
        <v>0.4906</v>
      </c>
      <c r="P1124" s="157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</row>
    <row r="1125" spans="12:20" ht="12.75">
      <c r="L1125" s="2">
        <v>152.4</v>
      </c>
      <c r="M1125" s="2">
        <v>0.5521</v>
      </c>
      <c r="N1125" s="2">
        <v>0.7691</v>
      </c>
      <c r="O1125" s="2">
        <v>0.4905</v>
      </c>
      <c r="P1125" s="157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</row>
    <row r="1126" spans="12:20" ht="12.75">
      <c r="L1126" s="2">
        <v>152.5</v>
      </c>
      <c r="M1126" s="2">
        <v>0.552</v>
      </c>
      <c r="N1126" s="2">
        <v>0.7691</v>
      </c>
      <c r="O1126" s="2">
        <v>0.4904</v>
      </c>
      <c r="P1126" s="157">
        <v>0.51706</v>
      </c>
      <c r="Q1126" s="2">
        <v>0.552</v>
      </c>
      <c r="R1126" s="2">
        <v>0.7691</v>
      </c>
      <c r="S1126" s="2">
        <v>0.5212</v>
      </c>
      <c r="T1126" s="2">
        <v>0.64308</v>
      </c>
    </row>
    <row r="1127" spans="12:20" ht="12.75">
      <c r="L1127" s="2">
        <v>152.6</v>
      </c>
      <c r="M1127" s="2">
        <v>0.552</v>
      </c>
      <c r="N1127" s="2">
        <v>0.7691</v>
      </c>
      <c r="O1127" s="2">
        <v>0.4903</v>
      </c>
      <c r="P1127" s="157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</row>
    <row r="1128" spans="12:20" ht="12.75">
      <c r="L1128" s="2">
        <v>152.7</v>
      </c>
      <c r="M1128" s="2">
        <v>0.5519</v>
      </c>
      <c r="N1128" s="2">
        <v>0.7691</v>
      </c>
      <c r="O1128" s="2">
        <v>0.4902</v>
      </c>
      <c r="P1128" s="157">
        <v>0.51676</v>
      </c>
      <c r="Q1128" s="2">
        <v>0.5519</v>
      </c>
      <c r="R1128" s="2">
        <v>0.7691</v>
      </c>
      <c r="S1128" s="2">
        <v>0.52105</v>
      </c>
      <c r="T1128" s="2">
        <v>0.64293</v>
      </c>
    </row>
    <row r="1129" spans="12:20" ht="12.75">
      <c r="L1129" s="2">
        <v>152.8</v>
      </c>
      <c r="M1129" s="2">
        <v>0.5519</v>
      </c>
      <c r="N1129" s="2">
        <v>0.7691</v>
      </c>
      <c r="O1129" s="2">
        <v>0.4901</v>
      </c>
      <c r="P1129" s="157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</row>
    <row r="1130" spans="12:20" ht="12.75">
      <c r="L1130" s="2">
        <v>152.9</v>
      </c>
      <c r="M1130" s="2">
        <v>0.5518</v>
      </c>
      <c r="N1130" s="2">
        <v>0.7691</v>
      </c>
      <c r="O1130" s="2">
        <v>0.491</v>
      </c>
      <c r="P1130" s="157">
        <v>0.51646</v>
      </c>
      <c r="Q1130" s="2">
        <v>0.5518</v>
      </c>
      <c r="R1130" s="2">
        <v>0.7691</v>
      </c>
      <c r="S1130" s="2">
        <v>0.5214</v>
      </c>
      <c r="T1130" s="2">
        <v>0.64278</v>
      </c>
    </row>
    <row r="1131" spans="12:20" ht="12.75">
      <c r="L1131" s="2">
        <v>153</v>
      </c>
      <c r="M1131" s="2">
        <v>0.5518</v>
      </c>
      <c r="N1131" s="2">
        <v>0.7691</v>
      </c>
      <c r="O1131" s="2">
        <v>0.4899</v>
      </c>
      <c r="P1131" s="157">
        <v>0.51632</v>
      </c>
      <c r="Q1131" s="2">
        <v>0.5518</v>
      </c>
      <c r="R1131" s="2">
        <v>0.7691</v>
      </c>
      <c r="S1131" s="2">
        <v>0.52085</v>
      </c>
      <c r="T1131" s="2">
        <v>0.64271</v>
      </c>
    </row>
    <row r="1132" spans="12:20" ht="12.75">
      <c r="L1132" s="2">
        <v>153.1</v>
      </c>
      <c r="M1132" s="2">
        <v>0.5517</v>
      </c>
      <c r="N1132" s="2">
        <v>0.7691</v>
      </c>
      <c r="O1132" s="2">
        <v>0.4898</v>
      </c>
      <c r="P1132" s="157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</row>
    <row r="1133" spans="12:20" ht="12.75">
      <c r="L1133" s="2">
        <v>153.2</v>
      </c>
      <c r="M1133" s="2">
        <v>0.5517</v>
      </c>
      <c r="N1133" s="2">
        <v>0.7691</v>
      </c>
      <c r="O1133" s="2">
        <v>0.4897</v>
      </c>
      <c r="P1133" s="157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</row>
    <row r="1134" spans="12:20" ht="12.75">
      <c r="L1134" s="2">
        <v>153.3</v>
      </c>
      <c r="M1134" s="2">
        <v>0.5516</v>
      </c>
      <c r="N1134" s="2">
        <v>0.7691</v>
      </c>
      <c r="O1134" s="2">
        <v>0.4896</v>
      </c>
      <c r="P1134" s="157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</row>
    <row r="1135" spans="12:20" ht="12.75">
      <c r="L1135" s="2">
        <v>153.4</v>
      </c>
      <c r="M1135" s="2">
        <v>0.5515</v>
      </c>
      <c r="N1135" s="2">
        <v>0.7691</v>
      </c>
      <c r="O1135" s="2">
        <v>0.4895</v>
      </c>
      <c r="P1135" s="157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</row>
    <row r="1136" spans="12:20" ht="12.75">
      <c r="L1136" s="2">
        <v>153.5</v>
      </c>
      <c r="M1136" s="2">
        <v>0.5515</v>
      </c>
      <c r="N1136" s="2">
        <v>0.7691</v>
      </c>
      <c r="O1136" s="2">
        <v>0.4894</v>
      </c>
      <c r="P1136" s="157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</row>
    <row r="1137" spans="12:20" ht="12.75">
      <c r="L1137" s="2">
        <v>153.6</v>
      </c>
      <c r="M1137" s="2">
        <v>0.5514</v>
      </c>
      <c r="N1137" s="2">
        <v>0.7691</v>
      </c>
      <c r="O1137" s="2">
        <v>0.4893</v>
      </c>
      <c r="P1137" s="157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</row>
    <row r="1138" spans="12:20" ht="12.75">
      <c r="L1138" s="2">
        <v>153.7</v>
      </c>
      <c r="M1138" s="2">
        <v>0.5514</v>
      </c>
      <c r="N1138" s="2">
        <v>0.7691</v>
      </c>
      <c r="O1138" s="2">
        <v>0.4892</v>
      </c>
      <c r="P1138" s="157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</row>
    <row r="1139" spans="12:20" ht="12.75">
      <c r="L1139" s="2">
        <v>153.8</v>
      </c>
      <c r="M1139" s="2">
        <v>0.5513</v>
      </c>
      <c r="N1139" s="2">
        <v>0.7691</v>
      </c>
      <c r="O1139" s="2">
        <v>0.4891</v>
      </c>
      <c r="P1139" s="157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</row>
    <row r="1140" spans="12:20" ht="12.75">
      <c r="L1140" s="2">
        <v>153.9</v>
      </c>
      <c r="M1140" s="2">
        <v>0.5513</v>
      </c>
      <c r="N1140" s="2">
        <v>0.7691</v>
      </c>
      <c r="O1140" s="2">
        <v>0.49</v>
      </c>
      <c r="P1140" s="157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</row>
    <row r="1141" spans="12:20" ht="12.75">
      <c r="L1141" s="2">
        <v>154</v>
      </c>
      <c r="M1141" s="2">
        <v>0.5512</v>
      </c>
      <c r="N1141" s="2">
        <v>0.7691</v>
      </c>
      <c r="O1141" s="2">
        <v>0.4889</v>
      </c>
      <c r="P1141" s="157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</row>
    <row r="1142" spans="12:20" ht="12.75">
      <c r="L1142" s="2">
        <v>154.1</v>
      </c>
      <c r="M1142" s="2">
        <v>0.5512</v>
      </c>
      <c r="N1142" s="2">
        <v>0.7691</v>
      </c>
      <c r="O1142" s="2">
        <v>0.4888</v>
      </c>
      <c r="P1142" s="157">
        <v>0.51466</v>
      </c>
      <c r="Q1142" s="2">
        <v>0.5512</v>
      </c>
      <c r="R1142" s="2">
        <v>0.7691</v>
      </c>
      <c r="S1142" s="2">
        <v>0.52</v>
      </c>
      <c r="T1142" s="2">
        <v>0.64188</v>
      </c>
    </row>
    <row r="1143" spans="12:20" ht="12.75">
      <c r="L1143" s="2">
        <v>154.2</v>
      </c>
      <c r="M1143" s="2">
        <v>0.5511</v>
      </c>
      <c r="N1143" s="2">
        <v>0.7691</v>
      </c>
      <c r="O1143" s="2">
        <v>0.4887</v>
      </c>
      <c r="P1143" s="157">
        <v>0.51452</v>
      </c>
      <c r="Q1143" s="2">
        <v>0.5511</v>
      </c>
      <c r="R1143" s="2">
        <v>0.7691</v>
      </c>
      <c r="S1143" s="2">
        <v>0.5199</v>
      </c>
      <c r="T1143" s="2">
        <v>0.64181</v>
      </c>
    </row>
    <row r="1144" spans="12:20" ht="12.75">
      <c r="L1144" s="2">
        <v>154.3</v>
      </c>
      <c r="M1144" s="2">
        <v>0.5511</v>
      </c>
      <c r="N1144" s="2">
        <v>0.7691</v>
      </c>
      <c r="O1144" s="2">
        <v>0.4886</v>
      </c>
      <c r="P1144" s="157">
        <v>0.51436</v>
      </c>
      <c r="Q1144" s="2">
        <v>0.5511</v>
      </c>
      <c r="R1144" s="2">
        <v>0.7691</v>
      </c>
      <c r="S1144" s="2">
        <v>0.51985</v>
      </c>
      <c r="T1144" s="2">
        <v>0.64173</v>
      </c>
    </row>
    <row r="1145" spans="12:20" ht="12.75">
      <c r="L1145" s="2">
        <v>154.4</v>
      </c>
      <c r="M1145" s="2">
        <v>0.551</v>
      </c>
      <c r="N1145" s="2">
        <v>0.7691</v>
      </c>
      <c r="O1145" s="2">
        <v>0.4885</v>
      </c>
      <c r="P1145" s="157">
        <v>0.51422</v>
      </c>
      <c r="Q1145" s="2">
        <v>0.551</v>
      </c>
      <c r="R1145" s="2">
        <v>0.7691</v>
      </c>
      <c r="S1145" s="2">
        <v>0.51975</v>
      </c>
      <c r="T1145" s="2">
        <v>0.64166</v>
      </c>
    </row>
    <row r="1146" spans="12:20" ht="12.75">
      <c r="L1146" s="2">
        <v>154.5</v>
      </c>
      <c r="M1146" s="2">
        <v>0.551</v>
      </c>
      <c r="N1146" s="2">
        <v>0.7691</v>
      </c>
      <c r="O1146" s="2">
        <v>0.4884</v>
      </c>
      <c r="P1146" s="157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</row>
    <row r="1147" spans="12:20" ht="12.75">
      <c r="L1147" s="2">
        <v>154.6</v>
      </c>
      <c r="M1147" s="2">
        <v>0.5509</v>
      </c>
      <c r="N1147" s="2">
        <v>0.7691</v>
      </c>
      <c r="O1147" s="2">
        <v>0.4883</v>
      </c>
      <c r="P1147" s="157">
        <v>0.51392</v>
      </c>
      <c r="Q1147" s="2">
        <v>0.5509</v>
      </c>
      <c r="R1147" s="2">
        <v>0.7691</v>
      </c>
      <c r="S1147" s="2">
        <v>0.5196</v>
      </c>
      <c r="T1147" s="2">
        <v>0.64151</v>
      </c>
    </row>
    <row r="1148" spans="12:20" ht="12.75">
      <c r="L1148" s="2">
        <v>154.7</v>
      </c>
      <c r="M1148" s="2">
        <v>0.5509</v>
      </c>
      <c r="N1148" s="2">
        <v>0.7691</v>
      </c>
      <c r="O1148" s="2">
        <v>0.4882</v>
      </c>
      <c r="P1148" s="157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</row>
    <row r="1149" spans="12:20" ht="12.75">
      <c r="L1149" s="2">
        <v>154.8</v>
      </c>
      <c r="M1149" s="2">
        <v>0.5508</v>
      </c>
      <c r="N1149" s="2">
        <v>0.7691</v>
      </c>
      <c r="O1149" s="2">
        <v>0.4881</v>
      </c>
      <c r="P1149" s="157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</row>
    <row r="1150" spans="12:20" ht="12.75">
      <c r="L1150" s="2">
        <v>154.9</v>
      </c>
      <c r="M1150" s="2">
        <v>0.5508</v>
      </c>
      <c r="N1150" s="2">
        <v>0.7691</v>
      </c>
      <c r="O1150" s="2">
        <v>0.489</v>
      </c>
      <c r="P1150" s="157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</row>
    <row r="1151" spans="12:20" ht="12.75">
      <c r="L1151" s="2">
        <v>155</v>
      </c>
      <c r="M1151" s="2">
        <v>0.5507</v>
      </c>
      <c r="N1151" s="2">
        <v>0.7691</v>
      </c>
      <c r="O1151" s="2">
        <v>0.4879</v>
      </c>
      <c r="P1151" s="157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</row>
    <row r="1152" spans="12:20" ht="12.75">
      <c r="L1152" s="2">
        <v>155.1</v>
      </c>
      <c r="M1152" s="2">
        <v>0.5507</v>
      </c>
      <c r="N1152" s="2">
        <v>0.7691</v>
      </c>
      <c r="O1152" s="2">
        <v>0.4878</v>
      </c>
      <c r="P1152" s="157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</row>
    <row r="1153" spans="12:20" ht="12.75">
      <c r="L1153" s="2">
        <v>155.2</v>
      </c>
      <c r="M1153" s="2">
        <v>0.5506</v>
      </c>
      <c r="N1153" s="2">
        <v>0.7691</v>
      </c>
      <c r="O1153" s="2">
        <v>0.4877</v>
      </c>
      <c r="P1153" s="157">
        <v>0.51304</v>
      </c>
      <c r="Q1153" s="2">
        <v>0.5506</v>
      </c>
      <c r="R1153" s="2">
        <v>0.7691</v>
      </c>
      <c r="S1153" s="2">
        <v>0.51915</v>
      </c>
      <c r="T1153" s="2">
        <v>0.64107</v>
      </c>
    </row>
    <row r="1154" spans="12:20" ht="12.75">
      <c r="L1154" s="2">
        <v>155.3</v>
      </c>
      <c r="M1154" s="2">
        <v>0.5506</v>
      </c>
      <c r="N1154" s="2">
        <v>0.7691</v>
      </c>
      <c r="O1154" s="2">
        <v>0.4876</v>
      </c>
      <c r="P1154" s="157">
        <v>0.5129</v>
      </c>
      <c r="Q1154" s="2">
        <v>0.5506</v>
      </c>
      <c r="R1154" s="2">
        <v>0.7691</v>
      </c>
      <c r="S1154" s="2">
        <v>0.5191</v>
      </c>
      <c r="T1154" s="2">
        <v>0.641</v>
      </c>
    </row>
    <row r="1155" spans="12:20" ht="12.75">
      <c r="L1155" s="2">
        <v>155.4</v>
      </c>
      <c r="M1155" s="2">
        <v>0.5505</v>
      </c>
      <c r="N1155" s="2">
        <v>0.7691</v>
      </c>
      <c r="O1155" s="2">
        <v>0.4875</v>
      </c>
      <c r="P1155" s="157">
        <v>0.51276</v>
      </c>
      <c r="Q1155" s="2">
        <v>0.5505</v>
      </c>
      <c r="R1155" s="2">
        <v>0.7691</v>
      </c>
      <c r="S1155" s="2">
        <v>0.519</v>
      </c>
      <c r="T1155" s="2">
        <v>0.64093</v>
      </c>
    </row>
    <row r="1156" spans="12:20" ht="12.75">
      <c r="L1156" s="2">
        <v>155.5</v>
      </c>
      <c r="M1156" s="2">
        <v>0.5505</v>
      </c>
      <c r="N1156" s="2">
        <v>0.7691</v>
      </c>
      <c r="O1156" s="2">
        <v>0.4874</v>
      </c>
      <c r="P1156" s="157">
        <v>0.51262</v>
      </c>
      <c r="Q1156" s="2">
        <v>0.5505</v>
      </c>
      <c r="R1156" s="2">
        <v>0.7691</v>
      </c>
      <c r="S1156" s="2">
        <v>0.51895</v>
      </c>
      <c r="T1156" s="2">
        <v>0.64086</v>
      </c>
    </row>
    <row r="1157" spans="12:20" ht="12.75">
      <c r="L1157" s="2">
        <v>155.6</v>
      </c>
      <c r="M1157" s="2">
        <v>0.5504</v>
      </c>
      <c r="N1157" s="2">
        <v>0.7691</v>
      </c>
      <c r="O1157" s="2">
        <v>0.4874</v>
      </c>
      <c r="P1157" s="157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</row>
    <row r="1158" spans="12:20" ht="12.75">
      <c r="L1158" s="2">
        <v>155.7</v>
      </c>
      <c r="M1158" s="2">
        <v>0.5504</v>
      </c>
      <c r="N1158" s="2">
        <v>0.7691</v>
      </c>
      <c r="O1158" s="2">
        <v>0.4873</v>
      </c>
      <c r="P1158" s="157">
        <v>0.51232</v>
      </c>
      <c r="Q1158" s="2">
        <v>0.5504</v>
      </c>
      <c r="R1158" s="2">
        <v>0.7691</v>
      </c>
      <c r="S1158" s="2">
        <v>0.51885</v>
      </c>
      <c r="T1158" s="2">
        <v>0.64071</v>
      </c>
    </row>
    <row r="1159" spans="12:20" ht="12.75">
      <c r="L1159" s="2">
        <v>155.8</v>
      </c>
      <c r="M1159" s="2">
        <v>0.5503</v>
      </c>
      <c r="N1159" s="2">
        <v>0.7691</v>
      </c>
      <c r="O1159" s="2">
        <v>0.4872</v>
      </c>
      <c r="P1159" s="157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</row>
    <row r="1160" spans="12:20" ht="12.75">
      <c r="L1160" s="2">
        <v>155.9</v>
      </c>
      <c r="M1160" s="2">
        <v>0.5503</v>
      </c>
      <c r="N1160" s="2">
        <v>0.7691</v>
      </c>
      <c r="O1160" s="2">
        <v>0.488</v>
      </c>
      <c r="P1160" s="157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</row>
    <row r="1161" spans="12:20" ht="12.75">
      <c r="L1161" s="2">
        <v>156</v>
      </c>
      <c r="M1161" s="2">
        <v>0.5502</v>
      </c>
      <c r="N1161" s="2">
        <v>0.7691</v>
      </c>
      <c r="O1161" s="2">
        <v>0.487</v>
      </c>
      <c r="P1161" s="157">
        <v>0.51192</v>
      </c>
      <c r="Q1161" s="2">
        <v>0.5502</v>
      </c>
      <c r="R1161" s="2">
        <v>0.7691</v>
      </c>
      <c r="S1161" s="2">
        <v>0.5186</v>
      </c>
      <c r="T1161" s="2">
        <v>0.64051</v>
      </c>
    </row>
    <row r="1162" spans="12:20" ht="12.75">
      <c r="L1162" s="2">
        <v>156.1</v>
      </c>
      <c r="M1162" s="2">
        <v>0.5502</v>
      </c>
      <c r="N1162" s="2">
        <v>0.7691</v>
      </c>
      <c r="O1162" s="2">
        <v>0.4869</v>
      </c>
      <c r="P1162" s="157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</row>
    <row r="1163" spans="12:20" ht="12.75">
      <c r="L1163" s="2">
        <v>156.2</v>
      </c>
      <c r="M1163" s="2">
        <v>0.5501</v>
      </c>
      <c r="N1163" s="2">
        <v>0.7691</v>
      </c>
      <c r="O1163" s="2">
        <v>0.4868</v>
      </c>
      <c r="P1163" s="157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</row>
    <row r="1164" spans="12:20" ht="12.75">
      <c r="L1164" s="2">
        <v>156.3</v>
      </c>
      <c r="M1164" s="2">
        <v>0.5501</v>
      </c>
      <c r="N1164" s="2">
        <v>0.7691</v>
      </c>
      <c r="O1164" s="2">
        <v>0.4868</v>
      </c>
      <c r="P1164" s="157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</row>
    <row r="1165" spans="12:20" ht="12.75">
      <c r="L1165" s="2">
        <v>156.4</v>
      </c>
      <c r="M1165" s="2">
        <v>0.55</v>
      </c>
      <c r="N1165" s="2">
        <v>0.7691</v>
      </c>
      <c r="O1165" s="2">
        <v>0.4867</v>
      </c>
      <c r="P1165" s="157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</row>
    <row r="1166" spans="12:20" ht="12.75">
      <c r="L1166" s="2">
        <v>156.5</v>
      </c>
      <c r="M1166" s="2">
        <v>0.55</v>
      </c>
      <c r="N1166" s="2">
        <v>0.7691</v>
      </c>
      <c r="O1166" s="2">
        <v>0.4866</v>
      </c>
      <c r="P1166" s="157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</row>
    <row r="1167" spans="12:20" ht="12.75">
      <c r="L1167" s="2">
        <v>156.6</v>
      </c>
      <c r="M1167" s="2">
        <v>0.5499</v>
      </c>
      <c r="N1167" s="2">
        <v>0.7691</v>
      </c>
      <c r="O1167" s="2">
        <v>0.4865</v>
      </c>
      <c r="P1167" s="157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</row>
    <row r="1168" spans="12:20" ht="12.75">
      <c r="L1168" s="2">
        <v>156.7</v>
      </c>
      <c r="M1168" s="2">
        <v>0.5499</v>
      </c>
      <c r="N1168" s="2">
        <v>0.7691</v>
      </c>
      <c r="O1168" s="2">
        <v>0.4864</v>
      </c>
      <c r="P1168" s="157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</row>
    <row r="1169" spans="12:20" ht="12.75">
      <c r="L1169" s="2">
        <v>156.8</v>
      </c>
      <c r="M1169" s="2">
        <v>0.5498</v>
      </c>
      <c r="N1169" s="2">
        <v>0.7691</v>
      </c>
      <c r="O1169" s="2">
        <v>0.4863</v>
      </c>
      <c r="P1169" s="157">
        <v>0.5108</v>
      </c>
      <c r="Q1169" s="2">
        <v>0.5498</v>
      </c>
      <c r="R1169" s="2">
        <v>0.7691</v>
      </c>
      <c r="S1169" s="2">
        <v>0.51805</v>
      </c>
      <c r="T1169" s="2">
        <v>0.63995</v>
      </c>
    </row>
    <row r="1170" spans="12:20" ht="12.75">
      <c r="L1170" s="2">
        <v>156.9</v>
      </c>
      <c r="M1170" s="2">
        <v>0.5498</v>
      </c>
      <c r="N1170" s="2">
        <v>0.7691</v>
      </c>
      <c r="O1170" s="2">
        <v>0.4871</v>
      </c>
      <c r="P1170" s="157">
        <v>0.51066</v>
      </c>
      <c r="Q1170" s="2">
        <v>0.5498</v>
      </c>
      <c r="R1170" s="2">
        <v>0.7691</v>
      </c>
      <c r="S1170" s="2">
        <v>0.51845</v>
      </c>
      <c r="T1170" s="2">
        <v>0.63988</v>
      </c>
    </row>
    <row r="1171" spans="12:20" ht="12.75">
      <c r="L1171" s="2">
        <v>157</v>
      </c>
      <c r="M1171" s="2">
        <v>0.5497</v>
      </c>
      <c r="N1171" s="2">
        <v>0.7691</v>
      </c>
      <c r="O1171" s="2">
        <v>0.4861</v>
      </c>
      <c r="P1171" s="157">
        <v>0.51052</v>
      </c>
      <c r="Q1171" s="2">
        <v>0.5497</v>
      </c>
      <c r="R1171" s="2">
        <v>0.7691</v>
      </c>
      <c r="S1171" s="2">
        <v>0.5179</v>
      </c>
      <c r="T1171" s="2">
        <v>0.63981</v>
      </c>
    </row>
    <row r="1172" spans="12:20" ht="12.75">
      <c r="L1172" s="2">
        <v>157.1</v>
      </c>
      <c r="M1172" s="2">
        <v>0.5497</v>
      </c>
      <c r="N1172" s="2">
        <v>0.7691</v>
      </c>
      <c r="O1172" s="2">
        <v>0.486</v>
      </c>
      <c r="P1172" s="157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</row>
    <row r="1173" spans="12:20" ht="12.75">
      <c r="L1173" s="2">
        <v>157.2</v>
      </c>
      <c r="M1173" s="2">
        <v>0.5496</v>
      </c>
      <c r="N1173" s="2">
        <v>0.7691</v>
      </c>
      <c r="O1173" s="2">
        <v>0.4859</v>
      </c>
      <c r="P1173" s="157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</row>
    <row r="1174" spans="12:20" ht="12.75">
      <c r="L1174" s="2">
        <v>157.3</v>
      </c>
      <c r="M1174" s="2">
        <v>0.5496</v>
      </c>
      <c r="N1174" s="2">
        <v>0.7691</v>
      </c>
      <c r="O1174" s="2">
        <v>0.4859</v>
      </c>
      <c r="P1174" s="157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</row>
    <row r="1175" spans="12:20" ht="12.75">
      <c r="L1175" s="2">
        <v>157.4</v>
      </c>
      <c r="M1175" s="2">
        <v>0.5495</v>
      </c>
      <c r="N1175" s="2">
        <v>0.7691</v>
      </c>
      <c r="O1175" s="2">
        <v>0.4858</v>
      </c>
      <c r="P1175" s="157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</row>
    <row r="1176" spans="12:20" ht="12.75">
      <c r="L1176" s="2">
        <v>157.5</v>
      </c>
      <c r="M1176" s="2">
        <v>0.5495</v>
      </c>
      <c r="N1176" s="2">
        <v>0.7691</v>
      </c>
      <c r="O1176" s="2">
        <v>0.4857</v>
      </c>
      <c r="P1176" s="157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</row>
    <row r="1177" spans="12:20" ht="12.75">
      <c r="L1177" s="2">
        <v>157.6</v>
      </c>
      <c r="M1177" s="2">
        <v>0.5494</v>
      </c>
      <c r="N1177" s="2">
        <v>0.7691</v>
      </c>
      <c r="O1177" s="2">
        <v>0.4856</v>
      </c>
      <c r="P1177" s="157">
        <v>0.50968</v>
      </c>
      <c r="Q1177" s="2">
        <v>0.5494</v>
      </c>
      <c r="R1177" s="2">
        <v>0.7691</v>
      </c>
      <c r="S1177" s="2">
        <v>0.5175</v>
      </c>
      <c r="T1177" s="2">
        <v>0.63939</v>
      </c>
    </row>
    <row r="1178" spans="12:20" ht="12.75">
      <c r="L1178" s="2">
        <v>157.7</v>
      </c>
      <c r="M1178" s="2">
        <v>0.5494</v>
      </c>
      <c r="N1178" s="2">
        <v>0.7691</v>
      </c>
      <c r="O1178" s="2">
        <v>0.4855</v>
      </c>
      <c r="P1178" s="157">
        <v>0.50954</v>
      </c>
      <c r="Q1178" s="2">
        <v>0.5494</v>
      </c>
      <c r="R1178" s="2">
        <v>0.7691</v>
      </c>
      <c r="S1178" s="2">
        <v>0.51745</v>
      </c>
      <c r="T1178" s="2">
        <v>0.63932</v>
      </c>
    </row>
    <row r="1179" spans="12:20" ht="12.75">
      <c r="L1179" s="2">
        <v>157.8</v>
      </c>
      <c r="M1179" s="2">
        <v>0.5493</v>
      </c>
      <c r="N1179" s="2">
        <v>0.7691</v>
      </c>
      <c r="O1179" s="2">
        <v>0.4854</v>
      </c>
      <c r="P1179" s="157">
        <v>0.5094</v>
      </c>
      <c r="Q1179" s="2">
        <v>0.5493</v>
      </c>
      <c r="R1179" s="2">
        <v>0.7691</v>
      </c>
      <c r="S1179" s="2">
        <v>0.51735</v>
      </c>
      <c r="T1179" s="2">
        <v>0.63925</v>
      </c>
    </row>
    <row r="1180" spans="12:20" ht="12.75">
      <c r="L1180" s="2">
        <v>157.9</v>
      </c>
      <c r="M1180" s="2">
        <v>0.5493</v>
      </c>
      <c r="N1180" s="2">
        <v>0.7691</v>
      </c>
      <c r="O1180" s="2">
        <v>0.4862</v>
      </c>
      <c r="P1180" s="157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</row>
    <row r="1181" spans="12:20" ht="12.75">
      <c r="L1181" s="2">
        <v>158</v>
      </c>
      <c r="M1181" s="2">
        <v>0.5492</v>
      </c>
      <c r="N1181" s="2">
        <v>0.7691</v>
      </c>
      <c r="O1181" s="2">
        <v>0.4852</v>
      </c>
      <c r="P1181" s="157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</row>
    <row r="1182" spans="12:20" ht="12.75">
      <c r="L1182" s="2">
        <v>158.1</v>
      </c>
      <c r="M1182" s="2">
        <v>0.5492</v>
      </c>
      <c r="N1182" s="2">
        <v>0.7691</v>
      </c>
      <c r="O1182" s="2">
        <v>0.4851</v>
      </c>
      <c r="P1182" s="157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</row>
    <row r="1183" spans="12:20" ht="12.75">
      <c r="L1183" s="2">
        <v>158.2</v>
      </c>
      <c r="M1183" s="2">
        <v>0.5491</v>
      </c>
      <c r="N1183" s="2">
        <v>0.7691</v>
      </c>
      <c r="O1183" s="2">
        <v>0.485</v>
      </c>
      <c r="P1183" s="157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</row>
    <row r="1184" spans="12:20" ht="12.75">
      <c r="L1184" s="2">
        <v>158.3</v>
      </c>
      <c r="M1184" s="2">
        <v>0.5491</v>
      </c>
      <c r="N1184" s="2">
        <v>0.7691</v>
      </c>
      <c r="O1184" s="2">
        <v>0.485</v>
      </c>
      <c r="P1184" s="157">
        <v>0.5087</v>
      </c>
      <c r="Q1184" s="2">
        <v>0.5491</v>
      </c>
      <c r="R1184" s="2">
        <v>0.7691</v>
      </c>
      <c r="S1184" s="2">
        <v>0.51705</v>
      </c>
      <c r="T1184" s="2">
        <v>0.6389</v>
      </c>
    </row>
    <row r="1185" spans="12:20" ht="12.75">
      <c r="L1185" s="2">
        <v>158.4</v>
      </c>
      <c r="M1185" s="2">
        <v>0.549</v>
      </c>
      <c r="N1185" s="2">
        <v>0.7691</v>
      </c>
      <c r="O1185" s="2">
        <v>0.4849</v>
      </c>
      <c r="P1185" s="157">
        <v>0.50856</v>
      </c>
      <c r="Q1185" s="2">
        <v>0.549</v>
      </c>
      <c r="R1185" s="2">
        <v>0.7691</v>
      </c>
      <c r="S1185" s="2">
        <v>0.51695</v>
      </c>
      <c r="T1185" s="2">
        <v>0.63883</v>
      </c>
    </row>
    <row r="1186" spans="12:20" ht="12.75">
      <c r="L1186" s="2">
        <v>158.5</v>
      </c>
      <c r="M1186" s="2">
        <v>0.549</v>
      </c>
      <c r="N1186" s="2">
        <v>0.7691</v>
      </c>
      <c r="O1186" s="2">
        <v>0.4848</v>
      </c>
      <c r="P1186" s="157">
        <v>0.50842</v>
      </c>
      <c r="Q1186" s="2">
        <v>0.549</v>
      </c>
      <c r="R1186" s="2">
        <v>0.7691</v>
      </c>
      <c r="S1186" s="2">
        <v>0.5169</v>
      </c>
      <c r="T1186" s="2">
        <v>0.63876</v>
      </c>
    </row>
    <row r="1187" spans="12:20" ht="12.75">
      <c r="L1187" s="2">
        <v>158.6</v>
      </c>
      <c r="M1187" s="2">
        <v>0.5489</v>
      </c>
      <c r="N1187" s="2">
        <v>0.7691</v>
      </c>
      <c r="O1187" s="2">
        <v>0.4847</v>
      </c>
      <c r="P1187" s="157">
        <v>0.50828</v>
      </c>
      <c r="Q1187" s="2">
        <v>0.5489</v>
      </c>
      <c r="R1187" s="2">
        <v>0.7691</v>
      </c>
      <c r="S1187" s="2">
        <v>0.5168</v>
      </c>
      <c r="T1187" s="2">
        <v>0.63869</v>
      </c>
    </row>
    <row r="1188" spans="12:20" ht="12.75">
      <c r="L1188" s="2">
        <v>158.7</v>
      </c>
      <c r="M1188" s="2">
        <v>0.5489</v>
      </c>
      <c r="N1188" s="2">
        <v>0.7691</v>
      </c>
      <c r="O1188" s="2">
        <v>0.4846</v>
      </c>
      <c r="P1188" s="157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</row>
    <row r="1189" spans="12:20" ht="12.75">
      <c r="L1189" s="2">
        <v>158.8</v>
      </c>
      <c r="M1189" s="2">
        <v>0.5488</v>
      </c>
      <c r="N1189" s="2">
        <v>0.7691</v>
      </c>
      <c r="O1189" s="2">
        <v>0.4845</v>
      </c>
      <c r="P1189" s="157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</row>
    <row r="1190" spans="12:20" ht="12.75">
      <c r="L1190" s="2">
        <v>158.9</v>
      </c>
      <c r="M1190" s="2">
        <v>0.5488</v>
      </c>
      <c r="N1190" s="2">
        <v>0.7691</v>
      </c>
      <c r="O1190" s="2">
        <v>0.4853</v>
      </c>
      <c r="P1190" s="157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</row>
    <row r="1191" spans="12:20" ht="12.75">
      <c r="L1191" s="2">
        <v>159</v>
      </c>
      <c r="M1191" s="2">
        <v>0.5487</v>
      </c>
      <c r="N1191" s="2">
        <v>0.7691</v>
      </c>
      <c r="O1191" s="2">
        <v>0.4843</v>
      </c>
      <c r="P1191" s="157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</row>
    <row r="1192" spans="12:20" ht="12.75">
      <c r="L1192" s="2">
        <v>159.1</v>
      </c>
      <c r="M1192" s="2">
        <v>0.5487</v>
      </c>
      <c r="N1192" s="2">
        <v>0.7691</v>
      </c>
      <c r="O1192" s="2">
        <v>0.4842</v>
      </c>
      <c r="P1192" s="157">
        <v>0.50758</v>
      </c>
      <c r="Q1192" s="2">
        <v>0.5487</v>
      </c>
      <c r="R1192" s="2">
        <v>0.7691</v>
      </c>
      <c r="S1192" s="2">
        <v>0.51645</v>
      </c>
      <c r="T1192" s="2">
        <v>0.63834</v>
      </c>
    </row>
    <row r="1193" spans="12:20" ht="12.75">
      <c r="L1193" s="2">
        <v>159.2</v>
      </c>
      <c r="M1193" s="2">
        <v>0.5486</v>
      </c>
      <c r="N1193" s="2">
        <v>0.7691</v>
      </c>
      <c r="O1193" s="2">
        <v>0.4841</v>
      </c>
      <c r="P1193" s="157">
        <v>0.50744</v>
      </c>
      <c r="Q1193" s="2">
        <v>0.5486</v>
      </c>
      <c r="R1193" s="2">
        <v>0.7691</v>
      </c>
      <c r="S1193" s="2">
        <v>0.51635</v>
      </c>
      <c r="T1193" s="2">
        <v>0.63827</v>
      </c>
    </row>
    <row r="1194" spans="12:20" ht="12.75">
      <c r="L1194" s="2">
        <v>159.3</v>
      </c>
      <c r="M1194" s="2">
        <v>0.5486</v>
      </c>
      <c r="N1194" s="2">
        <v>0.7691</v>
      </c>
      <c r="O1194" s="2">
        <v>0.4841</v>
      </c>
      <c r="P1194" s="157">
        <v>0.5073</v>
      </c>
      <c r="Q1194" s="2">
        <v>0.5486</v>
      </c>
      <c r="R1194" s="2">
        <v>0.7691</v>
      </c>
      <c r="S1194" s="2">
        <v>0.51635</v>
      </c>
      <c r="T1194" s="2">
        <v>0.6382</v>
      </c>
    </row>
    <row r="1195" spans="12:20" ht="12.75">
      <c r="L1195" s="2">
        <v>159.4</v>
      </c>
      <c r="M1195" s="2">
        <v>0.5485</v>
      </c>
      <c r="N1195" s="2">
        <v>0.7691</v>
      </c>
      <c r="O1195" s="2">
        <v>0.484</v>
      </c>
      <c r="P1195" s="157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</row>
    <row r="1196" spans="12:20" ht="12.75">
      <c r="L1196" s="2">
        <v>159.5</v>
      </c>
      <c r="M1196" s="2">
        <v>0.5485</v>
      </c>
      <c r="N1196" s="2">
        <v>0.7691</v>
      </c>
      <c r="O1196" s="2">
        <v>0.4839</v>
      </c>
      <c r="P1196" s="157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</row>
    <row r="1197" spans="12:20" ht="12.75">
      <c r="L1197" s="2">
        <v>159.6</v>
      </c>
      <c r="M1197" s="2">
        <v>0.5484</v>
      </c>
      <c r="N1197" s="2">
        <v>0.7691</v>
      </c>
      <c r="O1197" s="2">
        <v>0.4838</v>
      </c>
      <c r="P1197" s="157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</row>
    <row r="1198" spans="12:20" ht="12.75">
      <c r="L1198" s="2">
        <v>159.7</v>
      </c>
      <c r="M1198" s="2">
        <v>0.5484</v>
      </c>
      <c r="N1198" s="2">
        <v>0.7691</v>
      </c>
      <c r="O1198" s="2">
        <v>0.4837</v>
      </c>
      <c r="P1198" s="157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</row>
    <row r="1199" spans="12:20" ht="12.75">
      <c r="L1199" s="2">
        <v>159.8</v>
      </c>
      <c r="M1199" s="2">
        <v>0.5483</v>
      </c>
      <c r="N1199" s="2">
        <v>0.7691</v>
      </c>
      <c r="O1199" s="2">
        <v>0.4836</v>
      </c>
      <c r="P1199" s="157">
        <v>0.5066</v>
      </c>
      <c r="Q1199" s="2">
        <v>0.5483</v>
      </c>
      <c r="R1199" s="2">
        <v>0.7691</v>
      </c>
      <c r="S1199" s="2">
        <v>0.51595</v>
      </c>
      <c r="T1199" s="2">
        <v>0.63785</v>
      </c>
    </row>
    <row r="1200" spans="12:20" ht="12.75">
      <c r="L1200" s="2">
        <v>159.9</v>
      </c>
      <c r="M1200" s="2">
        <v>0.5483</v>
      </c>
      <c r="N1200" s="2">
        <v>0.7691</v>
      </c>
      <c r="O1200" s="2">
        <v>0.4844</v>
      </c>
      <c r="P1200" s="157">
        <v>0.50646</v>
      </c>
      <c r="Q1200" s="2">
        <v>0.5483</v>
      </c>
      <c r="R1200" s="2">
        <v>0.7691</v>
      </c>
      <c r="S1200" s="2">
        <v>0.51635</v>
      </c>
      <c r="T1200" s="2">
        <v>0.63778</v>
      </c>
    </row>
    <row r="1201" spans="12:20" ht="12.75">
      <c r="L1201" s="2">
        <v>160</v>
      </c>
      <c r="M1201" s="2">
        <v>0.5482</v>
      </c>
      <c r="N1201" s="2">
        <v>0.7691</v>
      </c>
      <c r="O1201" s="2">
        <v>0.4834</v>
      </c>
      <c r="P1201" s="157">
        <v>0.50632</v>
      </c>
      <c r="Q1201" s="2">
        <v>0.5482</v>
      </c>
      <c r="R1201" s="2">
        <v>0.7691</v>
      </c>
      <c r="S1201" s="2">
        <v>0.5158</v>
      </c>
      <c r="T1201" s="2">
        <v>0.63771</v>
      </c>
    </row>
    <row r="1202" spans="12:20" ht="12.75">
      <c r="L1202" s="2">
        <v>160.1</v>
      </c>
      <c r="M1202" s="2">
        <v>0.5482</v>
      </c>
      <c r="N1202" s="2">
        <v>0.7691</v>
      </c>
      <c r="O1202" s="2">
        <v>0.4833</v>
      </c>
      <c r="P1202" s="157">
        <v>0.50618</v>
      </c>
      <c r="Q1202" s="2">
        <v>0.5482</v>
      </c>
      <c r="R1202" s="2">
        <v>0.7691</v>
      </c>
      <c r="S1202" s="2">
        <v>0.51575</v>
      </c>
      <c r="T1202" s="2">
        <v>0.63764</v>
      </c>
    </row>
    <row r="1203" spans="12:20" ht="12.75">
      <c r="L1203" s="2">
        <v>160.2</v>
      </c>
      <c r="M1203" s="2">
        <v>0.5481</v>
      </c>
      <c r="N1203" s="2">
        <v>0.7691</v>
      </c>
      <c r="O1203" s="2">
        <v>0.4832</v>
      </c>
      <c r="P1203" s="157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</row>
    <row r="1204" spans="12:20" ht="12.75">
      <c r="L1204" s="2">
        <v>160.3</v>
      </c>
      <c r="M1204" s="2">
        <v>0.5481</v>
      </c>
      <c r="N1204" s="2">
        <v>0.7691</v>
      </c>
      <c r="O1204" s="2">
        <v>0.4832</v>
      </c>
      <c r="P1204" s="157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</row>
    <row r="1205" spans="12:20" ht="12.75">
      <c r="L1205" s="2">
        <v>160.4</v>
      </c>
      <c r="M1205" s="2">
        <v>0.548</v>
      </c>
      <c r="N1205" s="2">
        <v>0.7691</v>
      </c>
      <c r="O1205" s="2">
        <v>0.4831</v>
      </c>
      <c r="P1205" s="157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</row>
    <row r="1206" spans="12:20" ht="12.75">
      <c r="L1206" s="2">
        <v>160.5</v>
      </c>
      <c r="M1206" s="2">
        <v>0.548</v>
      </c>
      <c r="N1206" s="2">
        <v>0.7691</v>
      </c>
      <c r="O1206" s="2">
        <v>0.483</v>
      </c>
      <c r="P1206" s="157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</row>
    <row r="1207" spans="12:20" ht="12.75">
      <c r="L1207" s="2">
        <v>160.6</v>
      </c>
      <c r="M1207" s="2">
        <v>0.5479</v>
      </c>
      <c r="N1207" s="2">
        <v>0.7691</v>
      </c>
      <c r="O1207" s="2">
        <v>0.4829</v>
      </c>
      <c r="P1207" s="157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</row>
    <row r="1208" spans="12:20" ht="12.75">
      <c r="L1208" s="2">
        <v>160.7</v>
      </c>
      <c r="M1208" s="2">
        <v>0.5479</v>
      </c>
      <c r="N1208" s="2">
        <v>0.7691</v>
      </c>
      <c r="O1208" s="2">
        <v>0.4828</v>
      </c>
      <c r="P1208" s="157">
        <v>0.50534</v>
      </c>
      <c r="Q1208" s="2">
        <v>0.5479</v>
      </c>
      <c r="R1208" s="2">
        <v>0.7691</v>
      </c>
      <c r="S1208" s="2">
        <v>0.51535</v>
      </c>
      <c r="T1208" s="2">
        <v>0.63722</v>
      </c>
    </row>
    <row r="1209" spans="12:20" ht="12.75">
      <c r="L1209" s="2">
        <v>160.8</v>
      </c>
      <c r="M1209" s="2">
        <v>0.5478</v>
      </c>
      <c r="N1209" s="2">
        <v>0.7691</v>
      </c>
      <c r="O1209" s="2">
        <v>0.4827</v>
      </c>
      <c r="P1209" s="157">
        <v>0.5052</v>
      </c>
      <c r="Q1209" s="2">
        <v>0.5478</v>
      </c>
      <c r="R1209" s="2">
        <v>0.7691</v>
      </c>
      <c r="S1209" s="2">
        <v>0.51525</v>
      </c>
      <c r="T1209" s="2">
        <v>0.63715</v>
      </c>
    </row>
    <row r="1210" spans="12:20" ht="12.75">
      <c r="L1210" s="2">
        <v>160.9</v>
      </c>
      <c r="M1210" s="2">
        <v>0.5478</v>
      </c>
      <c r="N1210" s="2">
        <v>0.7691</v>
      </c>
      <c r="O1210" s="2">
        <v>0.4835</v>
      </c>
      <c r="P1210" s="157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</row>
    <row r="1211" spans="12:20" ht="12.75">
      <c r="L1211" s="2">
        <v>161</v>
      </c>
      <c r="M1211" s="2">
        <v>0.5477</v>
      </c>
      <c r="N1211" s="2">
        <v>0.7691</v>
      </c>
      <c r="O1211" s="2">
        <v>0.4825</v>
      </c>
      <c r="P1211" s="157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</row>
    <row r="1212" spans="12:20" ht="12.75">
      <c r="L1212" s="2">
        <v>161.1</v>
      </c>
      <c r="M1212" s="2">
        <v>0.5477</v>
      </c>
      <c r="N1212" s="2">
        <v>0.7691</v>
      </c>
      <c r="O1212" s="2">
        <v>0.4824</v>
      </c>
      <c r="P1212" s="157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</row>
    <row r="1213" spans="12:20" ht="12.75">
      <c r="L1213" s="2">
        <v>161.2</v>
      </c>
      <c r="M1213" s="2">
        <v>0.5476</v>
      </c>
      <c r="N1213" s="2">
        <v>0.7691</v>
      </c>
      <c r="O1213" s="2">
        <v>0.4823</v>
      </c>
      <c r="P1213" s="157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</row>
    <row r="1214" spans="12:20" ht="12.75">
      <c r="L1214" s="2">
        <v>161.3</v>
      </c>
      <c r="M1214" s="2">
        <v>0.5476</v>
      </c>
      <c r="N1214" s="2">
        <v>0.7691</v>
      </c>
      <c r="O1214" s="2">
        <v>0.4823</v>
      </c>
      <c r="P1214" s="157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</row>
    <row r="1215" spans="12:20" ht="12.75">
      <c r="L1215" s="2">
        <v>161.4</v>
      </c>
      <c r="M1215" s="2">
        <v>0.5475</v>
      </c>
      <c r="N1215" s="2">
        <v>0.7691</v>
      </c>
      <c r="O1215" s="2">
        <v>0.4822</v>
      </c>
      <c r="P1215" s="157">
        <v>0.50436</v>
      </c>
      <c r="Q1215" s="2">
        <v>0.5475</v>
      </c>
      <c r="R1215" s="2">
        <v>0.7691</v>
      </c>
      <c r="S1215" s="2">
        <v>0.51485</v>
      </c>
      <c r="T1215" s="2">
        <v>0.63673</v>
      </c>
    </row>
    <row r="1216" spans="12:20" ht="12.75">
      <c r="L1216" s="2">
        <v>161.5</v>
      </c>
      <c r="M1216" s="2">
        <v>0.5475</v>
      </c>
      <c r="N1216" s="2">
        <v>0.7691</v>
      </c>
      <c r="O1216" s="2">
        <v>0.4821</v>
      </c>
      <c r="P1216" s="157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</row>
    <row r="1217" spans="12:20" ht="12.75">
      <c r="L1217" s="2">
        <v>161.6</v>
      </c>
      <c r="M1217" s="2">
        <v>0.5474</v>
      </c>
      <c r="N1217" s="2">
        <v>0.7691</v>
      </c>
      <c r="O1217" s="2">
        <v>0.482</v>
      </c>
      <c r="P1217" s="157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</row>
    <row r="1218" spans="12:20" ht="12.75">
      <c r="L1218" s="2">
        <v>161.7</v>
      </c>
      <c r="M1218" s="2">
        <v>0.5474</v>
      </c>
      <c r="N1218" s="2">
        <v>0.7691</v>
      </c>
      <c r="O1218" s="2">
        <v>0.4819</v>
      </c>
      <c r="P1218" s="157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</row>
    <row r="1219" spans="12:20" ht="12.75">
      <c r="L1219" s="2">
        <v>161.8</v>
      </c>
      <c r="M1219" s="2">
        <v>0.5473</v>
      </c>
      <c r="N1219" s="2">
        <v>0.7691</v>
      </c>
      <c r="O1219" s="2">
        <v>0.4818</v>
      </c>
      <c r="P1219" s="157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</row>
    <row r="1220" spans="12:20" ht="12.75">
      <c r="L1220" s="2">
        <v>161.9</v>
      </c>
      <c r="M1220" s="2">
        <v>0.5473</v>
      </c>
      <c r="N1220" s="2">
        <v>0.7691</v>
      </c>
      <c r="O1220" s="2">
        <v>0.4826</v>
      </c>
      <c r="P1220" s="157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</row>
    <row r="1221" spans="12:20" ht="12.75">
      <c r="L1221" s="2">
        <v>162</v>
      </c>
      <c r="M1221" s="2">
        <v>0.5472</v>
      </c>
      <c r="N1221" s="2">
        <v>0.7691</v>
      </c>
      <c r="O1221" s="2">
        <v>0.4816</v>
      </c>
      <c r="P1221" s="157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</row>
    <row r="1222" spans="12:20" ht="12.75">
      <c r="L1222" s="2">
        <v>162.1</v>
      </c>
      <c r="M1222" s="2">
        <v>0.5471</v>
      </c>
      <c r="N1222" s="2">
        <v>0.7691</v>
      </c>
      <c r="O1222" s="2">
        <v>0.4815</v>
      </c>
      <c r="P1222" s="157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</row>
    <row r="1223" spans="12:20" ht="12.75">
      <c r="L1223" s="2">
        <v>162.2</v>
      </c>
      <c r="M1223" s="2">
        <v>0.5471</v>
      </c>
      <c r="N1223" s="2">
        <v>0.7691</v>
      </c>
      <c r="O1223" s="2">
        <v>0.4814</v>
      </c>
      <c r="P1223" s="157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</row>
    <row r="1224" spans="12:20" ht="12.75">
      <c r="L1224" s="2">
        <v>162.3</v>
      </c>
      <c r="M1224" s="2">
        <v>0.547</v>
      </c>
      <c r="N1224" s="2">
        <v>0.7691</v>
      </c>
      <c r="O1224" s="2">
        <v>0.4814</v>
      </c>
      <c r="P1224" s="157">
        <v>0.50304</v>
      </c>
      <c r="Q1224" s="2">
        <v>0.547</v>
      </c>
      <c r="R1224" s="2">
        <v>0.7691</v>
      </c>
      <c r="S1224" s="2">
        <v>0.5142</v>
      </c>
      <c r="T1224" s="2">
        <v>0.63607</v>
      </c>
    </row>
    <row r="1225" spans="12:20" ht="12.75">
      <c r="L1225" s="2">
        <v>162.4</v>
      </c>
      <c r="M1225" s="2">
        <v>0.547</v>
      </c>
      <c r="N1225" s="2">
        <v>0.7691</v>
      </c>
      <c r="O1225" s="2">
        <v>0.4813</v>
      </c>
      <c r="P1225" s="157">
        <v>0.5029</v>
      </c>
      <c r="Q1225" s="2">
        <v>0.547</v>
      </c>
      <c r="R1225" s="2">
        <v>0.7691</v>
      </c>
      <c r="S1225" s="2">
        <v>0.51415</v>
      </c>
      <c r="T1225" s="2">
        <v>0.636</v>
      </c>
    </row>
    <row r="1226" spans="12:20" ht="12.75">
      <c r="L1226" s="2">
        <v>162.5</v>
      </c>
      <c r="M1226" s="2">
        <v>0.5469</v>
      </c>
      <c r="N1226" s="2">
        <v>0.7691</v>
      </c>
      <c r="O1226" s="2">
        <v>0.4812</v>
      </c>
      <c r="P1226" s="157">
        <v>0.50276</v>
      </c>
      <c r="Q1226" s="2">
        <v>0.5469</v>
      </c>
      <c r="R1226" s="2">
        <v>0.7691</v>
      </c>
      <c r="S1226" s="2">
        <v>0.51405</v>
      </c>
      <c r="T1226" s="2">
        <v>0.63593</v>
      </c>
    </row>
    <row r="1227" spans="12:20" ht="12.75">
      <c r="L1227" s="2">
        <v>162.6</v>
      </c>
      <c r="M1227" s="2">
        <v>0.5469</v>
      </c>
      <c r="N1227" s="2">
        <v>0.7691</v>
      </c>
      <c r="O1227" s="2">
        <v>0.4811</v>
      </c>
      <c r="P1227" s="157">
        <v>0.50262</v>
      </c>
      <c r="Q1227" s="2">
        <v>0.5469</v>
      </c>
      <c r="R1227" s="2">
        <v>0.7691</v>
      </c>
      <c r="S1227" s="2">
        <v>0.514</v>
      </c>
      <c r="T1227" s="2">
        <v>0.63586</v>
      </c>
    </row>
    <row r="1228" spans="12:20" ht="12.75">
      <c r="L1228" s="2">
        <v>162.7</v>
      </c>
      <c r="M1228" s="2">
        <v>0.5468</v>
      </c>
      <c r="N1228" s="2">
        <v>0.7691</v>
      </c>
      <c r="O1228" s="2">
        <v>0.481</v>
      </c>
      <c r="P1228" s="157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</row>
    <row r="1229" spans="12:20" ht="12.75">
      <c r="L1229" s="2">
        <v>162.8</v>
      </c>
      <c r="M1229" s="2">
        <v>0.5468</v>
      </c>
      <c r="N1229" s="2">
        <v>0.7691</v>
      </c>
      <c r="O1229" s="2">
        <v>0.4809</v>
      </c>
      <c r="P1229" s="157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</row>
    <row r="1230" spans="12:20" ht="12.75">
      <c r="L1230" s="2">
        <v>162.9</v>
      </c>
      <c r="M1230" s="2">
        <v>0.5467</v>
      </c>
      <c r="N1230" s="2">
        <v>0.7691</v>
      </c>
      <c r="O1230" s="2">
        <v>0.4817</v>
      </c>
      <c r="P1230" s="157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</row>
    <row r="1231" spans="12:20" ht="12.75">
      <c r="L1231" s="2">
        <v>163</v>
      </c>
      <c r="M1231" s="2">
        <v>0.5467</v>
      </c>
      <c r="N1231" s="2">
        <v>0.7691</v>
      </c>
      <c r="O1231" s="2">
        <v>0.4807</v>
      </c>
      <c r="P1231" s="157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</row>
    <row r="1232" spans="12:20" ht="12.75">
      <c r="L1232" s="2">
        <v>163.1</v>
      </c>
      <c r="M1232" s="2">
        <v>0.5466</v>
      </c>
      <c r="N1232" s="2">
        <v>0.7691</v>
      </c>
      <c r="O1232" s="2">
        <v>0.4806</v>
      </c>
      <c r="P1232" s="157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</row>
    <row r="1233" spans="12:20" ht="12.75">
      <c r="L1233" s="2">
        <v>163.2</v>
      </c>
      <c r="M1233" s="2">
        <v>0.5466</v>
      </c>
      <c r="N1233" s="2">
        <v>0.7691</v>
      </c>
      <c r="O1233" s="2">
        <v>0.4805</v>
      </c>
      <c r="P1233" s="157">
        <v>0.50178</v>
      </c>
      <c r="Q1233" s="2">
        <v>0.5466</v>
      </c>
      <c r="R1233" s="2">
        <v>0.7691</v>
      </c>
      <c r="S1233" s="2">
        <v>0.51355</v>
      </c>
      <c r="T1233" s="2">
        <v>0.63544</v>
      </c>
    </row>
    <row r="1234" spans="12:20" ht="12.75">
      <c r="L1234" s="2">
        <v>163.3</v>
      </c>
      <c r="M1234" s="2">
        <v>0.5465</v>
      </c>
      <c r="N1234" s="2">
        <v>0.7691</v>
      </c>
      <c r="O1234" s="2">
        <v>0.4805</v>
      </c>
      <c r="P1234" s="157">
        <v>0.50164</v>
      </c>
      <c r="Q1234" s="2">
        <v>0.5465</v>
      </c>
      <c r="R1234" s="2">
        <v>0.7691</v>
      </c>
      <c r="S1234" s="2">
        <v>0.5135</v>
      </c>
      <c r="T1234" s="2">
        <v>0.63537</v>
      </c>
    </row>
    <row r="1235" spans="12:20" ht="12.75">
      <c r="L1235" s="2">
        <v>163.4</v>
      </c>
      <c r="M1235" s="2">
        <v>0.5465</v>
      </c>
      <c r="N1235" s="2">
        <v>0.7691</v>
      </c>
      <c r="O1235" s="2">
        <v>0.4804</v>
      </c>
      <c r="P1235" s="157">
        <v>0.5015</v>
      </c>
      <c r="Q1235" s="2">
        <v>0.5465</v>
      </c>
      <c r="R1235" s="2">
        <v>0.7691</v>
      </c>
      <c r="S1235" s="2">
        <v>0.51345</v>
      </c>
      <c r="T1235" s="2">
        <v>0.6353</v>
      </c>
    </row>
    <row r="1236" spans="12:20" ht="12.75">
      <c r="L1236" s="2">
        <v>163.5</v>
      </c>
      <c r="M1236" s="2">
        <v>0.5464</v>
      </c>
      <c r="N1236" s="2">
        <v>0.7691</v>
      </c>
      <c r="O1236" s="2">
        <v>0.4803</v>
      </c>
      <c r="P1236" s="157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</row>
    <row r="1237" spans="12:20" ht="12.75">
      <c r="L1237" s="2">
        <v>163.6</v>
      </c>
      <c r="M1237" s="2">
        <v>0.5464</v>
      </c>
      <c r="N1237" s="2">
        <v>0.7691</v>
      </c>
      <c r="O1237" s="2">
        <v>0.4802</v>
      </c>
      <c r="P1237" s="157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</row>
    <row r="1238" spans="12:20" ht="12.75">
      <c r="L1238" s="2">
        <v>163.7</v>
      </c>
      <c r="M1238" s="2">
        <v>0.5463</v>
      </c>
      <c r="N1238" s="2">
        <v>0.7691</v>
      </c>
      <c r="O1238" s="2">
        <v>0.4801</v>
      </c>
      <c r="P1238" s="157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</row>
    <row r="1239" spans="12:20" ht="12.75">
      <c r="L1239" s="2">
        <v>163.8</v>
      </c>
      <c r="M1239" s="2">
        <v>0.5463</v>
      </c>
      <c r="N1239" s="2">
        <v>0.7691</v>
      </c>
      <c r="O1239" s="2">
        <v>0.48</v>
      </c>
      <c r="P1239" s="157">
        <v>0.50094</v>
      </c>
      <c r="Q1239" s="2">
        <v>0.5463</v>
      </c>
      <c r="R1239" s="2">
        <v>0.7691</v>
      </c>
      <c r="S1239" s="2">
        <v>0.51315</v>
      </c>
      <c r="T1239" s="2">
        <v>0.63502</v>
      </c>
    </row>
    <row r="1240" spans="12:20" ht="12.75">
      <c r="L1240" s="2">
        <v>163.9</v>
      </c>
      <c r="M1240" s="2">
        <v>0.5462</v>
      </c>
      <c r="N1240" s="2">
        <v>0.7691</v>
      </c>
      <c r="O1240" s="2">
        <v>0.4808</v>
      </c>
      <c r="P1240" s="157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</row>
    <row r="1241" spans="12:20" ht="12.75">
      <c r="L1241" s="2">
        <v>164</v>
      </c>
      <c r="M1241" s="2">
        <v>0.5462</v>
      </c>
      <c r="N1241" s="2">
        <v>0.7691</v>
      </c>
      <c r="O1241" s="2">
        <v>0.4798</v>
      </c>
      <c r="P1241" s="157">
        <v>0.50066</v>
      </c>
      <c r="Q1241" s="2">
        <v>0.5462</v>
      </c>
      <c r="R1241" s="2">
        <v>0.7691</v>
      </c>
      <c r="S1241" s="2">
        <v>0.513</v>
      </c>
      <c r="T1241" s="2">
        <v>0.63488</v>
      </c>
    </row>
    <row r="1242" spans="12:20" ht="12.75">
      <c r="L1242" s="2">
        <v>164.1</v>
      </c>
      <c r="M1242" s="2">
        <v>0.5461</v>
      </c>
      <c r="N1242" s="2">
        <v>0.7691</v>
      </c>
      <c r="O1242" s="2">
        <v>0.4797</v>
      </c>
      <c r="P1242" s="157">
        <v>0.50052</v>
      </c>
      <c r="Q1242" s="2">
        <v>0.5461</v>
      </c>
      <c r="R1242" s="2">
        <v>0.7691</v>
      </c>
      <c r="S1242" s="2">
        <v>0.5129</v>
      </c>
      <c r="T1242" s="2">
        <v>0.63481</v>
      </c>
    </row>
    <row r="1243" spans="12:20" ht="12.75">
      <c r="L1243" s="2">
        <v>164.2</v>
      </c>
      <c r="M1243" s="2">
        <v>0.5461</v>
      </c>
      <c r="N1243" s="2">
        <v>0.7691</v>
      </c>
      <c r="O1243" s="2">
        <v>0.4796</v>
      </c>
      <c r="P1243" s="157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</row>
    <row r="1244" spans="12:20" ht="12.75">
      <c r="L1244" s="2">
        <v>164.3</v>
      </c>
      <c r="M1244" s="2">
        <v>0.546</v>
      </c>
      <c r="N1244" s="2">
        <v>0.7691</v>
      </c>
      <c r="O1244" s="2">
        <v>0.4796</v>
      </c>
      <c r="P1244" s="157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</row>
    <row r="1245" spans="12:20" ht="12.75">
      <c r="L1245" s="2">
        <v>164.4</v>
      </c>
      <c r="M1245" s="2">
        <v>0.546</v>
      </c>
      <c r="N1245" s="2">
        <v>0.7691</v>
      </c>
      <c r="O1245" s="2">
        <v>0.4795</v>
      </c>
      <c r="P1245" s="157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</row>
    <row r="1246" spans="12:20" ht="12.75">
      <c r="L1246" s="2">
        <v>164.5</v>
      </c>
      <c r="M1246" s="2">
        <v>0.5459</v>
      </c>
      <c r="N1246" s="2">
        <v>0.7691</v>
      </c>
      <c r="O1246" s="2">
        <v>0.4794</v>
      </c>
      <c r="P1246" s="157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</row>
    <row r="1247" spans="12:20" ht="12.75">
      <c r="L1247" s="2">
        <v>164.6</v>
      </c>
      <c r="M1247" s="2">
        <v>0.5459</v>
      </c>
      <c r="N1247" s="2">
        <v>0.7691</v>
      </c>
      <c r="O1247" s="2">
        <v>0.4793</v>
      </c>
      <c r="P1247" s="157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</row>
    <row r="1248" spans="12:20" ht="12.75">
      <c r="L1248" s="2">
        <v>164.7</v>
      </c>
      <c r="M1248" s="2">
        <v>0.5458</v>
      </c>
      <c r="N1248" s="2">
        <v>0.7691</v>
      </c>
      <c r="O1248" s="2">
        <v>0.4792</v>
      </c>
      <c r="P1248" s="157">
        <v>0.49968</v>
      </c>
      <c r="Q1248" s="2">
        <v>0.5458</v>
      </c>
      <c r="R1248" s="2">
        <v>0.7691</v>
      </c>
      <c r="S1248" s="2">
        <v>0.5125</v>
      </c>
      <c r="T1248" s="2">
        <v>0.63439</v>
      </c>
    </row>
    <row r="1249" spans="12:20" ht="12.75">
      <c r="L1249" s="2">
        <v>164.8</v>
      </c>
      <c r="M1249" s="2">
        <v>0.5458</v>
      </c>
      <c r="N1249" s="2">
        <v>0.7691</v>
      </c>
      <c r="O1249" s="2">
        <v>0.4791</v>
      </c>
      <c r="P1249" s="157">
        <v>0.49954</v>
      </c>
      <c r="Q1249" s="2">
        <v>0.5458</v>
      </c>
      <c r="R1249" s="2">
        <v>0.7691</v>
      </c>
      <c r="S1249" s="2">
        <v>0.51245</v>
      </c>
      <c r="T1249" s="2">
        <v>0.63432</v>
      </c>
    </row>
    <row r="1250" spans="12:20" ht="12.75">
      <c r="L1250" s="2">
        <v>164.9</v>
      </c>
      <c r="M1250" s="2">
        <v>0.5457</v>
      </c>
      <c r="N1250" s="2">
        <v>0.7691</v>
      </c>
      <c r="O1250" s="2">
        <v>0.4799</v>
      </c>
      <c r="P1250" s="157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</row>
    <row r="1251" spans="12:20" ht="12.75">
      <c r="L1251" s="2">
        <v>165</v>
      </c>
      <c r="M1251" s="2">
        <v>0.5457</v>
      </c>
      <c r="N1251" s="2">
        <v>0.7691</v>
      </c>
      <c r="O1251" s="2">
        <v>0.4789</v>
      </c>
      <c r="P1251" s="157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</row>
    <row r="1252" spans="12:20" ht="12.75">
      <c r="L1252" s="2">
        <v>165.1</v>
      </c>
      <c r="M1252" s="2">
        <v>0.5456</v>
      </c>
      <c r="N1252" s="2">
        <v>0.7691</v>
      </c>
      <c r="O1252" s="2">
        <v>0.4788</v>
      </c>
      <c r="P1252" s="157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</row>
    <row r="1253" spans="12:20" ht="12.75">
      <c r="L1253" s="2">
        <v>165.2</v>
      </c>
      <c r="M1253" s="2">
        <v>0.5456</v>
      </c>
      <c r="N1253" s="2">
        <v>0.7691</v>
      </c>
      <c r="O1253" s="2">
        <v>0.4787</v>
      </c>
      <c r="P1253" s="157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</row>
    <row r="1254" spans="12:20" ht="12.75">
      <c r="L1254" s="2">
        <v>165.3</v>
      </c>
      <c r="M1254" s="2">
        <v>0.5455</v>
      </c>
      <c r="N1254" s="2">
        <v>0.7691</v>
      </c>
      <c r="O1254" s="2">
        <v>0.4787</v>
      </c>
      <c r="P1254" s="157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</row>
    <row r="1255" spans="12:20" ht="12.75">
      <c r="L1255" s="2">
        <v>165.4</v>
      </c>
      <c r="M1255" s="2">
        <v>0.5455</v>
      </c>
      <c r="N1255" s="2">
        <v>0.7691</v>
      </c>
      <c r="O1255" s="2">
        <v>0.4786</v>
      </c>
      <c r="P1255" s="157">
        <v>0.49876</v>
      </c>
      <c r="Q1255" s="2">
        <v>0.5455</v>
      </c>
      <c r="R1255" s="2">
        <v>0.7691</v>
      </c>
      <c r="S1255" s="2">
        <v>0.51205</v>
      </c>
      <c r="T1255" s="2">
        <v>0.63393</v>
      </c>
    </row>
    <row r="1256" spans="12:20" ht="12.75">
      <c r="L1256" s="2">
        <v>165.5</v>
      </c>
      <c r="M1256" s="2">
        <v>0.5454</v>
      </c>
      <c r="N1256" s="2">
        <v>0.7691</v>
      </c>
      <c r="O1256" s="2">
        <v>0.4785</v>
      </c>
      <c r="P1256" s="157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</row>
    <row r="1257" spans="12:20" ht="12.75">
      <c r="L1257" s="2">
        <v>165.6</v>
      </c>
      <c r="M1257" s="2">
        <v>0.5454</v>
      </c>
      <c r="N1257" s="2">
        <v>0.7691</v>
      </c>
      <c r="O1257" s="2">
        <v>0.4784</v>
      </c>
      <c r="P1257" s="157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</row>
    <row r="1258" spans="12:20" ht="12.75">
      <c r="L1258" s="2">
        <v>165.7</v>
      </c>
      <c r="M1258" s="2">
        <v>0.5453</v>
      </c>
      <c r="N1258" s="2">
        <v>0.7691</v>
      </c>
      <c r="O1258" s="2">
        <v>0.4783</v>
      </c>
      <c r="P1258" s="157">
        <v>0.49836</v>
      </c>
      <c r="Q1258" s="2">
        <v>0.5453</v>
      </c>
      <c r="R1258" s="2">
        <v>0.7691</v>
      </c>
      <c r="S1258" s="2">
        <v>0.5118</v>
      </c>
      <c r="T1258" s="2">
        <v>0.63373</v>
      </c>
    </row>
    <row r="1259" spans="12:20" ht="12.75">
      <c r="L1259" s="2">
        <v>165.8</v>
      </c>
      <c r="M1259" s="2">
        <v>0.5453</v>
      </c>
      <c r="N1259" s="2">
        <v>0.7691</v>
      </c>
      <c r="O1259" s="2">
        <v>0.4782</v>
      </c>
      <c r="P1259" s="157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</row>
    <row r="1260" spans="12:20" ht="12.75">
      <c r="L1260" s="2">
        <v>165.9</v>
      </c>
      <c r="M1260" s="2">
        <v>0.5452</v>
      </c>
      <c r="N1260" s="2">
        <v>0.7691</v>
      </c>
      <c r="O1260" s="2">
        <v>0.479</v>
      </c>
      <c r="P1260" s="157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</row>
    <row r="1261" spans="12:20" ht="12.75">
      <c r="L1261" s="2">
        <v>166</v>
      </c>
      <c r="M1261" s="2">
        <v>0.5452</v>
      </c>
      <c r="N1261" s="2">
        <v>0.7691</v>
      </c>
      <c r="O1261" s="2">
        <v>0.47824999999999995</v>
      </c>
      <c r="P1261" s="157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</row>
    <row r="1262" spans="12:20" ht="12.75">
      <c r="L1262" s="2">
        <v>166.1</v>
      </c>
      <c r="M1262" s="2">
        <v>0.5451</v>
      </c>
      <c r="N1262" s="2">
        <v>0.7691</v>
      </c>
      <c r="O1262" s="2">
        <v>0.4781699999999999</v>
      </c>
      <c r="P1262" s="157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</row>
    <row r="1263" spans="12:20" ht="12.75">
      <c r="L1263" s="2">
        <v>166.2</v>
      </c>
      <c r="M1263" s="2">
        <v>0.5451</v>
      </c>
      <c r="N1263" s="2">
        <v>0.7691</v>
      </c>
      <c r="O1263" s="2">
        <v>0.47809</v>
      </c>
      <c r="P1263" s="157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</row>
    <row r="1264" spans="12:20" ht="12.75">
      <c r="L1264" s="2">
        <v>166.3</v>
      </c>
      <c r="M1264" s="2">
        <v>0.545</v>
      </c>
      <c r="N1264" s="2">
        <v>0.7691</v>
      </c>
      <c r="O1264" s="2">
        <v>0.47800999999999993</v>
      </c>
      <c r="P1264" s="157">
        <v>0.49758</v>
      </c>
      <c r="Q1264" s="2">
        <v>0.545</v>
      </c>
      <c r="R1264" s="2">
        <v>0.7691</v>
      </c>
      <c r="S1264" s="2">
        <v>0.511505</v>
      </c>
      <c r="T1264" s="2">
        <v>0.63334</v>
      </c>
    </row>
    <row r="1265" spans="12:20" ht="12.75">
      <c r="L1265" s="2">
        <v>166.4</v>
      </c>
      <c r="M1265" s="2">
        <v>0.545</v>
      </c>
      <c r="N1265" s="2">
        <v>0.7691</v>
      </c>
      <c r="O1265" s="2">
        <v>0.47792999999999985</v>
      </c>
      <c r="P1265" s="157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</row>
    <row r="1266" spans="12:20" ht="12.75">
      <c r="L1266" s="2">
        <v>166.5</v>
      </c>
      <c r="M1266" s="2">
        <v>0.5449</v>
      </c>
      <c r="N1266" s="2">
        <v>0.7691</v>
      </c>
      <c r="O1266" s="2">
        <v>0.47785</v>
      </c>
      <c r="P1266" s="157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</row>
    <row r="1267" spans="12:20" ht="12.75">
      <c r="L1267" s="2">
        <v>166.6</v>
      </c>
      <c r="M1267" s="2">
        <v>0.5449</v>
      </c>
      <c r="N1267" s="2">
        <v>0.7691</v>
      </c>
      <c r="O1267" s="2">
        <v>0.4777699999999999</v>
      </c>
      <c r="P1267" s="157">
        <v>0.4972</v>
      </c>
      <c r="Q1267" s="2">
        <v>0.5449</v>
      </c>
      <c r="R1267" s="2">
        <v>0.7691</v>
      </c>
      <c r="S1267" s="2">
        <v>0.511335</v>
      </c>
      <c r="T1267" s="2">
        <v>0.63315</v>
      </c>
    </row>
    <row r="1268" spans="12:20" ht="12.75">
      <c r="L1268" s="2">
        <v>166.7</v>
      </c>
      <c r="M1268" s="2">
        <v>0.5448</v>
      </c>
      <c r="N1268" s="2">
        <v>0.7691</v>
      </c>
      <c r="O1268" s="2">
        <v>0.47768999999999995</v>
      </c>
      <c r="P1268" s="157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</row>
    <row r="1269" spans="12:20" ht="12.75">
      <c r="L1269" s="2">
        <v>166.8</v>
      </c>
      <c r="M1269" s="2">
        <v>0.5448</v>
      </c>
      <c r="N1269" s="2">
        <v>0.7691</v>
      </c>
      <c r="O1269" s="2">
        <v>0.4776100000000001</v>
      </c>
      <c r="P1269" s="157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</row>
    <row r="1270" spans="12:20" ht="12.75">
      <c r="L1270" s="2">
        <v>166.9</v>
      </c>
      <c r="M1270" s="2">
        <v>0.5447</v>
      </c>
      <c r="N1270" s="2">
        <v>0.7691</v>
      </c>
      <c r="O1270" s="2">
        <v>0.47753</v>
      </c>
      <c r="P1270" s="157">
        <v>0.4968</v>
      </c>
      <c r="Q1270" s="2">
        <v>0.5447</v>
      </c>
      <c r="R1270" s="2">
        <v>0.7691</v>
      </c>
      <c r="S1270" s="2">
        <v>0.511115</v>
      </c>
      <c r="T1270" s="2">
        <v>0.63295</v>
      </c>
    </row>
    <row r="1271" spans="12:20" ht="12.75">
      <c r="L1271" s="2">
        <v>167</v>
      </c>
      <c r="M1271" s="2">
        <v>0.5447</v>
      </c>
      <c r="N1271" s="2">
        <v>0.7691</v>
      </c>
      <c r="O1271" s="2">
        <v>0.47744999999999993</v>
      </c>
      <c r="P1271" s="157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</row>
    <row r="1272" spans="12:20" ht="12.75">
      <c r="L1272" s="2">
        <v>167.1</v>
      </c>
      <c r="M1272" s="2">
        <v>0.5446</v>
      </c>
      <c r="N1272" s="2">
        <v>0.7691</v>
      </c>
      <c r="O1272" s="2">
        <v>0.47737000000000007</v>
      </c>
      <c r="P1272" s="157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</row>
    <row r="1273" spans="12:20" ht="12.75">
      <c r="L1273" s="2">
        <v>167.2</v>
      </c>
      <c r="M1273" s="2">
        <v>0.5446</v>
      </c>
      <c r="N1273" s="2">
        <v>0.7691</v>
      </c>
      <c r="O1273" s="2">
        <v>0.47729</v>
      </c>
      <c r="P1273" s="157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</row>
    <row r="1274" spans="12:20" ht="12.75">
      <c r="L1274" s="2">
        <v>167.3</v>
      </c>
      <c r="M1274" s="2">
        <v>0.5445</v>
      </c>
      <c r="N1274" s="2">
        <v>0.7691</v>
      </c>
      <c r="O1274" s="2">
        <v>0.4772099999999999</v>
      </c>
      <c r="P1274" s="157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</row>
    <row r="1275" spans="12:20" ht="12.75">
      <c r="L1275" s="2">
        <v>167.4</v>
      </c>
      <c r="M1275" s="2">
        <v>0.5445</v>
      </c>
      <c r="N1275" s="2">
        <v>0.7691</v>
      </c>
      <c r="O1275" s="2">
        <v>0.47713000000000005</v>
      </c>
      <c r="P1275" s="157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</row>
    <row r="1276" spans="12:20" ht="12.75">
      <c r="L1276" s="2">
        <v>167.5</v>
      </c>
      <c r="M1276" s="2">
        <v>0.5444</v>
      </c>
      <c r="N1276" s="2">
        <v>0.7691</v>
      </c>
      <c r="O1276" s="2">
        <v>0.47705</v>
      </c>
      <c r="P1276" s="157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</row>
    <row r="1277" spans="12:20" ht="12.75">
      <c r="L1277" s="2">
        <v>167.6</v>
      </c>
      <c r="M1277" s="2">
        <v>0.5444</v>
      </c>
      <c r="N1277" s="2">
        <v>0.7691</v>
      </c>
      <c r="O1277" s="2">
        <v>0.4769699999999999</v>
      </c>
      <c r="P1277" s="157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</row>
    <row r="1278" spans="12:20" ht="12.75">
      <c r="L1278" s="2">
        <v>167.7</v>
      </c>
      <c r="M1278" s="2">
        <v>0.5443</v>
      </c>
      <c r="N1278" s="2">
        <v>0.7691</v>
      </c>
      <c r="O1278" s="2">
        <v>0.47689000000000004</v>
      </c>
      <c r="P1278" s="157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</row>
    <row r="1279" spans="12:20" ht="12.75">
      <c r="L1279" s="2">
        <v>167.8</v>
      </c>
      <c r="M1279" s="2">
        <v>0.5443</v>
      </c>
      <c r="N1279" s="2">
        <v>0.7691</v>
      </c>
      <c r="O1279" s="2">
        <v>0.47680999999999996</v>
      </c>
      <c r="P1279" s="157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</row>
    <row r="1280" spans="12:20" ht="12.75">
      <c r="L1280" s="2">
        <v>167.9</v>
      </c>
      <c r="M1280" s="2">
        <v>0.5442</v>
      </c>
      <c r="N1280" s="2">
        <v>0.7691</v>
      </c>
      <c r="O1280" s="2">
        <v>0.4767299999999999</v>
      </c>
      <c r="P1280" s="157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</row>
    <row r="1281" spans="12:20" ht="12.75">
      <c r="L1281" s="2">
        <v>168.000000000001</v>
      </c>
      <c r="M1281" s="2">
        <v>0.5442</v>
      </c>
      <c r="N1281" s="2">
        <v>0.7691</v>
      </c>
      <c r="O1281" s="2">
        <v>0.47665</v>
      </c>
      <c r="P1281" s="157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</row>
    <row r="1282" spans="12:20" ht="12.75">
      <c r="L1282" s="2">
        <v>168.100000000001</v>
      </c>
      <c r="M1282" s="2">
        <v>0.5441</v>
      </c>
      <c r="N1282" s="2">
        <v>0.7691</v>
      </c>
      <c r="O1282" s="2">
        <v>0.47656999999999994</v>
      </c>
      <c r="P1282" s="157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</row>
    <row r="1283" spans="12:20" ht="12.75">
      <c r="L1283" s="2">
        <v>168.200000000001</v>
      </c>
      <c r="M1283" s="2">
        <v>0.5441</v>
      </c>
      <c r="N1283" s="2">
        <v>0.7691</v>
      </c>
      <c r="O1283" s="2">
        <v>0.4764900000000001</v>
      </c>
      <c r="P1283" s="157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</row>
    <row r="1284" spans="12:20" ht="12.75">
      <c r="L1284" s="2">
        <v>168.300000000001</v>
      </c>
      <c r="M1284" s="2">
        <v>0.544</v>
      </c>
      <c r="N1284" s="2">
        <v>0.7691</v>
      </c>
      <c r="O1284" s="2">
        <v>0.47641</v>
      </c>
      <c r="P1284" s="157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</row>
    <row r="1285" spans="12:20" ht="12.75">
      <c r="L1285" s="2">
        <v>168.400000000001</v>
      </c>
      <c r="M1285" s="2">
        <v>0.544</v>
      </c>
      <c r="N1285" s="2">
        <v>0.7691</v>
      </c>
      <c r="O1285" s="2">
        <v>0.4763299999999999</v>
      </c>
      <c r="P1285" s="157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</row>
    <row r="1286" spans="12:20" ht="12.75">
      <c r="L1286" s="2">
        <v>168.500000000001</v>
      </c>
      <c r="M1286" s="2">
        <v>0.5439</v>
      </c>
      <c r="N1286" s="2">
        <v>0.7691</v>
      </c>
      <c r="O1286" s="2">
        <v>0.47625</v>
      </c>
      <c r="P1286" s="157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</row>
    <row r="1287" spans="12:20" ht="12.75">
      <c r="L1287" s="2">
        <v>168.600000000001</v>
      </c>
      <c r="M1287" s="2">
        <v>0.5439</v>
      </c>
      <c r="N1287" s="2">
        <v>0.7691</v>
      </c>
      <c r="O1287" s="2">
        <v>0.47617</v>
      </c>
      <c r="P1287" s="157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</row>
    <row r="1288" spans="12:20" ht="12.75">
      <c r="L1288" s="2">
        <v>168.700000000001</v>
      </c>
      <c r="M1288" s="2">
        <v>0.5438</v>
      </c>
      <c r="N1288" s="2">
        <v>0.7691</v>
      </c>
      <c r="O1288" s="2">
        <v>0.47609</v>
      </c>
      <c r="P1288" s="157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</row>
    <row r="1289" spans="12:20" ht="12.75">
      <c r="L1289" s="2">
        <v>168.800000000001</v>
      </c>
      <c r="M1289" s="2">
        <v>0.5438</v>
      </c>
      <c r="N1289" s="2">
        <v>0.7691</v>
      </c>
      <c r="O1289" s="2">
        <v>0.47601000000000016</v>
      </c>
      <c r="P1289" s="157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</row>
    <row r="1290" spans="12:20" ht="12.75">
      <c r="L1290" s="2">
        <v>168.900000000001</v>
      </c>
      <c r="M1290" s="2">
        <v>0.5437</v>
      </c>
      <c r="N1290" s="2">
        <v>0.7691</v>
      </c>
      <c r="O1290" s="2">
        <v>0.4759300000000001</v>
      </c>
      <c r="P1290" s="157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</row>
    <row r="1291" spans="12:20" ht="12.75">
      <c r="L1291" s="2">
        <v>169.000000000001</v>
      </c>
      <c r="M1291" s="2">
        <v>0.5436</v>
      </c>
      <c r="N1291" s="2">
        <v>0.7691</v>
      </c>
      <c r="O1291" s="2">
        <v>0.47585</v>
      </c>
      <c r="P1291" s="157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</row>
    <row r="1292" spans="12:20" ht="12.75">
      <c r="L1292" s="2">
        <v>169.100000000001</v>
      </c>
      <c r="M1292" s="2">
        <v>0.5436</v>
      </c>
      <c r="N1292" s="2">
        <v>0.7691</v>
      </c>
      <c r="O1292" s="2">
        <v>0.47577000000000014</v>
      </c>
      <c r="P1292" s="157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</row>
    <row r="1293" spans="12:20" ht="12.75">
      <c r="L1293" s="2">
        <v>169.200000000001</v>
      </c>
      <c r="M1293" s="2">
        <v>0.5435</v>
      </c>
      <c r="N1293" s="2">
        <v>0.7691</v>
      </c>
      <c r="O1293" s="2">
        <v>0.47569000000000006</v>
      </c>
      <c r="P1293" s="157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</row>
    <row r="1294" spans="12:20" ht="12.75">
      <c r="L1294" s="2">
        <v>169.300000000001</v>
      </c>
      <c r="M1294" s="2">
        <v>0.5435</v>
      </c>
      <c r="N1294" s="2">
        <v>0.7691</v>
      </c>
      <c r="O1294" s="2">
        <v>0.47561</v>
      </c>
      <c r="P1294" s="157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</row>
    <row r="1295" spans="12:20" ht="12.75">
      <c r="L1295" s="2">
        <v>169.400000000001</v>
      </c>
      <c r="M1295" s="2">
        <v>0.5434</v>
      </c>
      <c r="N1295" s="2">
        <v>0.7691</v>
      </c>
      <c r="O1295" s="2">
        <v>0.4755299999999999</v>
      </c>
      <c r="P1295" s="157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</row>
    <row r="1296" spans="12:20" ht="12.75">
      <c r="L1296" s="2">
        <v>169.500000000001</v>
      </c>
      <c r="M1296" s="2">
        <v>0.5434</v>
      </c>
      <c r="N1296" s="2">
        <v>0.7691</v>
      </c>
      <c r="O1296" s="2">
        <v>0.47545000000000004</v>
      </c>
      <c r="P1296" s="157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</row>
    <row r="1297" spans="12:20" ht="12.75">
      <c r="L1297" s="2">
        <v>169.600000000001</v>
      </c>
      <c r="M1297" s="2">
        <v>0.5433</v>
      </c>
      <c r="N1297" s="2">
        <v>0.7691</v>
      </c>
      <c r="O1297" s="2">
        <v>0.47536999999999996</v>
      </c>
      <c r="P1297" s="157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</row>
    <row r="1298" spans="12:20" ht="12.75">
      <c r="L1298" s="2">
        <v>169.700000000001</v>
      </c>
      <c r="M1298" s="2">
        <v>0.5433</v>
      </c>
      <c r="N1298" s="2">
        <v>0.7691</v>
      </c>
      <c r="O1298" s="2">
        <v>0.4752900000000001</v>
      </c>
      <c r="P1298" s="157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</row>
    <row r="1299" spans="12:20" ht="12.75">
      <c r="L1299" s="2">
        <v>169.800000000001</v>
      </c>
      <c r="M1299" s="2">
        <v>0.5432</v>
      </c>
      <c r="N1299" s="2">
        <v>0.7691</v>
      </c>
      <c r="O1299" s="2">
        <v>0.47521</v>
      </c>
      <c r="P1299" s="157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</row>
    <row r="1300" spans="12:20" ht="12.75">
      <c r="L1300" s="2">
        <v>169.900000000001</v>
      </c>
      <c r="M1300" s="2">
        <v>0.5432</v>
      </c>
      <c r="N1300" s="2">
        <v>0.7691</v>
      </c>
      <c r="O1300" s="2">
        <v>0.47512999999999994</v>
      </c>
      <c r="P1300" s="157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</row>
    <row r="1301" spans="12:20" ht="12.75">
      <c r="L1301" s="2">
        <v>170.000000000001</v>
      </c>
      <c r="M1301" s="2">
        <v>0.5431</v>
      </c>
      <c r="N1301" s="2">
        <v>0.7691</v>
      </c>
      <c r="O1301" s="2">
        <v>0.4750500000000001</v>
      </c>
      <c r="P1301" s="157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</row>
    <row r="1302" spans="12:20" ht="12.75">
      <c r="L1302" s="2">
        <v>170.100000000001</v>
      </c>
      <c r="M1302" s="2">
        <v>0.5431</v>
      </c>
      <c r="N1302" s="2">
        <v>0.7691</v>
      </c>
      <c r="O1302" s="2">
        <v>0.47497</v>
      </c>
      <c r="P1302" s="157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</row>
    <row r="1303" spans="12:20" ht="12.75">
      <c r="L1303" s="2">
        <v>170.200000000001</v>
      </c>
      <c r="M1303" s="2">
        <v>0.543</v>
      </c>
      <c r="N1303" s="2">
        <v>0.7691</v>
      </c>
      <c r="O1303" s="2">
        <v>0.4748899999999999</v>
      </c>
      <c r="P1303" s="157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</row>
    <row r="1304" spans="12:20" ht="12.75">
      <c r="L1304" s="2">
        <v>170.300000000001</v>
      </c>
      <c r="M1304" s="2">
        <v>0.543</v>
      </c>
      <c r="N1304" s="2">
        <v>0.7691</v>
      </c>
      <c r="O1304" s="2">
        <v>0.47481000000000007</v>
      </c>
      <c r="P1304" s="157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</row>
    <row r="1305" spans="12:20" ht="12.75">
      <c r="L1305" s="2">
        <v>170.400000000001</v>
      </c>
      <c r="M1305" s="2">
        <v>0.5429</v>
      </c>
      <c r="N1305" s="2">
        <v>0.7691</v>
      </c>
      <c r="O1305" s="2">
        <v>0.47473</v>
      </c>
      <c r="P1305" s="157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</row>
    <row r="1306" spans="12:20" ht="12.75">
      <c r="L1306" s="2">
        <v>170.500000000001</v>
      </c>
      <c r="M1306" s="2">
        <v>0.5429</v>
      </c>
      <c r="N1306" s="2">
        <v>0.7691</v>
      </c>
      <c r="O1306" s="2">
        <v>0.4746499999999999</v>
      </c>
      <c r="P1306" s="157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</row>
    <row r="1307" spans="12:20" ht="12.75">
      <c r="L1307" s="2">
        <v>170.600000000001</v>
      </c>
      <c r="M1307" s="2">
        <v>0.5428</v>
      </c>
      <c r="N1307" s="2">
        <v>0.7691</v>
      </c>
      <c r="O1307" s="2">
        <v>0.47457000000000016</v>
      </c>
      <c r="P1307" s="157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</row>
    <row r="1308" spans="12:20" ht="12.75">
      <c r="L1308" s="2">
        <v>170.700000000001</v>
      </c>
      <c r="M1308" s="2">
        <v>0.5428</v>
      </c>
      <c r="N1308" s="2">
        <v>0.7691</v>
      </c>
      <c r="O1308" s="2">
        <v>0.4744900000000001</v>
      </c>
      <c r="P1308" s="157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</row>
    <row r="1309" spans="12:20" ht="12.75">
      <c r="L1309" s="2">
        <v>170.800000000001</v>
      </c>
      <c r="M1309" s="2">
        <v>0.5427</v>
      </c>
      <c r="N1309" s="2">
        <v>0.7691</v>
      </c>
      <c r="O1309" s="2">
        <v>0.47441</v>
      </c>
      <c r="P1309" s="157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</row>
    <row r="1310" spans="12:20" ht="12.75">
      <c r="L1310" s="2">
        <v>170.900000000001</v>
      </c>
      <c r="M1310" s="2">
        <v>0.5427</v>
      </c>
      <c r="N1310" s="2">
        <v>0.7691</v>
      </c>
      <c r="O1310" s="2">
        <v>0.47433000000000014</v>
      </c>
      <c r="P1310" s="157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</row>
    <row r="1311" spans="12:20" ht="12.75">
      <c r="L1311" s="2">
        <v>171.000000000001</v>
      </c>
      <c r="M1311" s="2">
        <v>0.5426</v>
      </c>
      <c r="N1311" s="2">
        <v>0.7691</v>
      </c>
      <c r="O1311" s="2">
        <v>0.47425000000000006</v>
      </c>
      <c r="P1311" s="157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</row>
    <row r="1312" spans="12:20" ht="12.75">
      <c r="L1312" s="2">
        <v>171.100000000001</v>
      </c>
      <c r="M1312" s="2">
        <v>0.5426</v>
      </c>
      <c r="N1312" s="2">
        <v>0.7691</v>
      </c>
      <c r="O1312" s="2">
        <v>0.47417</v>
      </c>
      <c r="P1312" s="157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</row>
    <row r="1313" spans="12:20" ht="12.75">
      <c r="L1313" s="2">
        <v>171.200000000001</v>
      </c>
      <c r="M1313" s="2">
        <v>0.5425</v>
      </c>
      <c r="N1313" s="2">
        <v>0.7691</v>
      </c>
      <c r="O1313" s="2">
        <v>0.4740900000000001</v>
      </c>
      <c r="P1313" s="157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</row>
    <row r="1314" spans="12:20" ht="12.75">
      <c r="L1314" s="2">
        <v>171.300000000001</v>
      </c>
      <c r="M1314" s="2">
        <v>0.5425</v>
      </c>
      <c r="N1314" s="2">
        <v>0.7691</v>
      </c>
      <c r="O1314" s="2">
        <v>0.47401000000000004</v>
      </c>
      <c r="P1314" s="157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</row>
    <row r="1315" spans="12:20" ht="12.75">
      <c r="L1315" s="2">
        <v>171.400000000001</v>
      </c>
      <c r="M1315" s="2">
        <v>0.5424</v>
      </c>
      <c r="N1315" s="2">
        <v>0.7691</v>
      </c>
      <c r="O1315" s="2">
        <v>0.47392999999999996</v>
      </c>
      <c r="P1315" s="157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</row>
    <row r="1316" spans="12:20" ht="12.75">
      <c r="L1316" s="2">
        <v>171.500000000001</v>
      </c>
      <c r="M1316" s="2">
        <v>0.5424</v>
      </c>
      <c r="N1316" s="2">
        <v>0.7691</v>
      </c>
      <c r="O1316" s="2">
        <v>0.4738500000000001</v>
      </c>
      <c r="P1316" s="157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</row>
    <row r="1317" spans="12:20" ht="12.75">
      <c r="L1317" s="2">
        <v>171.600000000001</v>
      </c>
      <c r="M1317" s="2">
        <v>0.5423</v>
      </c>
      <c r="N1317" s="2">
        <v>0.7691</v>
      </c>
      <c r="O1317" s="2">
        <v>0.47377</v>
      </c>
      <c r="P1317" s="157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</row>
    <row r="1318" spans="12:20" ht="12.75">
      <c r="L1318" s="2">
        <v>171.700000000001</v>
      </c>
      <c r="M1318" s="2">
        <v>0.5423</v>
      </c>
      <c r="N1318" s="2">
        <v>0.7691</v>
      </c>
      <c r="O1318" s="2">
        <v>0.47368999999999994</v>
      </c>
      <c r="P1318" s="157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</row>
    <row r="1319" spans="12:20" ht="12.75">
      <c r="L1319" s="2">
        <v>171.800000000001</v>
      </c>
      <c r="M1319" s="2">
        <v>0.5422</v>
      </c>
      <c r="N1319" s="2">
        <v>0.7691</v>
      </c>
      <c r="O1319" s="2">
        <v>0.4736100000000001</v>
      </c>
      <c r="P1319" s="157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</row>
    <row r="1320" spans="12:20" ht="12.75">
      <c r="L1320" s="2">
        <v>171.900000000001</v>
      </c>
      <c r="M1320" s="2">
        <v>0.5422</v>
      </c>
      <c r="N1320" s="2">
        <v>0.7691</v>
      </c>
      <c r="O1320" s="2">
        <v>0.47353</v>
      </c>
      <c r="P1320" s="157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</row>
    <row r="1321" spans="12:20" ht="12.75">
      <c r="L1321" s="2">
        <v>172.000000000001</v>
      </c>
      <c r="M1321" s="2">
        <v>0.5421</v>
      </c>
      <c r="N1321" s="2">
        <v>0.7691</v>
      </c>
      <c r="O1321" s="2">
        <v>0.4734499999999999</v>
      </c>
      <c r="P1321" s="157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</row>
    <row r="1322" spans="12:20" ht="12.75">
      <c r="L1322" s="2">
        <v>172.100000000001</v>
      </c>
      <c r="M1322" s="2">
        <v>0.5421</v>
      </c>
      <c r="N1322" s="2">
        <v>0.7691</v>
      </c>
      <c r="O1322" s="2">
        <v>0.47337000000000007</v>
      </c>
      <c r="P1322" s="157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</row>
    <row r="1323" spans="12:20" ht="12.75">
      <c r="L1323" s="2">
        <v>172.200000000001</v>
      </c>
      <c r="M1323" s="2">
        <v>0.542</v>
      </c>
      <c r="N1323" s="2">
        <v>0.7691</v>
      </c>
      <c r="O1323" s="2">
        <v>0.47329</v>
      </c>
      <c r="P1323" s="157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</row>
    <row r="1324" spans="12:20" ht="12.75">
      <c r="L1324" s="2">
        <v>172.300000000001</v>
      </c>
      <c r="M1324" s="2">
        <v>0.542</v>
      </c>
      <c r="N1324" s="2">
        <v>0.7691</v>
      </c>
      <c r="O1324" s="2">
        <v>0.4732099999999999</v>
      </c>
      <c r="P1324" s="157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</row>
    <row r="1325" spans="12:20" ht="12.75">
      <c r="L1325" s="2">
        <v>172.400000000002</v>
      </c>
      <c r="M1325" s="2">
        <v>0.5419</v>
      </c>
      <c r="N1325" s="2">
        <v>0.7691</v>
      </c>
      <c r="O1325" s="2">
        <v>0.47313000000000005</v>
      </c>
      <c r="P1325" s="157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</row>
    <row r="1326" spans="12:20" ht="12.75">
      <c r="L1326" s="2">
        <v>172.500000000002</v>
      </c>
      <c r="M1326" s="2">
        <v>0.5419</v>
      </c>
      <c r="N1326" s="2">
        <v>0.7691</v>
      </c>
      <c r="O1326" s="2">
        <v>0.47304999999999997</v>
      </c>
      <c r="P1326" s="157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</row>
    <row r="1327" spans="12:20" ht="12.75">
      <c r="L1327" s="2">
        <v>172.600000000002</v>
      </c>
      <c r="M1327" s="2">
        <v>0.5418</v>
      </c>
      <c r="N1327" s="2">
        <v>0.7691</v>
      </c>
      <c r="O1327" s="2">
        <v>0.47297</v>
      </c>
      <c r="P1327" s="157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</row>
    <row r="1328" spans="12:20" ht="12.75">
      <c r="L1328" s="2">
        <v>172.700000000002</v>
      </c>
      <c r="M1328" s="2">
        <v>0.5418</v>
      </c>
      <c r="N1328" s="2">
        <v>0.7691</v>
      </c>
      <c r="O1328" s="2">
        <v>0.47289000000000014</v>
      </c>
      <c r="P1328" s="157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</row>
    <row r="1329" spans="12:20" ht="12.75">
      <c r="L1329" s="2">
        <v>172.800000000002</v>
      </c>
      <c r="M1329" s="2">
        <v>0.5417</v>
      </c>
      <c r="N1329" s="2">
        <v>0.7691</v>
      </c>
      <c r="O1329" s="2">
        <v>0.47281000000000006</v>
      </c>
      <c r="P1329" s="157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</row>
    <row r="1330" spans="12:20" ht="12.75">
      <c r="L1330" s="2">
        <v>172.900000000002</v>
      </c>
      <c r="M1330" s="2">
        <v>0.5417</v>
      </c>
      <c r="N1330" s="2">
        <v>0.7691</v>
      </c>
      <c r="O1330" s="2">
        <v>0.47273</v>
      </c>
      <c r="P1330" s="157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</row>
    <row r="1331" spans="12:20" ht="12.75">
      <c r="L1331" s="2">
        <v>173.000000000002</v>
      </c>
      <c r="M1331" s="2">
        <v>0.5416</v>
      </c>
      <c r="N1331" s="2">
        <v>0.7691</v>
      </c>
      <c r="O1331" s="2">
        <v>0.4726500000000001</v>
      </c>
      <c r="P1331" s="157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</row>
    <row r="1332" spans="12:20" ht="12.75">
      <c r="L1332" s="2">
        <v>173.100000000002</v>
      </c>
      <c r="M1332" s="2">
        <v>0.5416</v>
      </c>
      <c r="N1332" s="2">
        <v>0.7691</v>
      </c>
      <c r="O1332" s="2">
        <v>0.47257000000000005</v>
      </c>
      <c r="P1332" s="157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</row>
    <row r="1333" spans="12:20" ht="12.75">
      <c r="L1333" s="2">
        <v>173.200000000002</v>
      </c>
      <c r="M1333" s="2">
        <v>0.5415</v>
      </c>
      <c r="N1333" s="2">
        <v>0.7691</v>
      </c>
      <c r="O1333" s="2">
        <v>0.47248999999999997</v>
      </c>
      <c r="P1333" s="157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</row>
    <row r="1334" spans="12:20" ht="12.75">
      <c r="L1334" s="2">
        <v>173.300000000002</v>
      </c>
      <c r="M1334" s="2">
        <v>0.5415</v>
      </c>
      <c r="N1334" s="2">
        <v>0.7691</v>
      </c>
      <c r="O1334" s="2">
        <v>0.4724100000000001</v>
      </c>
      <c r="P1334" s="157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</row>
    <row r="1335" spans="12:20" ht="12.75">
      <c r="L1335" s="2">
        <v>173.400000000002</v>
      </c>
      <c r="M1335" s="2">
        <v>0.5414</v>
      </c>
      <c r="N1335" s="2">
        <v>0.7691</v>
      </c>
      <c r="O1335" s="2">
        <v>0.47233</v>
      </c>
      <c r="P1335" s="157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</row>
    <row r="1336" spans="12:20" ht="12.75">
      <c r="L1336" s="2">
        <v>173.500000000002</v>
      </c>
      <c r="M1336" s="2">
        <v>0.5414</v>
      </c>
      <c r="N1336" s="2">
        <v>0.7691</v>
      </c>
      <c r="O1336" s="2">
        <v>0.47224999999999995</v>
      </c>
      <c r="P1336" s="157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</row>
    <row r="1337" spans="12:20" ht="12.75">
      <c r="L1337" s="2">
        <v>173.600000000002</v>
      </c>
      <c r="M1337" s="2">
        <v>0.5413</v>
      </c>
      <c r="N1337" s="2">
        <v>0.7691</v>
      </c>
      <c r="O1337" s="2">
        <v>0.4721700000000001</v>
      </c>
      <c r="P1337" s="157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</row>
    <row r="1338" spans="12:20" ht="12.75">
      <c r="L1338" s="2">
        <v>173.700000000002</v>
      </c>
      <c r="M1338" s="2">
        <v>0.5413</v>
      </c>
      <c r="N1338" s="2">
        <v>0.7691</v>
      </c>
      <c r="O1338" s="2">
        <v>0.47209</v>
      </c>
      <c r="P1338" s="157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</row>
    <row r="1339" spans="12:20" ht="12.75">
      <c r="L1339" s="2">
        <v>173.800000000002</v>
      </c>
      <c r="M1339" s="2">
        <v>0.5412</v>
      </c>
      <c r="N1339" s="2">
        <v>0.7691</v>
      </c>
      <c r="O1339" s="2">
        <v>0.47200999999999993</v>
      </c>
      <c r="P1339" s="157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</row>
    <row r="1340" spans="12:20" ht="12.75">
      <c r="L1340" s="2">
        <v>173.900000000002</v>
      </c>
      <c r="M1340" s="2">
        <v>0.5412</v>
      </c>
      <c r="N1340" s="2">
        <v>0.7691</v>
      </c>
      <c r="O1340" s="2">
        <v>0.47193000000000007</v>
      </c>
      <c r="P1340" s="157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</row>
    <row r="1341" spans="12:20" ht="12.75">
      <c r="L1341" s="2">
        <v>174.000000000002</v>
      </c>
      <c r="M1341" s="2">
        <v>0.5411</v>
      </c>
      <c r="N1341" s="2">
        <v>0.7691</v>
      </c>
      <c r="O1341" s="2">
        <v>0.47185</v>
      </c>
      <c r="P1341" s="157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</row>
    <row r="1342" spans="12:20" ht="12.75">
      <c r="L1342" s="2">
        <v>174.100000000002</v>
      </c>
      <c r="M1342" s="2">
        <v>0.5411</v>
      </c>
      <c r="N1342" s="2">
        <v>0.7691</v>
      </c>
      <c r="O1342" s="2">
        <v>0.4717699999999999</v>
      </c>
      <c r="P1342" s="157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</row>
    <row r="1343" spans="12:20" ht="12.75">
      <c r="L1343" s="2">
        <v>174.200000000002</v>
      </c>
      <c r="M1343" s="2">
        <v>0.541</v>
      </c>
      <c r="N1343" s="2">
        <v>0.7691</v>
      </c>
      <c r="O1343" s="2">
        <v>0.47169000000000005</v>
      </c>
      <c r="P1343" s="157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</row>
    <row r="1344" spans="12:20" ht="12.75">
      <c r="L1344" s="2">
        <v>174.300000000002</v>
      </c>
      <c r="M1344" s="2">
        <v>0.541</v>
      </c>
      <c r="N1344" s="2">
        <v>0.7691</v>
      </c>
      <c r="O1344" s="2">
        <v>0.47161</v>
      </c>
      <c r="P1344" s="157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</row>
    <row r="1345" spans="12:20" ht="12.75">
      <c r="L1345" s="2">
        <v>174.400000000002</v>
      </c>
      <c r="M1345" s="2">
        <v>0.5409</v>
      </c>
      <c r="N1345" s="2">
        <v>0.7691</v>
      </c>
      <c r="O1345" s="2">
        <v>0.4715299999999999</v>
      </c>
      <c r="P1345" s="157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</row>
    <row r="1346" spans="12:20" ht="12.75">
      <c r="L1346" s="2">
        <v>174.500000000002</v>
      </c>
      <c r="M1346" s="2">
        <v>0.5409</v>
      </c>
      <c r="N1346" s="2">
        <v>0.7691</v>
      </c>
      <c r="O1346" s="2">
        <v>0.47145000000000004</v>
      </c>
      <c r="P1346" s="157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</row>
    <row r="1347" spans="12:20" ht="12.75">
      <c r="L1347" s="2">
        <v>174.600000000002</v>
      </c>
      <c r="M1347" s="2">
        <v>0.5408</v>
      </c>
      <c r="N1347" s="2">
        <v>0.7691</v>
      </c>
      <c r="O1347" s="2">
        <v>0.47137000000000007</v>
      </c>
      <c r="P1347" s="157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</row>
    <row r="1348" spans="12:20" ht="12.75">
      <c r="L1348" s="2">
        <v>174.700000000002</v>
      </c>
      <c r="M1348" s="2">
        <v>0.5408</v>
      </c>
      <c r="N1348" s="2">
        <v>0.7691</v>
      </c>
      <c r="O1348" s="2">
        <v>0.47129</v>
      </c>
      <c r="P1348" s="157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</row>
    <row r="1349" spans="12:20" ht="12.75">
      <c r="L1349" s="2">
        <v>174.800000000002</v>
      </c>
      <c r="M1349" s="2">
        <v>0.5407</v>
      </c>
      <c r="N1349" s="2">
        <v>0.7691</v>
      </c>
      <c r="O1349" s="2">
        <v>0.47121000000000013</v>
      </c>
      <c r="P1349" s="157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</row>
    <row r="1350" spans="12:20" ht="12.75">
      <c r="L1350" s="2">
        <v>174.900000000002</v>
      </c>
      <c r="M1350" s="2">
        <v>0.5407</v>
      </c>
      <c r="N1350" s="2">
        <v>0.7691</v>
      </c>
      <c r="O1350" s="2">
        <v>0.47113000000000005</v>
      </c>
      <c r="P1350" s="157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</row>
    <row r="1351" spans="12:20" ht="12.75">
      <c r="L1351" s="2">
        <v>175.000000000002</v>
      </c>
      <c r="M1351" s="2">
        <v>0.5406</v>
      </c>
      <c r="N1351" s="2">
        <v>0.7691</v>
      </c>
      <c r="O1351" s="2">
        <v>0.4710700000000001</v>
      </c>
      <c r="P1351" s="157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M1352" s="2">
        <v>0.5406</v>
      </c>
      <c r="N1352" s="2">
        <v>0.7691</v>
      </c>
      <c r="O1352" s="2">
        <v>0.47093000000000007</v>
      </c>
      <c r="P1352" s="157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M1353" s="2">
        <v>0.5405</v>
      </c>
      <c r="N1353" s="2">
        <v>0.7691</v>
      </c>
      <c r="O1353" s="2">
        <v>0.47089000000000003</v>
      </c>
      <c r="P1353" s="157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M1354" s="2">
        <v>0.5405</v>
      </c>
      <c r="N1354" s="2">
        <v>0.7691</v>
      </c>
      <c r="O1354" s="2">
        <v>0.47075</v>
      </c>
      <c r="P1354" s="157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M1355" s="2">
        <v>0.5404</v>
      </c>
      <c r="N1355" s="2">
        <v>0.7691</v>
      </c>
      <c r="O1355" s="2">
        <v>0.47070999999999996</v>
      </c>
      <c r="P1355" s="157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M1356" s="2">
        <v>0.5404</v>
      </c>
      <c r="N1356" s="2">
        <v>0.7691</v>
      </c>
      <c r="O1356" s="2">
        <v>0.47056999999999993</v>
      </c>
      <c r="P1356" s="157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M1357" s="2">
        <v>0.5403</v>
      </c>
      <c r="N1357" s="2">
        <v>0.7691</v>
      </c>
      <c r="O1357" s="2">
        <v>0.4705299999999999</v>
      </c>
      <c r="P1357" s="157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M1358" s="2">
        <v>0.5403</v>
      </c>
      <c r="N1358" s="2">
        <v>0.7691</v>
      </c>
      <c r="O1358" s="2">
        <v>0.4703900000000001</v>
      </c>
      <c r="P1358" s="157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M1359" s="2">
        <v>0.5402</v>
      </c>
      <c r="N1359" s="2">
        <v>0.7691</v>
      </c>
      <c r="O1359" s="2">
        <v>0.47035000000000005</v>
      </c>
      <c r="P1359" s="157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M1360" s="2">
        <v>0.5402</v>
      </c>
      <c r="N1360" s="2">
        <v>0.7691</v>
      </c>
      <c r="O1360" s="2">
        <v>0.47021</v>
      </c>
      <c r="P1360" s="157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M1361" s="2">
        <v>0.5401</v>
      </c>
      <c r="N1361" s="2">
        <v>0.7691</v>
      </c>
      <c r="O1361" s="2">
        <v>0.47017</v>
      </c>
      <c r="P1361" s="157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M1362" s="2">
        <v>0.5401</v>
      </c>
      <c r="N1362" s="2">
        <v>0.7691</v>
      </c>
      <c r="O1362" s="2">
        <v>0.47002999999999995</v>
      </c>
      <c r="P1362" s="157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M1363" s="2">
        <v>0.54</v>
      </c>
      <c r="N1363" s="2">
        <v>0.7691</v>
      </c>
      <c r="O1363" s="2">
        <v>0.4699899999999999</v>
      </c>
      <c r="P1363" s="157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M1364" s="2">
        <v>0.54</v>
      </c>
      <c r="N1364" s="2">
        <v>0.7691</v>
      </c>
      <c r="O1364" s="2">
        <v>0.4698499999999999</v>
      </c>
      <c r="P1364" s="157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M1365" s="2">
        <v>0.5399</v>
      </c>
      <c r="N1365" s="2">
        <v>0.7691</v>
      </c>
      <c r="O1365" s="2">
        <v>0.46981000000000006</v>
      </c>
      <c r="P1365" s="157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M1366" s="2">
        <v>0.5399</v>
      </c>
      <c r="N1366" s="2">
        <v>0.7691</v>
      </c>
      <c r="O1366" s="2">
        <v>0.46967000000000003</v>
      </c>
      <c r="P1366" s="157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M1367" s="2">
        <v>0.5398</v>
      </c>
      <c r="N1367" s="2">
        <v>0.7691</v>
      </c>
      <c r="O1367" s="2">
        <v>0.4696300000000001</v>
      </c>
      <c r="P1367" s="157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M1368" s="2">
        <v>0.5398</v>
      </c>
      <c r="N1368" s="2">
        <v>0.7691</v>
      </c>
      <c r="O1368" s="2">
        <v>0.4694900000000001</v>
      </c>
      <c r="P1368" s="157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M1369" s="2">
        <v>0.5397</v>
      </c>
      <c r="N1369" s="2">
        <v>0.7691</v>
      </c>
      <c r="O1369" s="2">
        <v>0.46945000000000003</v>
      </c>
      <c r="P1369" s="157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M1370" s="2">
        <v>0.5397</v>
      </c>
      <c r="N1370" s="2">
        <v>0.7691</v>
      </c>
      <c r="O1370" s="2">
        <v>0.46931</v>
      </c>
      <c r="P1370" s="157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M1371" s="2">
        <v>0.5396</v>
      </c>
      <c r="N1371" s="2">
        <v>0.7691</v>
      </c>
      <c r="O1371" s="2">
        <v>0.46926999999999996</v>
      </c>
      <c r="P1371" s="157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M1372" s="2">
        <v>0.5396</v>
      </c>
      <c r="N1372" s="2">
        <v>0.7691</v>
      </c>
      <c r="O1372" s="2">
        <v>0.46912999999999994</v>
      </c>
      <c r="P1372" s="157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M1373" s="2">
        <v>0.5395</v>
      </c>
      <c r="N1373" s="2">
        <v>0.7691</v>
      </c>
      <c r="O1373" s="2">
        <v>0.4690900000000001</v>
      </c>
      <c r="P1373" s="157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M1374" s="2">
        <v>0.5395</v>
      </c>
      <c r="N1374" s="2">
        <v>0.7691</v>
      </c>
      <c r="O1374" s="2">
        <v>0.4689500000000001</v>
      </c>
      <c r="P1374" s="157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M1375" s="2">
        <v>0.5394</v>
      </c>
      <c r="N1375" s="2">
        <v>0.7691</v>
      </c>
      <c r="O1375" s="2">
        <v>0.46891000000000005</v>
      </c>
      <c r="P1375" s="157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M1376" s="2">
        <v>0.5394</v>
      </c>
      <c r="N1376" s="2">
        <v>0.7691</v>
      </c>
      <c r="O1376" s="2">
        <v>0.46877</v>
      </c>
      <c r="P1376" s="157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M1377" s="2">
        <v>0.5393</v>
      </c>
      <c r="N1377" s="2">
        <v>0.7691</v>
      </c>
      <c r="O1377" s="2">
        <v>0.46873</v>
      </c>
      <c r="P1377" s="157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M1378" s="2">
        <v>0.5393</v>
      </c>
      <c r="N1378" s="2">
        <v>0.7691</v>
      </c>
      <c r="O1378" s="2">
        <v>0.46858999999999995</v>
      </c>
      <c r="P1378" s="157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M1379" s="2">
        <v>0.5392</v>
      </c>
      <c r="N1379" s="2">
        <v>0.7691</v>
      </c>
      <c r="O1379" s="2">
        <v>0.4685499999999999</v>
      </c>
      <c r="P1379" s="157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M1380" s="2">
        <v>0.5392</v>
      </c>
      <c r="N1380" s="2">
        <v>0.7691</v>
      </c>
      <c r="O1380" s="2">
        <v>0.4684099999999999</v>
      </c>
      <c r="P1380" s="157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M1381" s="2">
        <v>0.5391</v>
      </c>
      <c r="N1381" s="2">
        <v>0.7691</v>
      </c>
      <c r="O1381" s="2">
        <v>0.46837000000000006</v>
      </c>
      <c r="P1381" s="157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M1382" s="2">
        <v>0.5391</v>
      </c>
      <c r="N1382" s="2">
        <v>0.7691</v>
      </c>
      <c r="O1382" s="2">
        <v>0.46823000000000004</v>
      </c>
      <c r="P1382" s="157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M1383" s="2">
        <v>0.539</v>
      </c>
      <c r="N1383" s="2">
        <v>0.7691</v>
      </c>
      <c r="O1383" s="2">
        <v>0.46819</v>
      </c>
      <c r="P1383" s="157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M1384" s="2">
        <v>0.539</v>
      </c>
      <c r="N1384" s="2">
        <v>0.7691</v>
      </c>
      <c r="O1384" s="2">
        <v>0.46804999999999997</v>
      </c>
      <c r="P1384" s="157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M1385" s="2">
        <v>0.5389</v>
      </c>
      <c r="N1385" s="2">
        <v>0.7691</v>
      </c>
      <c r="O1385" s="2">
        <v>0.4680099999999999</v>
      </c>
      <c r="P1385" s="157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M1386" s="2">
        <v>0.5389</v>
      </c>
      <c r="N1386" s="2">
        <v>0.7691</v>
      </c>
      <c r="O1386" s="2">
        <v>0.4678699999999999</v>
      </c>
      <c r="P1386" s="157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M1387" s="2">
        <v>0.5388</v>
      </c>
      <c r="N1387" s="2">
        <v>0.7691</v>
      </c>
      <c r="O1387" s="2">
        <v>0.46775999999999995</v>
      </c>
      <c r="P1387" s="157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M1388" s="2">
        <v>0.5388</v>
      </c>
      <c r="N1388" s="2">
        <v>0.7691</v>
      </c>
      <c r="O1388" s="2">
        <v>0.46762000000000015</v>
      </c>
      <c r="P1388" s="157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M1389" s="2">
        <v>0.5387</v>
      </c>
      <c r="N1389" s="2">
        <v>0.7691</v>
      </c>
      <c r="O1389" s="2">
        <v>0.4675800000000001</v>
      </c>
      <c r="P1389" s="157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M1390" s="2">
        <v>0.5387</v>
      </c>
      <c r="N1390" s="2">
        <v>0.7691</v>
      </c>
      <c r="O1390" s="2">
        <v>0.4674400000000001</v>
      </c>
      <c r="P1390" s="157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M1391" s="2">
        <v>0.5387</v>
      </c>
      <c r="N1391" s="2">
        <v>0.7691</v>
      </c>
      <c r="O1391" s="2">
        <v>0.46730000000000005</v>
      </c>
      <c r="P1391" s="157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M1392" s="2">
        <v>0.5386</v>
      </c>
      <c r="N1392" s="2">
        <v>0.7691</v>
      </c>
      <c r="O1392" s="2">
        <v>0.46726</v>
      </c>
      <c r="P1392" s="157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M1393" s="2">
        <v>0.5386</v>
      </c>
      <c r="N1393" s="2">
        <v>0.7691</v>
      </c>
      <c r="O1393" s="2">
        <v>0.46712</v>
      </c>
      <c r="P1393" s="157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M1394" s="2">
        <v>0.5385</v>
      </c>
      <c r="N1394" s="2">
        <v>0.7691</v>
      </c>
      <c r="O1394" s="2">
        <v>0.46707999999999994</v>
      </c>
      <c r="P1394" s="157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M1395" s="2">
        <v>0.5385</v>
      </c>
      <c r="N1395" s="2">
        <v>0.7691</v>
      </c>
      <c r="O1395" s="2">
        <v>0.4669399999999999</v>
      </c>
      <c r="P1395" s="157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M1396" s="2">
        <v>0.5384</v>
      </c>
      <c r="N1396" s="2">
        <v>0.7691</v>
      </c>
      <c r="O1396" s="2">
        <v>0.4669000000000001</v>
      </c>
      <c r="P1396" s="157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M1397" s="2">
        <v>0.5384</v>
      </c>
      <c r="N1397" s="2">
        <v>0.7691</v>
      </c>
      <c r="O1397" s="2">
        <v>0.46676000000000006</v>
      </c>
      <c r="P1397" s="157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M1398" s="2">
        <v>0.5383</v>
      </c>
      <c r="N1398" s="2">
        <v>0.7691</v>
      </c>
      <c r="O1398" s="2">
        <v>0.46672</v>
      </c>
      <c r="P1398" s="157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M1399" s="2">
        <v>0.5383</v>
      </c>
      <c r="N1399" s="2">
        <v>0.7691</v>
      </c>
      <c r="O1399" s="2">
        <v>0.46658</v>
      </c>
      <c r="P1399" s="157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M1400" s="2">
        <v>0.5382</v>
      </c>
      <c r="N1400" s="2">
        <v>0.7691</v>
      </c>
      <c r="O1400" s="2">
        <v>0.46653999999999995</v>
      </c>
      <c r="P1400" s="157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M1401" s="2">
        <v>0.5382</v>
      </c>
      <c r="N1401" s="2">
        <v>0.7691</v>
      </c>
      <c r="O1401" s="2">
        <v>0.4663999999999999</v>
      </c>
      <c r="P1401" s="157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M1402" s="2">
        <v>0.5381</v>
      </c>
      <c r="N1402" s="2">
        <v>0.7691</v>
      </c>
      <c r="O1402" s="2">
        <v>0.4663599999999999</v>
      </c>
      <c r="P1402" s="157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M1403" s="2">
        <v>0.5381</v>
      </c>
      <c r="N1403" s="2">
        <v>0.7691</v>
      </c>
      <c r="O1403" s="2">
        <v>0.4662200000000001</v>
      </c>
      <c r="P1403" s="157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M1404" s="2">
        <v>0.538</v>
      </c>
      <c r="N1404" s="2">
        <v>0.7691</v>
      </c>
      <c r="O1404" s="2">
        <v>0.46618000000000004</v>
      </c>
      <c r="P1404" s="157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M1405" s="2">
        <v>0.538</v>
      </c>
      <c r="N1405" s="2">
        <v>0.7691</v>
      </c>
      <c r="O1405" s="2">
        <v>0.46604</v>
      </c>
      <c r="P1405" s="157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M1406" s="2">
        <v>0.5379</v>
      </c>
      <c r="N1406" s="2">
        <v>0.7691</v>
      </c>
      <c r="O1406" s="2">
        <v>0.46599999999999997</v>
      </c>
      <c r="P1406" s="157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M1407" s="2">
        <v>0.5379</v>
      </c>
      <c r="N1407" s="2">
        <v>0.7691</v>
      </c>
      <c r="O1407" s="2">
        <v>0.46585999999999994</v>
      </c>
      <c r="P1407" s="157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M1408" s="2">
        <v>0.5378</v>
      </c>
      <c r="N1408" s="2">
        <v>0.7691</v>
      </c>
      <c r="O1408" s="2">
        <v>0.46582</v>
      </c>
      <c r="P1408" s="157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M1409" s="2">
        <v>0.5378</v>
      </c>
      <c r="N1409" s="2">
        <v>0.7691</v>
      </c>
      <c r="O1409" s="2">
        <v>0.46568</v>
      </c>
      <c r="P1409" s="157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M1410" s="2">
        <v>0.5377</v>
      </c>
      <c r="N1410" s="2">
        <v>0.7691</v>
      </c>
      <c r="O1410" s="2">
        <v>0.46563999999999994</v>
      </c>
      <c r="P1410" s="157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M1411" s="2">
        <v>0.5377</v>
      </c>
      <c r="N1411" s="2">
        <v>0.7691</v>
      </c>
      <c r="O1411" s="2">
        <v>0.46550000000000014</v>
      </c>
      <c r="P1411" s="157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M1412" s="2">
        <v>0.5377</v>
      </c>
      <c r="N1412" s="2">
        <v>0.7691</v>
      </c>
      <c r="O1412" s="2">
        <v>0.4653600000000001</v>
      </c>
      <c r="P1412" s="157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M1413" s="2">
        <v>0.5376</v>
      </c>
      <c r="N1413" s="2">
        <v>0.7691</v>
      </c>
      <c r="O1413" s="2">
        <v>0.46532000000000007</v>
      </c>
      <c r="P1413" s="157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M1414" s="2">
        <v>0.5376</v>
      </c>
      <c r="N1414" s="2">
        <v>0.7691</v>
      </c>
      <c r="O1414" s="2">
        <v>0.46518000000000004</v>
      </c>
      <c r="P1414" s="157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M1415" s="2">
        <v>0.5375</v>
      </c>
      <c r="N1415" s="2">
        <v>0.7691</v>
      </c>
      <c r="O1415" s="2">
        <v>0.46514</v>
      </c>
      <c r="P1415" s="157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M1416" s="2">
        <v>0.5375</v>
      </c>
      <c r="N1416" s="2">
        <v>0.7691</v>
      </c>
      <c r="O1416" s="2">
        <v>0.465</v>
      </c>
      <c r="P1416" s="157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M1417" s="2">
        <v>0.5374</v>
      </c>
      <c r="N1417" s="2">
        <v>0.7691</v>
      </c>
      <c r="O1417" s="2">
        <v>0.46495999999999993</v>
      </c>
      <c r="P1417" s="157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M1418" s="2">
        <v>0.5374</v>
      </c>
      <c r="N1418" s="2">
        <v>0.7691</v>
      </c>
      <c r="O1418" s="2">
        <v>0.4648200000000001</v>
      </c>
      <c r="P1418" s="157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M1419" s="2">
        <v>0.5373</v>
      </c>
      <c r="N1419" s="2">
        <v>0.7691</v>
      </c>
      <c r="O1419" s="2">
        <v>0.4647800000000001</v>
      </c>
      <c r="P1419" s="157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M1420" s="2">
        <v>0.5373</v>
      </c>
      <c r="N1420" s="2">
        <v>0.7691</v>
      </c>
      <c r="O1420" s="2">
        <v>0.46464000000000005</v>
      </c>
      <c r="P1420" s="157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M1421" s="2">
        <v>0.5372</v>
      </c>
      <c r="N1421" s="2">
        <v>0.7691</v>
      </c>
      <c r="O1421" s="2">
        <v>0.4646</v>
      </c>
      <c r="P1421" s="157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M1422" s="2">
        <v>0.5372</v>
      </c>
      <c r="N1422" s="2">
        <v>0.7691</v>
      </c>
      <c r="O1422" s="2">
        <v>0.46446</v>
      </c>
      <c r="P1422" s="157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M1423" s="2">
        <v>0.5371</v>
      </c>
      <c r="N1423" s="2">
        <v>0.7691</v>
      </c>
      <c r="O1423" s="2">
        <v>0.46441999999999994</v>
      </c>
      <c r="P1423" s="157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M1424" s="2">
        <v>0.5371</v>
      </c>
      <c r="N1424" s="2">
        <v>0.7691</v>
      </c>
      <c r="O1424" s="2">
        <v>0.4642799999999999</v>
      </c>
      <c r="P1424" s="157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M1425" s="2">
        <v>0.5371</v>
      </c>
      <c r="N1425" s="2">
        <v>0.7691</v>
      </c>
      <c r="O1425" s="2">
        <v>0.4641399999999999</v>
      </c>
      <c r="P1425" s="157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M1426" s="2">
        <v>0.537</v>
      </c>
      <c r="N1426" s="2">
        <v>0.7691</v>
      </c>
      <c r="O1426" s="2">
        <v>0.46410000000000007</v>
      </c>
      <c r="P1426" s="157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M1427" s="2">
        <v>0.537</v>
      </c>
      <c r="N1427" s="2">
        <v>0.7691</v>
      </c>
      <c r="O1427" s="2">
        <v>0.4639699999999999</v>
      </c>
      <c r="P1427" s="157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M1428" s="2">
        <v>0.5369</v>
      </c>
      <c r="N1428" s="2">
        <v>0.7691</v>
      </c>
      <c r="O1428" s="2">
        <v>0.4639399999999999</v>
      </c>
      <c r="P1428" s="157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M1429" s="2">
        <v>0.5369</v>
      </c>
      <c r="N1429" s="2">
        <v>0.7691</v>
      </c>
      <c r="O1429" s="2">
        <v>0.4637999999999999</v>
      </c>
      <c r="P1429" s="157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M1430" s="2">
        <v>0.5368</v>
      </c>
      <c r="N1430" s="2">
        <v>0.7691</v>
      </c>
      <c r="O1430" s="2">
        <v>0.46375999999999984</v>
      </c>
      <c r="P1430" s="157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M1431" s="2">
        <v>0.5368</v>
      </c>
      <c r="N1431" s="2">
        <v>0.7691</v>
      </c>
      <c r="O1431" s="2">
        <v>0.46362000000000003</v>
      </c>
      <c r="P1431" s="157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M1432" s="2">
        <v>0.5367</v>
      </c>
      <c r="N1432" s="2">
        <v>0.7691</v>
      </c>
      <c r="O1432" s="2">
        <v>0.4635800000000001</v>
      </c>
      <c r="P1432" s="157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M1433" s="2">
        <v>0.5367</v>
      </c>
      <c r="N1433" s="2">
        <v>0.7691</v>
      </c>
      <c r="O1433" s="2">
        <v>0.4634400000000001</v>
      </c>
      <c r="P1433" s="157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M1434" s="2">
        <v>0.5366</v>
      </c>
      <c r="N1434" s="2">
        <v>0.7691</v>
      </c>
      <c r="O1434" s="2">
        <v>0.46340000000000003</v>
      </c>
      <c r="P1434" s="157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M1435" s="2">
        <v>0.5366</v>
      </c>
      <c r="N1435" s="2">
        <v>0.7691</v>
      </c>
      <c r="O1435" s="2">
        <v>0.46326</v>
      </c>
      <c r="P1435" s="157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M1436" s="2">
        <v>0.5366</v>
      </c>
      <c r="N1436" s="2">
        <v>0.7691</v>
      </c>
      <c r="O1436" s="2">
        <v>0.4631200000000001</v>
      </c>
      <c r="P1436" s="157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M1437" s="2">
        <v>0.5365</v>
      </c>
      <c r="N1437" s="2">
        <v>0.7691</v>
      </c>
      <c r="O1437" s="2">
        <v>0.46308000000000005</v>
      </c>
      <c r="P1437" s="157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M1438" s="2">
        <v>0.5365</v>
      </c>
      <c r="N1438" s="2">
        <v>0.7691</v>
      </c>
      <c r="O1438" s="2">
        <v>0.46294</v>
      </c>
      <c r="P1438" s="157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M1439" s="2">
        <v>0.5364</v>
      </c>
      <c r="N1439" s="2">
        <v>0.7691</v>
      </c>
      <c r="O1439" s="2">
        <v>0.4629</v>
      </c>
      <c r="P1439" s="157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M1440" s="2">
        <v>0.5364</v>
      </c>
      <c r="N1440" s="2">
        <v>0.7691</v>
      </c>
      <c r="O1440" s="2">
        <v>0.46276000000000006</v>
      </c>
      <c r="P1440" s="157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M1441" s="2">
        <v>0.5363</v>
      </c>
      <c r="N1441" s="2">
        <v>0.7691</v>
      </c>
      <c r="O1441" s="2">
        <v>0.46272</v>
      </c>
      <c r="P1441" s="157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M1442" s="2">
        <v>0.5363</v>
      </c>
      <c r="N1442" s="2">
        <v>0.7691</v>
      </c>
      <c r="O1442" s="2">
        <v>0.46258</v>
      </c>
      <c r="P1442" s="157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M1443" s="2">
        <v>0.5362</v>
      </c>
      <c r="N1443" s="2">
        <v>0.7691</v>
      </c>
      <c r="O1443" s="2">
        <v>0.46253999999999995</v>
      </c>
      <c r="P1443" s="157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M1444" s="2">
        <v>0.5362</v>
      </c>
      <c r="N1444" s="2">
        <v>0.7691</v>
      </c>
      <c r="O1444" s="2">
        <v>0.46240000000000003</v>
      </c>
      <c r="P1444" s="157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M1445" s="2">
        <v>0.5362</v>
      </c>
      <c r="N1445" s="2">
        <v>0.7691</v>
      </c>
      <c r="O1445" s="2">
        <v>0.46226</v>
      </c>
      <c r="P1445" s="157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M1446" s="2">
        <v>0.5361</v>
      </c>
      <c r="N1446" s="2">
        <v>0.7691</v>
      </c>
      <c r="O1446" s="2">
        <v>0.46221999999999996</v>
      </c>
      <c r="P1446" s="157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M1447" s="2">
        <v>0.5361</v>
      </c>
      <c r="N1447" s="2">
        <v>0.7691</v>
      </c>
      <c r="O1447" s="2">
        <v>0.46207999999999994</v>
      </c>
      <c r="P1447" s="157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M1448" s="2">
        <v>0.536</v>
      </c>
      <c r="N1448" s="2">
        <v>0.7691</v>
      </c>
      <c r="O1448" s="2">
        <v>0.46204</v>
      </c>
      <c r="P1448" s="157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M1449" s="2">
        <v>0.536</v>
      </c>
      <c r="N1449" s="2">
        <v>0.7691</v>
      </c>
      <c r="O1449" s="2">
        <v>0.4619</v>
      </c>
      <c r="P1449" s="157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M1450" s="2">
        <v>0.5359</v>
      </c>
      <c r="N1450" s="2">
        <v>0.7691</v>
      </c>
      <c r="O1450" s="2">
        <v>0.4619</v>
      </c>
      <c r="P1450" s="157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M1451" s="2">
        <v>0.5359</v>
      </c>
      <c r="N1451" s="2">
        <v>0.7691</v>
      </c>
      <c r="O1451" s="2">
        <v>0.4617699999999999</v>
      </c>
      <c r="P1451" s="157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M1452" s="2">
        <v>0.5359</v>
      </c>
      <c r="N1452" s="2">
        <v>0.7691</v>
      </c>
      <c r="O1452" s="2">
        <v>0.46165</v>
      </c>
      <c r="P1452" s="157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M1453" s="2">
        <v>0.5358</v>
      </c>
      <c r="N1453" s="2">
        <v>0.7691</v>
      </c>
      <c r="O1453" s="2">
        <v>0.46163</v>
      </c>
      <c r="P1453" s="157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M1454" s="2">
        <v>0.5358</v>
      </c>
      <c r="N1454" s="2">
        <v>0.7691</v>
      </c>
      <c r="O1454" s="2">
        <v>0.46151</v>
      </c>
      <c r="P1454" s="157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M1455" s="2">
        <v>0.5357</v>
      </c>
      <c r="N1455" s="2">
        <v>0.7691</v>
      </c>
      <c r="O1455" s="2">
        <v>0.46149000000000007</v>
      </c>
      <c r="P1455" s="157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M1456" s="2">
        <v>0.5357</v>
      </c>
      <c r="N1456" s="2">
        <v>0.7691</v>
      </c>
      <c r="O1456" s="2">
        <v>0.46137000000000006</v>
      </c>
      <c r="P1456" s="157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M1457" s="2">
        <v>0.5356</v>
      </c>
      <c r="N1457" s="2">
        <v>0.7691</v>
      </c>
      <c r="O1457" s="2">
        <v>0.46135000000000004</v>
      </c>
      <c r="P1457" s="157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M1458" s="2">
        <v>0.5356</v>
      </c>
      <c r="N1458" s="2">
        <v>0.7691</v>
      </c>
      <c r="O1458" s="2">
        <v>0.46123000000000003</v>
      </c>
      <c r="P1458" s="157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M1459" s="2">
        <v>0.5356</v>
      </c>
      <c r="N1459" s="2">
        <v>0.7691</v>
      </c>
      <c r="O1459" s="2">
        <v>0.46111</v>
      </c>
      <c r="P1459" s="157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M1460" s="2">
        <v>0.5355</v>
      </c>
      <c r="N1460" s="2">
        <v>0.7691</v>
      </c>
      <c r="O1460" s="2">
        <v>0.46109</v>
      </c>
      <c r="P1460" s="157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M1461" s="2">
        <v>0.5355</v>
      </c>
      <c r="N1461" s="2">
        <v>0.7691</v>
      </c>
      <c r="O1461" s="2">
        <v>0.46097</v>
      </c>
      <c r="P1461" s="157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M1462" s="2">
        <v>0.5354</v>
      </c>
      <c r="N1462" s="2">
        <v>0.7691</v>
      </c>
      <c r="O1462" s="2">
        <v>0.46094999999999997</v>
      </c>
      <c r="P1462" s="157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M1463" s="2">
        <v>0.5354</v>
      </c>
      <c r="N1463" s="2">
        <v>0.7691</v>
      </c>
      <c r="O1463" s="2">
        <v>0.46082999999999996</v>
      </c>
      <c r="P1463" s="157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M1464" s="2">
        <v>0.5353</v>
      </c>
      <c r="N1464" s="2">
        <v>0.7691</v>
      </c>
      <c r="O1464" s="2">
        <v>0.46081000000000005</v>
      </c>
      <c r="P1464" s="157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M1465" s="2">
        <v>0.5353</v>
      </c>
      <c r="N1465" s="2">
        <v>0.7691</v>
      </c>
      <c r="O1465" s="2">
        <v>0.46069000000000004</v>
      </c>
      <c r="P1465" s="157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M1466" s="2">
        <v>0.5353</v>
      </c>
      <c r="N1466" s="2">
        <v>0.7691</v>
      </c>
      <c r="O1466" s="2">
        <v>0.46057000000000003</v>
      </c>
      <c r="P1466" s="157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M1467" s="2">
        <v>0.5352</v>
      </c>
      <c r="N1467" s="2">
        <v>0.7691</v>
      </c>
      <c r="O1467" s="2">
        <v>0.46055</v>
      </c>
      <c r="P1467" s="157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M1468" s="2">
        <v>0.5352</v>
      </c>
      <c r="N1468" s="2">
        <v>0.7691</v>
      </c>
      <c r="O1468" s="2">
        <v>0.46043</v>
      </c>
      <c r="P1468" s="157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M1469" s="2">
        <v>0.5351</v>
      </c>
      <c r="N1469" s="2">
        <v>0.7691</v>
      </c>
      <c r="O1469" s="2">
        <v>0.46041</v>
      </c>
      <c r="P1469" s="157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M1470" s="2">
        <v>0.5351</v>
      </c>
      <c r="N1470" s="2">
        <v>0.7691</v>
      </c>
      <c r="O1470" s="2">
        <v>0.46029</v>
      </c>
      <c r="P1470" s="157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M1471" s="2">
        <v>0.5351</v>
      </c>
      <c r="N1471" s="2">
        <v>0.7691</v>
      </c>
      <c r="O1471" s="2">
        <v>0.46016999999999997</v>
      </c>
      <c r="P1471" s="157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M1472" s="2">
        <v>0.535</v>
      </c>
      <c r="N1472" s="2">
        <v>0.7691</v>
      </c>
      <c r="O1472" s="2">
        <v>0.46014999999999995</v>
      </c>
      <c r="P1472" s="157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M1473" s="2">
        <v>0.535</v>
      </c>
      <c r="N1473" s="2">
        <v>0.7691</v>
      </c>
      <c r="O1473" s="2">
        <v>0.46002999999999994</v>
      </c>
      <c r="P1473" s="157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M1474" s="2">
        <v>0.5349</v>
      </c>
      <c r="N1474" s="2">
        <v>0.7691</v>
      </c>
      <c r="O1474" s="2">
        <v>0.4600099999999999</v>
      </c>
      <c r="P1474" s="157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M1475" s="2">
        <v>0.5349</v>
      </c>
      <c r="N1475" s="2">
        <v>0.7691</v>
      </c>
      <c r="O1475" s="2">
        <v>0.4598899999999999</v>
      </c>
      <c r="P1475" s="157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M1476" s="2">
        <v>0.5349</v>
      </c>
      <c r="N1476" s="2">
        <v>0.7691</v>
      </c>
      <c r="O1476" s="2">
        <v>0.45977</v>
      </c>
      <c r="P1476" s="157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M1477" s="2">
        <v>0.5348</v>
      </c>
      <c r="N1477" s="2">
        <v>0.7691</v>
      </c>
      <c r="O1477" s="2">
        <v>0.45975</v>
      </c>
      <c r="P1477" s="157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M1478" s="2">
        <v>0.5348</v>
      </c>
      <c r="N1478" s="2">
        <v>0.7691</v>
      </c>
      <c r="O1478" s="2">
        <v>0.45963</v>
      </c>
      <c r="P1478" s="157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M1479" s="2">
        <v>0.5347</v>
      </c>
      <c r="N1479" s="2">
        <v>0.7691</v>
      </c>
      <c r="O1479" s="2">
        <v>0.4596100000000001</v>
      </c>
      <c r="P1479" s="157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M1480" s="2">
        <v>0.5347</v>
      </c>
      <c r="N1480" s="2">
        <v>0.7691</v>
      </c>
      <c r="O1480" s="2">
        <v>0.45949000000000007</v>
      </c>
      <c r="P1480" s="157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M1481" s="2">
        <v>0.5347</v>
      </c>
      <c r="N1481" s="2">
        <v>0.7691</v>
      </c>
      <c r="O1481" s="2">
        <v>0.45937000000000006</v>
      </c>
      <c r="P1481" s="157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M1482" s="2">
        <v>0.5346</v>
      </c>
      <c r="N1482" s="2">
        <v>0.7691</v>
      </c>
      <c r="O1482" s="2">
        <v>0.45935000000000004</v>
      </c>
      <c r="P1482" s="157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M1483" s="2">
        <v>0.5346</v>
      </c>
      <c r="N1483" s="2">
        <v>0.7691</v>
      </c>
      <c r="O1483" s="2">
        <v>0.45923</v>
      </c>
      <c r="P1483" s="157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M1484" s="2">
        <v>0.5345</v>
      </c>
      <c r="N1484" s="2">
        <v>0.7691</v>
      </c>
      <c r="O1484" s="2">
        <v>0.45921</v>
      </c>
      <c r="P1484" s="157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M1485" s="2">
        <v>0.5345</v>
      </c>
      <c r="N1485" s="2">
        <v>0.7691</v>
      </c>
      <c r="O1485" s="2">
        <v>0.45909</v>
      </c>
      <c r="P1485" s="157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M1486" s="2">
        <v>0.5345</v>
      </c>
      <c r="N1486" s="2">
        <v>0.7691</v>
      </c>
      <c r="O1486" s="2">
        <v>0.45897</v>
      </c>
      <c r="P1486" s="157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M1487" s="2">
        <v>0.5344</v>
      </c>
      <c r="N1487" s="2">
        <v>0.7691</v>
      </c>
      <c r="O1487" s="2">
        <v>0.45894999999999997</v>
      </c>
      <c r="P1487" s="157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M1488" s="2">
        <v>0.5344</v>
      </c>
      <c r="N1488" s="2">
        <v>0.7691</v>
      </c>
      <c r="O1488" s="2">
        <v>0.45882999999999996</v>
      </c>
      <c r="P1488" s="157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M1489" s="2">
        <v>0.5344</v>
      </c>
      <c r="N1489" s="2">
        <v>0.7691</v>
      </c>
      <c r="O1489" s="2">
        <v>0.45871000000000006</v>
      </c>
      <c r="P1489" s="157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M1490" s="2">
        <v>0.5343</v>
      </c>
      <c r="N1490" s="2">
        <v>0.7691</v>
      </c>
      <c r="O1490" s="2">
        <v>0.45869000000000004</v>
      </c>
      <c r="P1490" s="157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M1491" s="2">
        <v>0.5343</v>
      </c>
      <c r="N1491" s="2">
        <v>0.7691</v>
      </c>
      <c r="O1491" s="2">
        <v>0.45853</v>
      </c>
      <c r="P1491" s="157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M1492" s="2">
        <v>0.5342</v>
      </c>
      <c r="N1492" s="2">
        <v>0.7691</v>
      </c>
      <c r="O1492" s="2">
        <v>0.45851</v>
      </c>
      <c r="P1492" s="157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M1493" s="2">
        <v>0.5342</v>
      </c>
      <c r="N1493" s="2">
        <v>0.7691</v>
      </c>
      <c r="O1493" s="2">
        <v>0.45838999999999996</v>
      </c>
      <c r="P1493" s="157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M1494" s="2">
        <v>0.5342</v>
      </c>
      <c r="N1494" s="2">
        <v>0.7691</v>
      </c>
      <c r="O1494" s="2">
        <v>0.45826999999999996</v>
      </c>
      <c r="P1494" s="157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M1495" s="2">
        <v>0.5341</v>
      </c>
      <c r="N1495" s="2">
        <v>0.7691</v>
      </c>
      <c r="O1495" s="2">
        <v>0.45824999999999994</v>
      </c>
      <c r="P1495" s="157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M1496" s="2">
        <v>0.5341</v>
      </c>
      <c r="N1496" s="2">
        <v>0.7691</v>
      </c>
      <c r="O1496" s="2">
        <v>0.4581299999999999</v>
      </c>
      <c r="P1496" s="157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M1497" s="2">
        <v>0.5341</v>
      </c>
      <c r="N1497" s="2">
        <v>0.7691</v>
      </c>
      <c r="O1497" s="2">
        <v>0.45801000000000003</v>
      </c>
      <c r="P1497" s="157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M1498" s="2">
        <v>0.534</v>
      </c>
      <c r="N1498" s="2">
        <v>0.7691</v>
      </c>
      <c r="O1498" s="2">
        <v>0.45799</v>
      </c>
      <c r="P1498" s="157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M1499" s="2">
        <v>0.534</v>
      </c>
      <c r="N1499" s="2">
        <v>0.7691</v>
      </c>
      <c r="O1499" s="2">
        <v>0.45787</v>
      </c>
      <c r="P1499" s="157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M1500" s="2">
        <v>0.534</v>
      </c>
      <c r="N1500" s="2">
        <v>0.7691</v>
      </c>
      <c r="O1500" s="2">
        <v>0.45775</v>
      </c>
      <c r="P1500" s="157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M1501" s="2">
        <v>0.5339</v>
      </c>
      <c r="N1501" s="2">
        <v>0.7691</v>
      </c>
      <c r="O1501" s="2">
        <v>0.45772999999999997</v>
      </c>
      <c r="P1501" s="157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M1502" s="2">
        <v>0.5339</v>
      </c>
      <c r="N1502" s="2">
        <v>0.7691</v>
      </c>
      <c r="O1502" s="2">
        <v>0.45760999999999996</v>
      </c>
      <c r="P1502" s="157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M1503" s="2">
        <v>0.5338</v>
      </c>
      <c r="N1503" s="2">
        <v>0.7691</v>
      </c>
      <c r="O1503" s="2">
        <v>0.45758999999999994</v>
      </c>
      <c r="P1503" s="157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M1504" s="2">
        <v>0.5338</v>
      </c>
      <c r="N1504" s="2">
        <v>0.7691</v>
      </c>
      <c r="O1504" s="2">
        <v>0.45746999999999993</v>
      </c>
      <c r="P1504" s="157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M1505" s="2">
        <v>0.5338</v>
      </c>
      <c r="N1505" s="2">
        <v>0.7691</v>
      </c>
      <c r="O1505" s="2">
        <v>0.4573499999999999</v>
      </c>
      <c r="P1505" s="157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M1506" s="2">
        <v>0.5337</v>
      </c>
      <c r="N1506" s="2">
        <v>0.7691</v>
      </c>
      <c r="O1506" s="2">
        <v>0.45733</v>
      </c>
      <c r="P1506" s="157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M1507" s="2">
        <v>0.5337</v>
      </c>
      <c r="N1507" s="2">
        <v>0.7691</v>
      </c>
      <c r="O1507" s="2">
        <v>0.45721</v>
      </c>
      <c r="P1507" s="157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M1508" s="2">
        <v>0.5337</v>
      </c>
      <c r="N1508" s="2">
        <v>0.7691</v>
      </c>
      <c r="O1508" s="2">
        <v>0.45709</v>
      </c>
      <c r="P1508" s="157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M1509" s="2">
        <v>0.5336</v>
      </c>
      <c r="N1509" s="2">
        <v>0.7691</v>
      </c>
      <c r="O1509" s="2">
        <v>0.4570700000000001</v>
      </c>
      <c r="P1509" s="157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M1510" s="2">
        <v>0.5336</v>
      </c>
      <c r="N1510" s="2">
        <v>0.7691</v>
      </c>
      <c r="O1510" s="2">
        <v>0.4569500000000001</v>
      </c>
      <c r="P1510" s="157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M1511" s="2">
        <v>0.5336</v>
      </c>
      <c r="N1511" s="2">
        <v>0.7691</v>
      </c>
      <c r="O1511" s="2">
        <v>0.45683000000000007</v>
      </c>
      <c r="P1511" s="157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M1512" s="2">
        <v>0.5335</v>
      </c>
      <c r="N1512" s="2">
        <v>0.7691</v>
      </c>
      <c r="O1512" s="2">
        <v>0.45681000000000005</v>
      </c>
      <c r="P1512" s="157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M1513" s="2">
        <v>0.5335</v>
      </c>
      <c r="N1513" s="2">
        <v>0.7691</v>
      </c>
      <c r="O1513" s="2">
        <v>0.45669000000000004</v>
      </c>
      <c r="P1513" s="157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M1514" s="2">
        <v>0.5335</v>
      </c>
      <c r="N1514" s="2">
        <v>0.7691</v>
      </c>
      <c r="O1514" s="2">
        <v>0.45657000000000003</v>
      </c>
      <c r="P1514" s="157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M1515" s="2">
        <v>0.5334</v>
      </c>
      <c r="N1515" s="2">
        <v>0.7691</v>
      </c>
      <c r="O1515" s="2">
        <v>0.45655</v>
      </c>
      <c r="P1515" s="157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M1516" s="2">
        <v>0.5334</v>
      </c>
      <c r="N1516" s="2">
        <v>0.7691</v>
      </c>
      <c r="O1516" s="2">
        <v>0.45643</v>
      </c>
      <c r="P1516" s="157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M1517" s="2">
        <v>0.5334</v>
      </c>
      <c r="N1517" s="2">
        <v>0.7691</v>
      </c>
      <c r="O1517" s="2">
        <v>0.45631</v>
      </c>
      <c r="P1517" s="157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M1518" s="2">
        <v>0.5333</v>
      </c>
      <c r="N1518" s="2">
        <v>0.7691</v>
      </c>
      <c r="O1518" s="2">
        <v>0.45629</v>
      </c>
      <c r="P1518" s="157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M1519" s="2">
        <v>0.5333</v>
      </c>
      <c r="N1519" s="2">
        <v>0.7691</v>
      </c>
      <c r="O1519" s="2">
        <v>0.45616999999999996</v>
      </c>
      <c r="P1519" s="157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M1520" s="2">
        <v>0.5333</v>
      </c>
      <c r="N1520" s="2">
        <v>0.7691</v>
      </c>
      <c r="O1520" s="2">
        <v>0.45604999999999996</v>
      </c>
      <c r="P1520" s="157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M1521" s="2">
        <v>0.5332</v>
      </c>
      <c r="N1521" s="2">
        <v>0.7691</v>
      </c>
      <c r="O1521" s="2">
        <v>0.45603000000000005</v>
      </c>
      <c r="P1521" s="157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M1522" s="2">
        <v>0.5332</v>
      </c>
      <c r="N1522" s="2">
        <v>0.7691</v>
      </c>
      <c r="O1522" s="2">
        <v>0.45591000000000004</v>
      </c>
      <c r="P1522" s="157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M1523" s="2">
        <v>0.5332</v>
      </c>
      <c r="N1523" s="2">
        <v>0.7691</v>
      </c>
      <c r="O1523" s="2">
        <v>0.45579000000000003</v>
      </c>
      <c r="P1523" s="157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M1524" s="2">
        <v>0.5332</v>
      </c>
      <c r="N1524" s="2">
        <v>0.7691</v>
      </c>
      <c r="O1524" s="2">
        <v>0.45563</v>
      </c>
      <c r="P1524" s="157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M1525" s="2">
        <v>0.5331</v>
      </c>
      <c r="N1525" s="2">
        <v>0.7691</v>
      </c>
      <c r="O1525" s="2">
        <v>0.45560999999999996</v>
      </c>
      <c r="P1525" s="157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M1526" s="2">
        <v>0.5331</v>
      </c>
      <c r="N1526" s="2">
        <v>0.7691</v>
      </c>
      <c r="O1526" s="2">
        <v>0.45548999999999995</v>
      </c>
      <c r="P1526" s="157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M1527" s="2">
        <v>0.5331</v>
      </c>
      <c r="N1527" s="2">
        <v>0.7691</v>
      </c>
      <c r="O1527" s="2">
        <v>0.45536999999999994</v>
      </c>
      <c r="P1527" s="157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M1528" s="2">
        <v>0.533</v>
      </c>
      <c r="N1528" s="2">
        <v>0.7691</v>
      </c>
      <c r="O1528" s="2">
        <v>0.4553499999999999</v>
      </c>
      <c r="P1528" s="157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M1529" s="2">
        <v>0.533</v>
      </c>
      <c r="N1529" s="2">
        <v>0.7691</v>
      </c>
      <c r="O1529" s="2">
        <v>0.45523</v>
      </c>
      <c r="P1529" s="157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M1530" s="2">
        <v>0.533</v>
      </c>
      <c r="N1530" s="2">
        <v>0.7691</v>
      </c>
      <c r="O1530" s="2">
        <v>0.45511</v>
      </c>
      <c r="P1530" s="157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M1531" s="2">
        <v>0.5329</v>
      </c>
      <c r="N1531" s="2">
        <v>0.7691</v>
      </c>
      <c r="O1531" s="2">
        <v>0.45509</v>
      </c>
      <c r="P1531" s="157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M1532" s="2">
        <v>0.5329</v>
      </c>
      <c r="N1532" s="2">
        <v>0.7691</v>
      </c>
      <c r="O1532" s="2">
        <v>0.45497</v>
      </c>
      <c r="P1532" s="157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M1533" s="2">
        <v>0.5329</v>
      </c>
      <c r="N1533" s="2">
        <v>0.7691</v>
      </c>
      <c r="O1533" s="2">
        <v>0.45485</v>
      </c>
      <c r="P1533" s="157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M1534" s="2">
        <v>0.5329</v>
      </c>
      <c r="N1534" s="2">
        <v>0.7691</v>
      </c>
      <c r="O1534" s="2">
        <v>0.45472999999999997</v>
      </c>
      <c r="P1534" s="157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M1535" s="2">
        <v>0.5328</v>
      </c>
      <c r="N1535" s="2">
        <v>0.7691</v>
      </c>
      <c r="O1535" s="2">
        <v>0.45470999999999995</v>
      </c>
      <c r="P1535" s="157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M1536" s="2">
        <v>0.5328</v>
      </c>
      <c r="N1536" s="2">
        <v>0.7691</v>
      </c>
      <c r="O1536" s="2">
        <v>0.45458999999999994</v>
      </c>
      <c r="P1536" s="157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M1537" s="2">
        <v>0.5328</v>
      </c>
      <c r="N1537" s="2">
        <v>0.7691</v>
      </c>
      <c r="O1537" s="2">
        <v>0.45446999999999993</v>
      </c>
      <c r="P1537" s="157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M1538" s="2">
        <v>0.5327</v>
      </c>
      <c r="N1538" s="2">
        <v>0.7691</v>
      </c>
      <c r="O1538" s="2">
        <v>0.45445</v>
      </c>
      <c r="P1538" s="157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M1539" s="2">
        <v>0.5327</v>
      </c>
      <c r="N1539" s="2">
        <v>0.7691</v>
      </c>
      <c r="O1539" s="2">
        <v>0.45433</v>
      </c>
      <c r="P1539" s="157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M1540" s="2">
        <v>0.5327</v>
      </c>
      <c r="N1540" s="2">
        <v>0.7691</v>
      </c>
      <c r="O1540" s="2">
        <v>0.45421</v>
      </c>
      <c r="P1540" s="157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M1541" s="2">
        <v>0.5327</v>
      </c>
      <c r="N1541" s="2">
        <v>0.7691</v>
      </c>
      <c r="O1541" s="2">
        <v>0.45409</v>
      </c>
      <c r="P1541" s="157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M1542" s="2">
        <v>0.5326</v>
      </c>
      <c r="N1542" s="2">
        <v>0.7691</v>
      </c>
      <c r="O1542" s="2">
        <v>0.4540700000000001</v>
      </c>
      <c r="P1542" s="157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M1543" s="2">
        <v>0.5326</v>
      </c>
      <c r="N1543" s="2">
        <v>0.7691</v>
      </c>
      <c r="O1543" s="2">
        <v>0.4539500000000001</v>
      </c>
      <c r="P1543" s="157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M1544" s="2">
        <v>0.5326</v>
      </c>
      <c r="N1544" s="2">
        <v>0.7691</v>
      </c>
      <c r="O1544" s="2">
        <v>0.45383000000000007</v>
      </c>
      <c r="P1544" s="157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M1545" s="2">
        <v>0.5326</v>
      </c>
      <c r="N1545" s="2">
        <v>0.7691</v>
      </c>
      <c r="O1545" s="2">
        <v>0.45371000000000006</v>
      </c>
      <c r="P1545" s="157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M1546" s="2">
        <v>0.5325</v>
      </c>
      <c r="N1546" s="2">
        <v>0.7691</v>
      </c>
      <c r="O1546" s="2">
        <v>0.45369000000000004</v>
      </c>
      <c r="P1546" s="157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M1547" s="2">
        <v>0.5325</v>
      </c>
      <c r="N1547" s="2">
        <v>0.7691</v>
      </c>
      <c r="O1547" s="2">
        <v>0.45357000000000003</v>
      </c>
      <c r="P1547" s="157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M1548" s="2">
        <v>0.5325</v>
      </c>
      <c r="N1548" s="2">
        <v>0.7691</v>
      </c>
      <c r="O1548" s="2">
        <v>0.45345</v>
      </c>
      <c r="P1548" s="157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M1549" s="2">
        <v>0.5325</v>
      </c>
      <c r="N1549" s="2">
        <v>0.7691</v>
      </c>
      <c r="O1549" s="2">
        <v>0.45333</v>
      </c>
      <c r="P1549" s="157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M1550" s="2">
        <v>0.5324</v>
      </c>
      <c r="N1550" s="2">
        <v>0.7691</v>
      </c>
      <c r="O1550" s="2">
        <v>0.45331</v>
      </c>
      <c r="P1550" s="157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M1551" s="2">
        <v>0.5324</v>
      </c>
      <c r="N1551" s="2">
        <v>0.7691</v>
      </c>
      <c r="O1551" s="2">
        <v>0.45320000000000005</v>
      </c>
      <c r="P1551" s="157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M1552" s="2">
        <v>0.5324</v>
      </c>
      <c r="N1552" s="2">
        <v>0.7691</v>
      </c>
      <c r="O1552" s="2">
        <v>0.45310000000000006</v>
      </c>
      <c r="P1552" s="157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M1553" s="2">
        <v>0.5324</v>
      </c>
      <c r="N1553" s="2">
        <v>0.7691</v>
      </c>
      <c r="O1553" s="2">
        <v>0.45300000000000007</v>
      </c>
      <c r="P1553" s="157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M1554" s="2">
        <v>0.5323</v>
      </c>
      <c r="N1554" s="2">
        <v>0.7691</v>
      </c>
      <c r="O1554" s="2">
        <v>0.45299999999999996</v>
      </c>
      <c r="P1554" s="157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M1555" s="2">
        <v>0.5323</v>
      </c>
      <c r="N1555" s="2">
        <v>0.7691</v>
      </c>
      <c r="O1555" s="2">
        <v>0.45289999999999997</v>
      </c>
      <c r="P1555" s="157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M1556" s="2">
        <v>0.5323</v>
      </c>
      <c r="N1556" s="2">
        <v>0.7691</v>
      </c>
      <c r="O1556" s="2">
        <v>0.4528</v>
      </c>
      <c r="P1556" s="157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M1557" s="2">
        <v>0.5323</v>
      </c>
      <c r="N1557" s="2">
        <v>0.7691</v>
      </c>
      <c r="O1557" s="2">
        <v>0.4527</v>
      </c>
      <c r="P1557" s="157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M1558" s="2">
        <v>0.5323</v>
      </c>
      <c r="N1558" s="2">
        <v>0.7691</v>
      </c>
      <c r="O1558" s="2">
        <v>0.4526</v>
      </c>
      <c r="P1558" s="157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M1559" s="2">
        <v>0.5322</v>
      </c>
      <c r="N1559" s="2">
        <v>0.7691</v>
      </c>
      <c r="O1559" s="2">
        <v>0.4526</v>
      </c>
      <c r="P1559" s="157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M1560" s="2">
        <v>0.5322</v>
      </c>
      <c r="N1560" s="2">
        <v>0.7691</v>
      </c>
      <c r="O1560" s="2">
        <v>0.4525</v>
      </c>
      <c r="P1560" s="157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M1561" s="2">
        <v>0.5322</v>
      </c>
      <c r="N1561" s="2">
        <v>0.7691</v>
      </c>
      <c r="O1561" s="2">
        <v>0.4524</v>
      </c>
      <c r="P1561" s="157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M1562" s="2">
        <v>0.5322</v>
      </c>
      <c r="N1562" s="2">
        <v>0.7691</v>
      </c>
      <c r="O1562" s="2">
        <v>0.45230000000000004</v>
      </c>
      <c r="P1562" s="157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M1563" s="2">
        <v>0.5321</v>
      </c>
      <c r="N1563" s="2">
        <v>0.7691</v>
      </c>
      <c r="O1563" s="2">
        <v>0.45230000000000004</v>
      </c>
      <c r="P1563" s="157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M1564" s="2">
        <v>0.5321</v>
      </c>
      <c r="N1564" s="2">
        <v>0.7691</v>
      </c>
      <c r="O1564" s="2">
        <v>0.45219999999999994</v>
      </c>
      <c r="P1564" s="157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M1565" s="2">
        <v>0.5321</v>
      </c>
      <c r="N1565" s="2">
        <v>0.7691</v>
      </c>
      <c r="O1565" s="2">
        <v>0.45209999999999995</v>
      </c>
      <c r="P1565" s="157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M1566" s="2">
        <v>0.5321</v>
      </c>
      <c r="N1566" s="2">
        <v>0.7691</v>
      </c>
      <c r="O1566" s="2">
        <v>0.45199999999999996</v>
      </c>
      <c r="P1566" s="157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M1567" s="2">
        <v>0.5321</v>
      </c>
      <c r="N1567" s="2">
        <v>0.7691</v>
      </c>
      <c r="O1567" s="2">
        <v>0.45189999999999997</v>
      </c>
      <c r="P1567" s="157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M1568" s="2">
        <v>0.532</v>
      </c>
      <c r="N1568" s="2">
        <v>0.7691</v>
      </c>
      <c r="O1568" s="2">
        <v>0.45189999999999997</v>
      </c>
      <c r="P1568" s="157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M1569" s="2">
        <v>0.532</v>
      </c>
      <c r="N1569" s="2">
        <v>0.7691</v>
      </c>
      <c r="O1569" s="2">
        <v>0.4518</v>
      </c>
      <c r="P1569" s="157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M1570" s="2">
        <v>0.532</v>
      </c>
      <c r="N1570" s="2">
        <v>0.7691</v>
      </c>
      <c r="O1570" s="2">
        <v>0.4517</v>
      </c>
      <c r="P1570" s="157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M1571" s="2">
        <v>0.532</v>
      </c>
      <c r="N1571" s="2">
        <v>0.7691</v>
      </c>
      <c r="O1571" s="2">
        <v>0.4516</v>
      </c>
      <c r="P1571" s="157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M1572" s="2">
        <v>0.532</v>
      </c>
      <c r="N1572" s="2">
        <v>0.7691</v>
      </c>
      <c r="O1572" s="2">
        <v>0.4515</v>
      </c>
      <c r="P1572" s="157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M1573" s="2">
        <v>0.532</v>
      </c>
      <c r="N1573" s="2">
        <v>0.7691</v>
      </c>
      <c r="O1573" s="2">
        <v>0.4514</v>
      </c>
      <c r="P1573" s="157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M1574" s="2">
        <v>0.5319</v>
      </c>
      <c r="N1574" s="2">
        <v>0.7691</v>
      </c>
      <c r="O1574" s="2">
        <v>0.4513999999999999</v>
      </c>
      <c r="P1574" s="157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M1575" s="2">
        <v>0.5319</v>
      </c>
      <c r="N1575" s="2">
        <v>0.7691</v>
      </c>
      <c r="O1575" s="2">
        <v>0.4512999999999999</v>
      </c>
      <c r="P1575" s="157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M1576" s="2">
        <v>0.5319</v>
      </c>
      <c r="N1576" s="2">
        <v>0.7691</v>
      </c>
      <c r="O1576" s="2">
        <v>0.45119999999999993</v>
      </c>
      <c r="P1576" s="157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M1577" s="2">
        <v>0.5319</v>
      </c>
      <c r="N1577" s="2">
        <v>0.7691</v>
      </c>
      <c r="O1577" s="2">
        <v>0.45109999999999995</v>
      </c>
      <c r="P1577" s="157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M1578" s="2">
        <v>0.5319</v>
      </c>
      <c r="N1578" s="2">
        <v>0.7691</v>
      </c>
      <c r="O1578" s="2">
        <v>0.45099999999999996</v>
      </c>
      <c r="P1578" s="157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M1579" s="2">
        <v>0.5319</v>
      </c>
      <c r="N1579" s="2">
        <v>0.7691</v>
      </c>
      <c r="O1579" s="2">
        <v>0.45089999999999997</v>
      </c>
      <c r="P1579" s="157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M1580" s="2">
        <v>0.5318</v>
      </c>
      <c r="N1580" s="2">
        <v>0.7691</v>
      </c>
      <c r="O1580" s="2">
        <v>0.45089999999999997</v>
      </c>
      <c r="P1580" s="157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M1581" s="2">
        <v>0.5318</v>
      </c>
      <c r="N1581" s="2">
        <v>0.7691</v>
      </c>
      <c r="O1581" s="2">
        <v>0.4508</v>
      </c>
      <c r="P1581" s="157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M1582" s="2">
        <v>0.5318</v>
      </c>
      <c r="N1582" s="2">
        <v>0.7691</v>
      </c>
      <c r="O1582" s="2">
        <v>0.4507</v>
      </c>
      <c r="P1582" s="157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M1583" s="2">
        <v>0.5318</v>
      </c>
      <c r="N1583" s="2">
        <v>0.7691</v>
      </c>
      <c r="O1583" s="2">
        <v>0.4506</v>
      </c>
      <c r="P1583" s="157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M1584" s="2">
        <v>0.5318</v>
      </c>
      <c r="N1584" s="2">
        <v>0.7691</v>
      </c>
      <c r="O1584" s="2">
        <v>0.4504999999999999</v>
      </c>
      <c r="P1584" s="157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M1585" s="2">
        <v>0.5318</v>
      </c>
      <c r="N1585" s="2">
        <v>0.7691</v>
      </c>
      <c r="O1585" s="2">
        <v>0.4503999999999999</v>
      </c>
      <c r="P1585" s="157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M1586" s="2">
        <v>0.5317</v>
      </c>
      <c r="N1586" s="2">
        <v>0.7691</v>
      </c>
      <c r="O1586" s="2">
        <v>0.4504</v>
      </c>
      <c r="P1586" s="157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M1587" s="2">
        <v>0.5317</v>
      </c>
      <c r="N1587" s="2">
        <v>0.7691</v>
      </c>
      <c r="O1587" s="2">
        <v>0.45030000000000003</v>
      </c>
      <c r="P1587" s="157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M1588" s="2">
        <v>0.5317</v>
      </c>
      <c r="N1588" s="2">
        <v>0.7691</v>
      </c>
      <c r="O1588" s="2">
        <v>0.45020000000000004</v>
      </c>
      <c r="P1588" s="157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M1589" s="2">
        <v>0.5317</v>
      </c>
      <c r="N1589" s="2">
        <v>0.7691</v>
      </c>
      <c r="O1589" s="2">
        <v>0.45010000000000006</v>
      </c>
      <c r="P1589" s="157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M1590" s="2">
        <v>0.5317</v>
      </c>
      <c r="N1590" s="2">
        <v>0.7691</v>
      </c>
      <c r="O1590" s="2">
        <v>0.45</v>
      </c>
      <c r="P1590" s="157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M1591" s="2">
        <v>0.5317</v>
      </c>
      <c r="N1591" s="2">
        <v>0.7691</v>
      </c>
      <c r="O1591" s="2">
        <v>0.4499000000000001</v>
      </c>
      <c r="P1591" s="157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M1592" s="2">
        <v>0.5317</v>
      </c>
      <c r="N1592" s="2">
        <v>0.7691</v>
      </c>
      <c r="O1592" s="2">
        <v>0.4498000000000001</v>
      </c>
      <c r="P1592" s="157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M1593" s="2">
        <v>0.5317</v>
      </c>
      <c r="N1593" s="2">
        <v>0.7691</v>
      </c>
      <c r="O1593" s="2">
        <v>0.4497000000000001</v>
      </c>
      <c r="P1593" s="157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M1594" s="2">
        <v>0.5317</v>
      </c>
      <c r="N1594" s="2">
        <v>0.7691</v>
      </c>
      <c r="O1594" s="2">
        <v>0.4496</v>
      </c>
      <c r="P1594" s="157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M1595" s="2">
        <v>0.5316</v>
      </c>
      <c r="N1595" s="2">
        <v>0.7691</v>
      </c>
      <c r="O1595" s="2">
        <v>0.4496</v>
      </c>
      <c r="P1595" s="157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M1596" s="2">
        <v>0.5316</v>
      </c>
      <c r="N1596" s="2">
        <v>0.7691</v>
      </c>
      <c r="O1596" s="2">
        <v>0.4495</v>
      </c>
      <c r="P1596" s="157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M1597" s="2">
        <v>0.5316</v>
      </c>
      <c r="N1597" s="2">
        <v>0.7691</v>
      </c>
      <c r="O1597" s="2">
        <v>0.4494</v>
      </c>
      <c r="P1597" s="157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M1598" s="2">
        <v>0.5316</v>
      </c>
      <c r="N1598" s="2">
        <v>0.7691</v>
      </c>
      <c r="O1598" s="2">
        <v>0.44930000000000003</v>
      </c>
      <c r="P1598" s="157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M1599" s="2">
        <v>0.5316</v>
      </c>
      <c r="N1599" s="2">
        <v>0.7691</v>
      </c>
      <c r="O1599" s="2">
        <v>0.44920000000000004</v>
      </c>
      <c r="P1599" s="157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M1600" s="2">
        <v>0.5316</v>
      </c>
      <c r="N1600" s="2">
        <v>0.7691</v>
      </c>
      <c r="O1600" s="2">
        <v>0.44910000000000005</v>
      </c>
      <c r="P1600" s="157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M1601" s="2">
        <v>0.5316</v>
      </c>
      <c r="N1601" s="2">
        <v>0.7691</v>
      </c>
      <c r="O1601" s="2">
        <v>0.44900000000000007</v>
      </c>
      <c r="P1601" s="157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M1602" s="2">
        <v>0.5316</v>
      </c>
      <c r="N1602" s="2">
        <v>0.7691</v>
      </c>
      <c r="O1602" s="2">
        <v>0.4489000000000001</v>
      </c>
      <c r="P1602" s="157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M1603" s="2">
        <v>0.5316</v>
      </c>
      <c r="N1603" s="2">
        <v>0.7691</v>
      </c>
      <c r="O1603" s="2">
        <v>0.4488000000000001</v>
      </c>
      <c r="P1603" s="157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M1604" s="2">
        <v>0.5316</v>
      </c>
      <c r="N1604" s="2">
        <v>0.7691</v>
      </c>
      <c r="O1604" s="2">
        <v>0.4487</v>
      </c>
      <c r="P1604" s="157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M1605" s="2">
        <v>0.5316</v>
      </c>
      <c r="N1605" s="2">
        <v>0.7691</v>
      </c>
      <c r="O1605" s="2">
        <v>0.4486</v>
      </c>
      <c r="P1605" s="157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M1606" s="2">
        <v>0.5316</v>
      </c>
      <c r="N1606" s="2">
        <v>0.7691</v>
      </c>
      <c r="O1606" s="2">
        <v>0.4485</v>
      </c>
      <c r="P1606" s="157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M1607" s="2">
        <v>0.5315</v>
      </c>
      <c r="N1607" s="2">
        <v>0.7691</v>
      </c>
      <c r="O1607" s="2">
        <v>0.4485</v>
      </c>
      <c r="P1607" s="157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M1608" s="2">
        <v>0.5315</v>
      </c>
      <c r="N1608" s="2">
        <v>0.7691</v>
      </c>
      <c r="O1608" s="2">
        <v>0.4484</v>
      </c>
      <c r="P1608" s="157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M1609" s="2">
        <v>0.5315</v>
      </c>
      <c r="N1609" s="2">
        <v>0.7691</v>
      </c>
      <c r="O1609" s="2">
        <v>0.44830000000000003</v>
      </c>
      <c r="P1609" s="157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M1610" s="2">
        <v>0.5315</v>
      </c>
      <c r="N1610" s="2">
        <v>0.7691</v>
      </c>
      <c r="O1610" s="2">
        <v>0.44820000000000004</v>
      </c>
      <c r="P1610" s="157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M1611" s="2">
        <v>0.5315</v>
      </c>
      <c r="N1611" s="2">
        <v>0.7691</v>
      </c>
      <c r="O1611" s="2">
        <v>0.44810000000000005</v>
      </c>
      <c r="P1611" s="157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M1612" s="2">
        <v>0.5315</v>
      </c>
      <c r="N1612" s="2">
        <v>0.7691</v>
      </c>
      <c r="O1612" s="2">
        <v>0.44800000000000006</v>
      </c>
      <c r="P1612" s="157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M1613" s="2">
        <v>0.5315</v>
      </c>
      <c r="N1613" s="2">
        <v>0.7691</v>
      </c>
      <c r="O1613" s="2">
        <v>0.4479000000000001</v>
      </c>
      <c r="P1613" s="157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M1614" s="2">
        <v>0.5315</v>
      </c>
      <c r="N1614" s="2">
        <v>0.7691</v>
      </c>
      <c r="O1614" s="2">
        <v>0.4478</v>
      </c>
      <c r="P1614" s="157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M1615" s="2">
        <v>0.5315</v>
      </c>
      <c r="N1615" s="2">
        <v>0.7691</v>
      </c>
      <c r="O1615" s="2">
        <v>0.4477</v>
      </c>
      <c r="P1615" s="157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M1616" s="2">
        <v>0.5315</v>
      </c>
      <c r="N1616" s="2">
        <v>0.7691</v>
      </c>
      <c r="O1616" s="2">
        <v>0.4476</v>
      </c>
      <c r="P1616" s="157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M1617" s="2">
        <v>0.5315</v>
      </c>
      <c r="N1617" s="2">
        <v>0.7691</v>
      </c>
      <c r="O1617" s="2">
        <v>0.4475</v>
      </c>
      <c r="P1617" s="157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M1618" s="2">
        <v>0.5315</v>
      </c>
      <c r="N1618" s="2">
        <v>0.7691</v>
      </c>
      <c r="O1618" s="2">
        <v>0.4474</v>
      </c>
      <c r="P1618" s="157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M1619" s="2">
        <v>0.5315</v>
      </c>
      <c r="N1619" s="2">
        <v>0.7691</v>
      </c>
      <c r="O1619" s="2">
        <v>0.44730000000000003</v>
      </c>
      <c r="P1619" s="157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M1620" s="2">
        <v>0.5315</v>
      </c>
      <c r="N1620" s="2">
        <v>0.7691</v>
      </c>
      <c r="O1620" s="2">
        <v>0.44720000000000004</v>
      </c>
      <c r="P1620" s="157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M1621" s="2">
        <v>0.5315</v>
      </c>
      <c r="N1621" s="2">
        <v>0.7691</v>
      </c>
      <c r="O1621" s="2">
        <v>0.44710000000000005</v>
      </c>
      <c r="P1621" s="157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M1622" s="2">
        <v>0.5315</v>
      </c>
      <c r="N1622" s="2">
        <v>0.7691</v>
      </c>
      <c r="O1622" s="2">
        <v>0.44700000000000006</v>
      </c>
      <c r="P1622" s="157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M1623" s="2">
        <v>0.5315</v>
      </c>
      <c r="N1623" s="2">
        <v>0.7691</v>
      </c>
      <c r="O1623" s="2">
        <v>0.4469000000000001</v>
      </c>
      <c r="P1623" s="157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M1624" s="2">
        <v>0.5315</v>
      </c>
      <c r="N1624" s="2">
        <v>0.7691</v>
      </c>
      <c r="O1624" s="2">
        <v>0.4468</v>
      </c>
      <c r="P1624" s="157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M1625" s="2">
        <v>0.5315</v>
      </c>
      <c r="N1625" s="2">
        <v>0.7691</v>
      </c>
      <c r="O1625" s="2">
        <v>0.4467</v>
      </c>
      <c r="P1625" s="157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M1626" s="2">
        <v>0.5315</v>
      </c>
      <c r="N1626" s="2">
        <v>0.7691</v>
      </c>
      <c r="O1626" s="2">
        <v>0.4466</v>
      </c>
      <c r="P1626" s="157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M1627" s="2">
        <v>0.5315</v>
      </c>
      <c r="N1627" s="2">
        <v>0.7691</v>
      </c>
      <c r="O1627" s="2">
        <v>0.4465</v>
      </c>
      <c r="P1627" s="157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M1628" s="2">
        <v>0.5315</v>
      </c>
      <c r="N1628" s="2">
        <v>0.7691</v>
      </c>
      <c r="O1628" s="2">
        <v>0.4464</v>
      </c>
      <c r="P1628" s="157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M1629" s="2">
        <v>0.5315</v>
      </c>
      <c r="N1629" s="2">
        <v>0.7691</v>
      </c>
      <c r="O1629" s="2">
        <v>0.44630000000000003</v>
      </c>
      <c r="P1629" s="157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M1630" s="2">
        <v>0.5315</v>
      </c>
      <c r="N1630" s="2">
        <v>0.7691</v>
      </c>
      <c r="O1630" s="2">
        <v>0.44620000000000004</v>
      </c>
      <c r="P1630" s="157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M1631" s="2">
        <v>0.5315</v>
      </c>
      <c r="N1631" s="2">
        <v>0.7691</v>
      </c>
      <c r="O1631" s="2">
        <v>0.44610000000000005</v>
      </c>
      <c r="P1631" s="157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M1632" s="2">
        <v>0.5315</v>
      </c>
      <c r="N1632" s="2">
        <v>0.7691</v>
      </c>
      <c r="O1632" s="2">
        <v>0.44600000000000006</v>
      </c>
      <c r="P1632" s="157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M1633" s="2">
        <v>0.5315</v>
      </c>
      <c r="N1633" s="2">
        <v>0.7691</v>
      </c>
      <c r="O1633" s="2">
        <v>0.4459000000000001</v>
      </c>
      <c r="P1633" s="157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M1634" s="2">
        <v>0.5315</v>
      </c>
      <c r="N1634" s="2">
        <v>0.7691</v>
      </c>
      <c r="O1634" s="2">
        <v>0.4458</v>
      </c>
      <c r="P1634" s="157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M1635" s="2">
        <v>0.5315</v>
      </c>
      <c r="N1635" s="2">
        <v>0.7691</v>
      </c>
      <c r="O1635" s="2">
        <v>0.4457</v>
      </c>
      <c r="P1635" s="157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M1636" s="2">
        <v>0.5315</v>
      </c>
      <c r="N1636" s="2">
        <v>0.7691</v>
      </c>
      <c r="O1636" s="2">
        <v>0.4456</v>
      </c>
      <c r="P1636" s="157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M1637" s="2">
        <v>0.5316</v>
      </c>
      <c r="N1637" s="2">
        <v>0.7691</v>
      </c>
      <c r="O1637" s="2">
        <v>0.4454</v>
      </c>
      <c r="P1637" s="157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M1638" s="2">
        <v>0.5316</v>
      </c>
      <c r="N1638" s="2">
        <v>0.7691</v>
      </c>
      <c r="O1638" s="2">
        <v>0.44530000000000003</v>
      </c>
      <c r="P1638" s="157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M1639" s="2">
        <v>0.5316</v>
      </c>
      <c r="N1639" s="2">
        <v>0.7691</v>
      </c>
      <c r="O1639" s="2">
        <v>0.44520000000000004</v>
      </c>
      <c r="P1639" s="157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M1640" s="2">
        <v>0.5316</v>
      </c>
      <c r="N1640" s="2">
        <v>0.7691</v>
      </c>
      <c r="O1640" s="2">
        <v>0.44510000000000005</v>
      </c>
      <c r="P1640" s="157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M1641" s="2">
        <v>0.5316</v>
      </c>
      <c r="N1641" s="2">
        <v>0.7691</v>
      </c>
      <c r="O1641" s="2">
        <v>0.445</v>
      </c>
      <c r="P1641" s="157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M1642" s="2">
        <v>0.5316</v>
      </c>
      <c r="N1642" s="2">
        <v>0.7691</v>
      </c>
      <c r="O1642" s="2">
        <v>0.4449000000000001</v>
      </c>
      <c r="P1642" s="157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M1643" s="2">
        <v>0.5316</v>
      </c>
      <c r="N1643" s="2">
        <v>0.7691</v>
      </c>
      <c r="O1643" s="2">
        <v>0.4448000000000001</v>
      </c>
      <c r="P1643" s="157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M1644" s="2">
        <v>0.5316</v>
      </c>
      <c r="N1644" s="2">
        <v>0.7691</v>
      </c>
      <c r="O1644" s="2">
        <v>0.4447</v>
      </c>
      <c r="P1644" s="157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M1645" s="2">
        <v>0.5316</v>
      </c>
      <c r="N1645" s="2">
        <v>0.7691</v>
      </c>
      <c r="O1645" s="2">
        <v>0.4446</v>
      </c>
      <c r="P1645" s="157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M1646" s="2">
        <v>0.5316</v>
      </c>
      <c r="N1646" s="2">
        <v>0.7691</v>
      </c>
      <c r="O1646" s="2">
        <v>0.4445</v>
      </c>
      <c r="P1646" s="157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M1647" s="2">
        <v>0.5316</v>
      </c>
      <c r="N1647" s="2">
        <v>0.7691</v>
      </c>
      <c r="O1647" s="2">
        <v>0.4444</v>
      </c>
      <c r="P1647" s="157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M1648" s="2">
        <v>0.5317</v>
      </c>
      <c r="N1648" s="2">
        <v>0.7691</v>
      </c>
      <c r="O1648" s="2">
        <v>0.44420000000000004</v>
      </c>
      <c r="P1648" s="157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M1649" s="2">
        <v>0.5317</v>
      </c>
      <c r="N1649" s="2">
        <v>0.7691</v>
      </c>
      <c r="O1649" s="2">
        <v>0.44410000000000005</v>
      </c>
      <c r="P1649" s="157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M1650" s="2">
        <v>0.5317</v>
      </c>
      <c r="N1650" s="2">
        <v>0.7691</v>
      </c>
      <c r="O1650" s="2">
        <v>0.44400000000000006</v>
      </c>
      <c r="P1650" s="157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M1651" s="2">
        <v>0.5317</v>
      </c>
      <c r="N1651" s="2">
        <v>0.7691</v>
      </c>
      <c r="O1651" s="2">
        <v>0.44391</v>
      </c>
      <c r="P1651" s="157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M1652" s="2">
        <v>0.5317</v>
      </c>
      <c r="N1652" s="2">
        <v>0.7691</v>
      </c>
      <c r="O1652" s="2">
        <v>0.44383000000000006</v>
      </c>
      <c r="P1652" s="157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M1653" s="2">
        <v>0.5317</v>
      </c>
      <c r="N1653" s="2">
        <v>0.7691</v>
      </c>
      <c r="O1653" s="2">
        <v>0.44375</v>
      </c>
      <c r="P1653" s="157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M1654" s="2">
        <v>0.5317</v>
      </c>
      <c r="N1654" s="2">
        <v>0.7691</v>
      </c>
      <c r="O1654" s="2">
        <v>0.44367</v>
      </c>
      <c r="P1654" s="157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M1655" s="2">
        <v>0.5318</v>
      </c>
      <c r="N1655" s="2">
        <v>0.7691</v>
      </c>
      <c r="O1655" s="2">
        <v>0.44348999999999994</v>
      </c>
      <c r="P1655" s="157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M1656" s="2">
        <v>0.5318</v>
      </c>
      <c r="N1656" s="2">
        <v>0.7691</v>
      </c>
      <c r="O1656" s="2">
        <v>0.44340999999999997</v>
      </c>
      <c r="P1656" s="157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M1657" s="2">
        <v>0.5318</v>
      </c>
      <c r="N1657" s="2">
        <v>0.7691</v>
      </c>
      <c r="O1657" s="2">
        <v>0.44333</v>
      </c>
      <c r="P1657" s="157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M1658" s="2">
        <v>0.5318</v>
      </c>
      <c r="N1658" s="2">
        <v>0.7691</v>
      </c>
      <c r="O1658" s="2">
        <v>0.4432499999999999</v>
      </c>
      <c r="P1658" s="157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M1659" s="2">
        <v>0.5318</v>
      </c>
      <c r="N1659" s="2">
        <v>0.7691</v>
      </c>
      <c r="O1659" s="2">
        <v>0.44316999999999995</v>
      </c>
      <c r="P1659" s="157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M1660" s="2">
        <v>0.5318</v>
      </c>
      <c r="N1660" s="2">
        <v>0.7691</v>
      </c>
      <c r="O1660" s="2">
        <v>0.44309</v>
      </c>
      <c r="P1660" s="157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M1661" s="2">
        <v>0.5318</v>
      </c>
      <c r="N1661" s="2">
        <v>0.7691</v>
      </c>
      <c r="O1661" s="2">
        <v>0.4430099999999999</v>
      </c>
      <c r="P1661" s="157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M1662" s="2">
        <v>0.5318</v>
      </c>
      <c r="N1662" s="2">
        <v>0.7691</v>
      </c>
      <c r="O1662" s="2">
        <v>0.44292999999999993</v>
      </c>
      <c r="P1662" s="157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M1663" s="2">
        <v>0.5318</v>
      </c>
      <c r="N1663" s="2">
        <v>0.7691</v>
      </c>
      <c r="O1663" s="2">
        <v>0.44284999999999997</v>
      </c>
      <c r="P1663" s="157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M1664" s="2">
        <v>0.5318</v>
      </c>
      <c r="N1664" s="2">
        <v>0.7691</v>
      </c>
      <c r="O1664" s="2">
        <v>0.44277</v>
      </c>
      <c r="P1664" s="157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M1665" s="2">
        <v>0.5318</v>
      </c>
      <c r="N1665" s="2">
        <v>0.7691</v>
      </c>
      <c r="O1665" s="2">
        <v>0.4426899999999999</v>
      </c>
      <c r="P1665" s="157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M1666" s="2">
        <v>0.5318</v>
      </c>
      <c r="N1666" s="2">
        <v>0.7691</v>
      </c>
      <c r="O1666" s="2">
        <v>0.44260999999999995</v>
      </c>
      <c r="P1666" s="157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M1667" s="2">
        <v>0.5318</v>
      </c>
      <c r="N1667" s="2">
        <v>0.7691</v>
      </c>
      <c r="O1667" s="2">
        <v>0.44253</v>
      </c>
      <c r="P1667" s="157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M1668" s="2">
        <v>0.5318</v>
      </c>
      <c r="N1668" s="2">
        <v>0.7691</v>
      </c>
      <c r="O1668" s="2">
        <v>0.4424499999999999</v>
      </c>
      <c r="P1668" s="157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M1669" s="2">
        <v>0.5318</v>
      </c>
      <c r="N1669" s="2">
        <v>0.7691</v>
      </c>
      <c r="O1669" s="2">
        <v>0.44236999999999993</v>
      </c>
      <c r="P1669" s="157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M1670" s="2">
        <v>0.5318</v>
      </c>
      <c r="N1670" s="2">
        <v>0.7691</v>
      </c>
      <c r="O1670" s="2">
        <v>0.44228999999999996</v>
      </c>
      <c r="P1670" s="157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M1671" s="2">
        <v>0.5318</v>
      </c>
      <c r="N1671" s="2">
        <v>0.7691</v>
      </c>
      <c r="O1671" s="2">
        <v>0.44221</v>
      </c>
      <c r="P1671" s="157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M1672" s="2">
        <v>0.5318</v>
      </c>
      <c r="N1672" s="2">
        <v>0.7691</v>
      </c>
      <c r="O1672" s="2">
        <v>0.4421299999999999</v>
      </c>
      <c r="P1672" s="157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M1673" s="2">
        <v>0.5318</v>
      </c>
      <c r="N1673" s="2">
        <v>0.7691</v>
      </c>
      <c r="O1673" s="2">
        <v>0.44204999999999994</v>
      </c>
      <c r="P1673" s="157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M1674" s="2">
        <v>0.5318</v>
      </c>
      <c r="N1674" s="2">
        <v>0.7691</v>
      </c>
      <c r="O1674" s="2">
        <v>0.44197</v>
      </c>
      <c r="P1674" s="157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M1675" s="2">
        <v>0.5318</v>
      </c>
      <c r="N1675" s="2">
        <v>0.7691</v>
      </c>
      <c r="O1675" s="2">
        <v>0.44189</v>
      </c>
      <c r="P1675" s="157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M1676" s="2">
        <v>0.5318</v>
      </c>
      <c r="N1676" s="2">
        <v>0.7691</v>
      </c>
      <c r="O1676" s="2">
        <v>0.4418099999999999</v>
      </c>
      <c r="P1676" s="157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M1677" s="2">
        <v>0.5318</v>
      </c>
      <c r="N1677" s="2">
        <v>0.7691</v>
      </c>
      <c r="O1677" s="2">
        <v>0.44172999999999996</v>
      </c>
      <c r="P1677" s="157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M1678" s="2">
        <v>0.5318</v>
      </c>
      <c r="N1678" s="2">
        <v>0.7691</v>
      </c>
      <c r="O1678" s="2">
        <v>0.44165</v>
      </c>
      <c r="P1678" s="157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M1679" s="2">
        <v>0.5318</v>
      </c>
      <c r="N1679" s="2">
        <v>0.7691</v>
      </c>
      <c r="O1679" s="2">
        <v>0.4415699999999999</v>
      </c>
      <c r="P1679" s="157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M1680" s="2">
        <v>0.5318</v>
      </c>
      <c r="N1680" s="2">
        <v>0.7691</v>
      </c>
      <c r="O1680" s="2">
        <v>0.44148999999999994</v>
      </c>
      <c r="P1680" s="157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M1681" s="2">
        <v>0.5318</v>
      </c>
      <c r="N1681" s="2">
        <v>0.7691</v>
      </c>
      <c r="O1681" s="2">
        <v>0.44140999999999997</v>
      </c>
      <c r="P1681" s="157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M1682" s="2">
        <v>0.5318</v>
      </c>
      <c r="N1682" s="2">
        <v>0.7691</v>
      </c>
      <c r="O1682" s="2">
        <v>0.44133</v>
      </c>
      <c r="P1682" s="157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M1683" s="2">
        <v>0.5318</v>
      </c>
      <c r="N1683" s="2">
        <v>0.7691</v>
      </c>
      <c r="O1683" s="2">
        <v>0.44125</v>
      </c>
      <c r="P1683" s="157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M1684" s="2">
        <v>0.5318</v>
      </c>
      <c r="N1684" s="2">
        <v>0.7691</v>
      </c>
      <c r="O1684" s="2">
        <v>0.44116999999999995</v>
      </c>
      <c r="P1684" s="157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M1685" s="2">
        <v>0.5318</v>
      </c>
      <c r="N1685" s="2">
        <v>0.7691</v>
      </c>
      <c r="O1685" s="2">
        <v>0.44109</v>
      </c>
      <c r="P1685" s="157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M1686" s="2">
        <v>0.5318</v>
      </c>
      <c r="N1686" s="2">
        <v>0.7691</v>
      </c>
      <c r="O1686" s="2">
        <v>0.4410099999999999</v>
      </c>
      <c r="P1686" s="157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M1687" s="2">
        <v>0.5318</v>
      </c>
      <c r="N1687" s="2">
        <v>0.7691</v>
      </c>
      <c r="O1687" s="2">
        <v>0.44092999999999993</v>
      </c>
      <c r="P1687" s="157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M1688" s="2">
        <v>0.5318</v>
      </c>
      <c r="N1688" s="2">
        <v>0.7691</v>
      </c>
      <c r="O1688" s="2">
        <v>0.44084999999999996</v>
      </c>
      <c r="P1688" s="157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M1689" s="2">
        <v>0.5318</v>
      </c>
      <c r="N1689" s="2">
        <v>0.7691</v>
      </c>
      <c r="O1689" s="2">
        <v>0.44077</v>
      </c>
      <c r="P1689" s="157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M1690" s="2">
        <v>0.5318</v>
      </c>
      <c r="N1690" s="2">
        <v>0.7691</v>
      </c>
      <c r="O1690" s="2">
        <v>0.4406899999999999</v>
      </c>
      <c r="P1690" s="157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M1691" s="2">
        <v>0.5318</v>
      </c>
      <c r="N1691" s="2">
        <v>0.7691</v>
      </c>
      <c r="O1691" s="2">
        <v>0.44060999999999995</v>
      </c>
      <c r="P1691" s="157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M1692" s="2">
        <v>0.5318</v>
      </c>
      <c r="N1692" s="2">
        <v>0.7691</v>
      </c>
      <c r="O1692" s="2">
        <v>0.44053</v>
      </c>
      <c r="P1692" s="157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M1693" s="2">
        <v>0.5318</v>
      </c>
      <c r="N1693" s="2">
        <v>0.7691</v>
      </c>
      <c r="O1693" s="2">
        <v>0.4404499999999999</v>
      </c>
      <c r="P1693" s="157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M1694" s="2">
        <v>0.5318</v>
      </c>
      <c r="N1694" s="2">
        <v>0.7691</v>
      </c>
      <c r="O1694" s="2">
        <v>0.44036999999999993</v>
      </c>
      <c r="P1694" s="157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M1695" s="2">
        <v>0.5318</v>
      </c>
      <c r="N1695" s="2">
        <v>0.7691</v>
      </c>
      <c r="O1695" s="2">
        <v>0.44028999999999996</v>
      </c>
      <c r="P1695" s="157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M1696" s="2">
        <v>0.5318</v>
      </c>
      <c r="N1696" s="2">
        <v>0.7691</v>
      </c>
      <c r="O1696" s="2">
        <v>0.44021</v>
      </c>
      <c r="P1696" s="157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M1697" s="2">
        <v>0.5318</v>
      </c>
      <c r="N1697" s="2">
        <v>0.7691</v>
      </c>
      <c r="O1697" s="2">
        <v>0.4401299999999999</v>
      </c>
      <c r="P1697" s="157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M1698" s="2">
        <v>0.5318</v>
      </c>
      <c r="N1698" s="2">
        <v>0.7691</v>
      </c>
      <c r="O1698" s="2">
        <v>0.44004999999999994</v>
      </c>
      <c r="P1698" s="157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M1699" s="2">
        <v>0.5318</v>
      </c>
      <c r="N1699" s="2">
        <v>0.7691</v>
      </c>
      <c r="O1699" s="2">
        <v>0.43996999999999997</v>
      </c>
      <c r="P1699" s="157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M1700" s="2">
        <v>0.5318</v>
      </c>
      <c r="N1700" s="2">
        <v>0.7691</v>
      </c>
      <c r="O1700" s="2">
        <v>0.43989</v>
      </c>
      <c r="P1700" s="157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M1701" s="2">
        <v>0.5318</v>
      </c>
      <c r="N1701" s="2">
        <v>0.7691</v>
      </c>
      <c r="O1701" s="2">
        <v>0.4398099999999999</v>
      </c>
      <c r="P1701" s="157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M1702" s="2">
        <v>0.5318</v>
      </c>
      <c r="N1702" s="2">
        <v>0.7691</v>
      </c>
      <c r="O1702" s="2">
        <v>0.43972999999999995</v>
      </c>
      <c r="P1702" s="157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M1703" s="2">
        <v>0.5318</v>
      </c>
      <c r="N1703" s="2">
        <v>0.7691</v>
      </c>
      <c r="O1703" s="2">
        <v>0.43965</v>
      </c>
      <c r="P1703" s="157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M1704" s="2">
        <v>0.5318</v>
      </c>
      <c r="N1704" s="2">
        <v>0.7691</v>
      </c>
      <c r="O1704" s="2">
        <v>0.4395699999999999</v>
      </c>
      <c r="P1704" s="157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M1705" s="2">
        <v>0.5318</v>
      </c>
      <c r="N1705" s="2">
        <v>0.7691</v>
      </c>
      <c r="O1705" s="2">
        <v>0.43948999999999994</v>
      </c>
      <c r="P1705" s="157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M1706" s="2">
        <v>0.5318</v>
      </c>
      <c r="N1706" s="2">
        <v>0.7691</v>
      </c>
      <c r="O1706" s="2">
        <v>0.43940999999999997</v>
      </c>
      <c r="P1706" s="157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M1707" s="2">
        <v>0.5318</v>
      </c>
      <c r="N1707" s="2">
        <v>0.7691</v>
      </c>
      <c r="O1707" s="2">
        <v>0.43933</v>
      </c>
      <c r="P1707" s="157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M1708" s="2">
        <v>0.5318</v>
      </c>
      <c r="N1708" s="2">
        <v>0.7691</v>
      </c>
      <c r="O1708" s="2">
        <v>0.4392499999999999</v>
      </c>
      <c r="P1708" s="157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M1709" s="2">
        <v>0.5318</v>
      </c>
      <c r="N1709" s="2">
        <v>0.7691</v>
      </c>
      <c r="O1709" s="2">
        <v>0.43916999999999995</v>
      </c>
      <c r="P1709" s="157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M1710" s="2">
        <v>0.5318</v>
      </c>
      <c r="N1710" s="2">
        <v>0.7691</v>
      </c>
      <c r="O1710" s="2">
        <v>0.43909</v>
      </c>
      <c r="P1710" s="157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M1711" s="2">
        <v>0.5318</v>
      </c>
      <c r="N1711" s="2">
        <v>0.7691</v>
      </c>
      <c r="O1711" s="2">
        <v>0.4390099999999999</v>
      </c>
      <c r="P1711" s="157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M1712" s="2">
        <v>0.5318</v>
      </c>
      <c r="N1712" s="2">
        <v>0.7691</v>
      </c>
      <c r="O1712" s="2">
        <v>0.43892999999999993</v>
      </c>
      <c r="P1712" s="157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M1713" s="2">
        <v>0.5318</v>
      </c>
      <c r="N1713" s="2">
        <v>0.7691</v>
      </c>
      <c r="O1713" s="2">
        <v>0.43884999999999996</v>
      </c>
      <c r="P1713" s="157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M1714" s="2">
        <v>0.5318</v>
      </c>
      <c r="N1714" s="2">
        <v>0.7691</v>
      </c>
      <c r="O1714" s="2">
        <v>0.43877</v>
      </c>
      <c r="P1714" s="157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M1715" s="2">
        <v>0.5318</v>
      </c>
      <c r="N1715" s="2">
        <v>0.7691</v>
      </c>
      <c r="O1715" s="2">
        <v>0.4386899999999999</v>
      </c>
      <c r="P1715" s="157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M1716" s="2">
        <v>0.5318</v>
      </c>
      <c r="N1716" s="2">
        <v>0.7691</v>
      </c>
      <c r="O1716" s="2">
        <v>0.43860999999999994</v>
      </c>
      <c r="P1716" s="157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M1717" s="2">
        <v>0.5318</v>
      </c>
      <c r="N1717" s="2">
        <v>0.7691</v>
      </c>
      <c r="O1717" s="2">
        <v>0.43853</v>
      </c>
      <c r="P1717" s="157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M1718" s="2">
        <v>0.5318</v>
      </c>
      <c r="N1718" s="2">
        <v>0.7691</v>
      </c>
      <c r="O1718" s="2">
        <v>0.4384499999999999</v>
      </c>
      <c r="P1718" s="157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M1719" s="2">
        <v>0.5318</v>
      </c>
      <c r="N1719" s="2">
        <v>0.7691</v>
      </c>
      <c r="O1719" s="2">
        <v>0.4383699999999999</v>
      </c>
      <c r="P1719" s="157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M1720" s="2">
        <v>0.5318</v>
      </c>
      <c r="N1720" s="2">
        <v>0.7691</v>
      </c>
      <c r="O1720" s="2">
        <v>0.43828999999999996</v>
      </c>
      <c r="P1720" s="157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M1721" s="2">
        <v>0.5318</v>
      </c>
      <c r="N1721" s="2">
        <v>0.7691</v>
      </c>
      <c r="O1721" s="2">
        <v>0.43821</v>
      </c>
      <c r="P1721" s="157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M1722" s="2">
        <v>0.5318</v>
      </c>
      <c r="N1722" s="2">
        <v>0.7691</v>
      </c>
      <c r="O1722" s="2">
        <v>0.4381299999999999</v>
      </c>
      <c r="P1722" s="157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M1723" s="2">
        <v>0.5318</v>
      </c>
      <c r="N1723" s="2">
        <v>0.7691</v>
      </c>
      <c r="O1723" s="2">
        <v>0.43804999999999994</v>
      </c>
      <c r="P1723" s="157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M1724" s="2">
        <v>0.5318</v>
      </c>
      <c r="N1724" s="2">
        <v>0.7691</v>
      </c>
      <c r="O1724" s="2">
        <v>0.43796999999999997</v>
      </c>
      <c r="P1724" s="157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M1725" s="2">
        <v>0.5318</v>
      </c>
      <c r="N1725" s="2">
        <v>0.7691</v>
      </c>
      <c r="O1725" s="2">
        <v>0.43789</v>
      </c>
      <c r="P1725" s="157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M1726" s="2">
        <v>0.5318</v>
      </c>
      <c r="N1726" s="2">
        <v>0.7691</v>
      </c>
      <c r="O1726" s="2">
        <v>0.4378099999999999</v>
      </c>
      <c r="P1726" s="157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M1727" s="2">
        <v>0.5318</v>
      </c>
      <c r="N1727" s="2">
        <v>0.7691</v>
      </c>
      <c r="O1727" s="2">
        <v>0.43772999999999995</v>
      </c>
      <c r="P1727" s="157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M1728" s="2">
        <v>0.5318</v>
      </c>
      <c r="N1728" s="2">
        <v>0.7691</v>
      </c>
      <c r="O1728" s="2">
        <v>0.43765</v>
      </c>
      <c r="P1728" s="157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M1729" s="2">
        <v>0.5318</v>
      </c>
      <c r="N1729" s="2">
        <v>0.7691</v>
      </c>
      <c r="O1729" s="2">
        <v>0.4375699999999999</v>
      </c>
      <c r="P1729" s="157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M1730" s="2">
        <v>0.5318</v>
      </c>
      <c r="N1730" s="2">
        <v>0.7691</v>
      </c>
      <c r="O1730" s="2">
        <v>0.43748999999999993</v>
      </c>
      <c r="P1730" s="157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M1731" s="2">
        <v>0.5318</v>
      </c>
      <c r="N1731" s="2">
        <v>0.7691</v>
      </c>
      <c r="O1731" s="2">
        <v>0.43740999999999997</v>
      </c>
      <c r="P1731" s="157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M1732" s="2">
        <v>0.5318</v>
      </c>
      <c r="N1732" s="2">
        <v>0.7691</v>
      </c>
      <c r="O1732" s="2">
        <v>0.43733</v>
      </c>
      <c r="P1732" s="157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M1733" s="2">
        <v>0.5318</v>
      </c>
      <c r="N1733" s="2">
        <v>0.7691</v>
      </c>
      <c r="O1733" s="2">
        <v>0.4372499999999999</v>
      </c>
      <c r="P1733" s="157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M1734" s="2">
        <v>0.5318</v>
      </c>
      <c r="N1734" s="2">
        <v>0.7691</v>
      </c>
      <c r="O1734" s="2">
        <v>0.43716999999999995</v>
      </c>
      <c r="P1734" s="157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M1735" s="2">
        <v>0.5318</v>
      </c>
      <c r="N1735" s="2">
        <v>0.7691</v>
      </c>
      <c r="O1735" s="2">
        <v>0.43709</v>
      </c>
      <c r="P1735" s="157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M1736" s="2">
        <v>0.5318</v>
      </c>
      <c r="N1736" s="2">
        <v>0.7691</v>
      </c>
      <c r="O1736" s="2">
        <v>0.4370099999999999</v>
      </c>
      <c r="P1736" s="157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M1737" s="2">
        <v>0.5318</v>
      </c>
      <c r="N1737" s="2">
        <v>0.7691</v>
      </c>
      <c r="O1737" s="2">
        <v>0.43692999999999993</v>
      </c>
      <c r="P1737" s="157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M1738" s="2">
        <v>0.5318</v>
      </c>
      <c r="N1738" s="2">
        <v>0.7691</v>
      </c>
      <c r="O1738" s="2">
        <v>0.43684999999999996</v>
      </c>
      <c r="P1738" s="157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M1739" s="2">
        <v>0.5318</v>
      </c>
      <c r="N1739" s="2">
        <v>0.7691</v>
      </c>
      <c r="O1739" s="2">
        <v>0.43677</v>
      </c>
      <c r="P1739" s="157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M1740" s="2">
        <v>0.5318</v>
      </c>
      <c r="N1740" s="2">
        <v>0.7691</v>
      </c>
      <c r="O1740" s="2">
        <v>0.4366899999999999</v>
      </c>
      <c r="P1740" s="157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M1741" s="2">
        <v>0.5318</v>
      </c>
      <c r="N1741" s="2">
        <v>0.7691</v>
      </c>
      <c r="O1741" s="2">
        <v>0.43660999999999994</v>
      </c>
      <c r="P1741" s="157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M1742" s="2">
        <v>0.5318</v>
      </c>
      <c r="N1742" s="2">
        <v>0.7691</v>
      </c>
      <c r="O1742" s="2">
        <v>0.43653</v>
      </c>
      <c r="P1742" s="157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M1743" s="2">
        <v>0.5318</v>
      </c>
      <c r="N1743" s="2">
        <v>0.7691</v>
      </c>
      <c r="O1743" s="2">
        <v>0.43645</v>
      </c>
      <c r="P1743" s="157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M1744" s="2">
        <v>0.5318</v>
      </c>
      <c r="N1744" s="2">
        <v>0.7691</v>
      </c>
      <c r="O1744" s="2">
        <v>0.4363699999999999</v>
      </c>
      <c r="P1744" s="157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M1745" s="2">
        <v>0.5318</v>
      </c>
      <c r="N1745" s="2">
        <v>0.7691</v>
      </c>
      <c r="O1745" s="2">
        <v>0.43628999999999996</v>
      </c>
      <c r="P1745" s="157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M1746" s="2">
        <v>0.5318</v>
      </c>
      <c r="N1746" s="2">
        <v>0.7691</v>
      </c>
      <c r="O1746" s="2">
        <v>0.43621</v>
      </c>
      <c r="P1746" s="157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M1747" s="2">
        <v>0.5318</v>
      </c>
      <c r="N1747" s="2">
        <v>0.7691</v>
      </c>
      <c r="O1747" s="2">
        <v>0.4361299999999999</v>
      </c>
      <c r="P1747" s="157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M1748" s="2">
        <v>0.5318</v>
      </c>
      <c r="N1748" s="2">
        <v>0.7691</v>
      </c>
      <c r="O1748" s="2">
        <v>0.43604999999999994</v>
      </c>
      <c r="P1748" s="157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M1749" s="2">
        <v>0.5318</v>
      </c>
      <c r="N1749" s="2">
        <v>0.7691</v>
      </c>
      <c r="O1749" s="2">
        <v>0.43596999999999997</v>
      </c>
      <c r="P1749" s="157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M1750" s="2">
        <v>0.5318</v>
      </c>
      <c r="N1750" s="2">
        <v>0.7691</v>
      </c>
      <c r="O1750" s="2">
        <v>0.43589</v>
      </c>
      <c r="P1750" s="157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M1751" s="2">
        <v>0.5318</v>
      </c>
      <c r="N1751" s="2">
        <v>0.7691</v>
      </c>
      <c r="O1751" s="2">
        <v>0.43582</v>
      </c>
      <c r="P1751" s="157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M1752" s="2">
        <v>0.5318</v>
      </c>
      <c r="N1752" s="2">
        <v>0.7691</v>
      </c>
      <c r="O1752" s="2">
        <v>0.4357599999999999</v>
      </c>
      <c r="P1752" s="157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M1753" s="2">
        <v>0.5318</v>
      </c>
      <c r="N1753" s="2">
        <v>0.7691</v>
      </c>
      <c r="O1753" s="2">
        <v>0.4357</v>
      </c>
      <c r="P1753" s="157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M1754" s="2">
        <v>0.5318</v>
      </c>
      <c r="N1754" s="2">
        <v>0.7691</v>
      </c>
      <c r="O1754" s="2">
        <v>0.4356399999999999</v>
      </c>
      <c r="P1754" s="157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M1755" s="2">
        <v>0.5318</v>
      </c>
      <c r="N1755" s="2">
        <v>0.7691</v>
      </c>
      <c r="O1755" s="2">
        <v>0.43557999999999997</v>
      </c>
      <c r="P1755" s="157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M1756" s="2">
        <v>0.5318</v>
      </c>
      <c r="N1756" s="2">
        <v>0.7691</v>
      </c>
      <c r="O1756" s="2">
        <v>0.4355199999999999</v>
      </c>
      <c r="P1756" s="157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M1757" s="2">
        <v>0.5318</v>
      </c>
      <c r="N1757" s="2">
        <v>0.7691</v>
      </c>
      <c r="O1757" s="2">
        <v>0.43545999999999996</v>
      </c>
      <c r="P1757" s="157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M1758" s="2">
        <v>0.5318</v>
      </c>
      <c r="N1758" s="2">
        <v>0.7691</v>
      </c>
      <c r="O1758" s="2">
        <v>0.4353999999999999</v>
      </c>
      <c r="P1758" s="157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M1759" s="2">
        <v>0.5318</v>
      </c>
      <c r="N1759" s="2">
        <v>0.7691</v>
      </c>
      <c r="O1759" s="2">
        <v>0.43533999999999995</v>
      </c>
      <c r="P1759" s="157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M1760" s="2">
        <v>0.5318</v>
      </c>
      <c r="N1760" s="2">
        <v>0.7691</v>
      </c>
      <c r="O1760" s="2">
        <v>0.43528</v>
      </c>
      <c r="P1760" s="157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M1761" s="2">
        <v>0.5318</v>
      </c>
      <c r="N1761" s="2">
        <v>0.7691</v>
      </c>
      <c r="O1761" s="2">
        <v>0.43521999999999994</v>
      </c>
      <c r="P1761" s="157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M1762" s="2">
        <v>0.5318</v>
      </c>
      <c r="N1762" s="2">
        <v>0.7691</v>
      </c>
      <c r="O1762" s="2">
        <v>0.43516</v>
      </c>
      <c r="P1762" s="157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M1763" s="2">
        <v>0.5318</v>
      </c>
      <c r="N1763" s="2">
        <v>0.7691</v>
      </c>
      <c r="O1763" s="2">
        <v>0.43509999999999993</v>
      </c>
      <c r="P1763" s="157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M1764" s="2">
        <v>0.5318</v>
      </c>
      <c r="N1764" s="2">
        <v>0.7691</v>
      </c>
      <c r="O1764" s="2">
        <v>0.43504</v>
      </c>
      <c r="P1764" s="157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M1765" s="2">
        <v>0.5318</v>
      </c>
      <c r="N1765" s="2">
        <v>0.7691</v>
      </c>
      <c r="O1765" s="2">
        <v>0.4349799999999999</v>
      </c>
      <c r="P1765" s="157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M1766" s="2">
        <v>0.5318</v>
      </c>
      <c r="N1766" s="2">
        <v>0.7691</v>
      </c>
      <c r="O1766" s="2">
        <v>0.43492</v>
      </c>
      <c r="P1766" s="157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M1767" s="2">
        <v>0.5318</v>
      </c>
      <c r="N1767" s="2">
        <v>0.7691</v>
      </c>
      <c r="O1767" s="2">
        <v>0.4348599999999999</v>
      </c>
      <c r="P1767" s="157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M1768" s="2">
        <v>0.5318</v>
      </c>
      <c r="N1768" s="2">
        <v>0.7691</v>
      </c>
      <c r="O1768" s="2">
        <v>0.43479999999999996</v>
      </c>
      <c r="P1768" s="157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M1769" s="2">
        <v>0.5318</v>
      </c>
      <c r="N1769" s="2">
        <v>0.7691</v>
      </c>
      <c r="O1769" s="2">
        <v>0.4347399999999999</v>
      </c>
      <c r="P1769" s="157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M1770" s="2">
        <v>0.5318</v>
      </c>
      <c r="N1770" s="2">
        <v>0.7691</v>
      </c>
      <c r="O1770" s="2">
        <v>0.43467999999999996</v>
      </c>
      <c r="P1770" s="157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M1771" s="2">
        <v>0.5318</v>
      </c>
      <c r="N1771" s="2">
        <v>0.7691</v>
      </c>
      <c r="O1771" s="2">
        <v>0.4346199999999999</v>
      </c>
      <c r="P1771" s="157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M1772" s="2">
        <v>0.5318</v>
      </c>
      <c r="N1772" s="2">
        <v>0.7691</v>
      </c>
      <c r="O1772" s="2">
        <v>0.43455999999999995</v>
      </c>
      <c r="P1772" s="157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M1773" s="2">
        <v>0.5318</v>
      </c>
      <c r="N1773" s="2">
        <v>0.7691</v>
      </c>
      <c r="O1773" s="2">
        <v>0.4345</v>
      </c>
      <c r="P1773" s="157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M1774" s="2">
        <v>0.5318</v>
      </c>
      <c r="N1774" s="2">
        <v>0.7691</v>
      </c>
      <c r="O1774" s="2">
        <v>0.43443999999999994</v>
      </c>
      <c r="P1774" s="157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M1775" s="2">
        <v>0.5318</v>
      </c>
      <c r="N1775" s="2">
        <v>0.7691</v>
      </c>
      <c r="O1775" s="2">
        <v>0.43438</v>
      </c>
      <c r="P1775" s="157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M1776" s="2">
        <v>0.5318</v>
      </c>
      <c r="N1776" s="2">
        <v>0.7691</v>
      </c>
      <c r="O1776" s="2">
        <v>0.43431999999999993</v>
      </c>
      <c r="P1776" s="157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M1777" s="2">
        <v>0.5318</v>
      </c>
      <c r="N1777" s="2">
        <v>0.7691</v>
      </c>
      <c r="O1777" s="2">
        <v>0.43426</v>
      </c>
      <c r="P1777" s="157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M1778" s="2">
        <v>0.5318</v>
      </c>
      <c r="N1778" s="2">
        <v>0.7691</v>
      </c>
      <c r="O1778" s="2">
        <v>0.4341999999999999</v>
      </c>
      <c r="P1778" s="157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M1779" s="2">
        <v>0.5318</v>
      </c>
      <c r="N1779" s="2">
        <v>0.7691</v>
      </c>
      <c r="O1779" s="2">
        <v>0.43413999999999997</v>
      </c>
      <c r="P1779" s="157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M1780" s="2">
        <v>0.5318</v>
      </c>
      <c r="N1780" s="2">
        <v>0.7691</v>
      </c>
      <c r="O1780" s="2">
        <v>0.4340799999999999</v>
      </c>
      <c r="P1780" s="157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M1781" s="2">
        <v>0.5318</v>
      </c>
      <c r="N1781" s="2">
        <v>0.7691</v>
      </c>
      <c r="O1781" s="2">
        <v>0.43401999999999996</v>
      </c>
      <c r="P1781" s="157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M1782" s="2">
        <v>0.5318</v>
      </c>
      <c r="N1782" s="2">
        <v>0.7691</v>
      </c>
      <c r="O1782" s="2">
        <v>0.4339599999999999</v>
      </c>
      <c r="P1782" s="157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M1783" s="2">
        <v>0.5318</v>
      </c>
      <c r="N1783" s="2">
        <v>0.7691</v>
      </c>
      <c r="O1783" s="2">
        <v>0.43389999999999995</v>
      </c>
      <c r="P1783" s="157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M1784" s="2">
        <v>0.5318</v>
      </c>
      <c r="N1784" s="2">
        <v>0.7691</v>
      </c>
      <c r="O1784" s="2">
        <v>0.43384</v>
      </c>
      <c r="P1784" s="157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M1785" s="2">
        <v>0.5318</v>
      </c>
      <c r="N1785" s="2">
        <v>0.7691</v>
      </c>
      <c r="O1785" s="2">
        <v>0.43377999999999994</v>
      </c>
      <c r="P1785" s="157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M1786" s="2">
        <v>0.5318</v>
      </c>
      <c r="N1786" s="2">
        <v>0.7691</v>
      </c>
      <c r="O1786" s="2">
        <v>0.43372</v>
      </c>
      <c r="P1786" s="157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M1787" s="2">
        <v>0.5318</v>
      </c>
      <c r="N1787" s="2">
        <v>0.7691</v>
      </c>
      <c r="O1787" s="2">
        <v>0.43365999999999993</v>
      </c>
      <c r="P1787" s="157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M1788" s="2">
        <v>0.5318</v>
      </c>
      <c r="N1788" s="2">
        <v>0.7691</v>
      </c>
      <c r="O1788" s="2">
        <v>0.4336</v>
      </c>
      <c r="P1788" s="157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M1789" s="2">
        <v>0.5318</v>
      </c>
      <c r="N1789" s="2">
        <v>0.7691</v>
      </c>
      <c r="O1789" s="2">
        <v>0.4335399999999999</v>
      </c>
      <c r="P1789" s="157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M1790" s="2">
        <v>0.5318</v>
      </c>
      <c r="N1790" s="2">
        <v>0.7691</v>
      </c>
      <c r="O1790" s="2">
        <v>0.43348</v>
      </c>
      <c r="P1790" s="157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M1791" s="2">
        <v>0.5318</v>
      </c>
      <c r="N1791" s="2">
        <v>0.7691</v>
      </c>
      <c r="O1791" s="2">
        <v>0.43340999999999996</v>
      </c>
      <c r="P1791" s="157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M1792" s="2">
        <v>0.5318</v>
      </c>
      <c r="N1792" s="2">
        <v>0.7691</v>
      </c>
      <c r="O1792" s="2">
        <v>0.4333499999999999</v>
      </c>
      <c r="P1792" s="157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M1793" s="2">
        <v>0.5318</v>
      </c>
      <c r="N1793" s="2">
        <v>0.7691</v>
      </c>
      <c r="O1793" s="2">
        <v>0.43328999999999995</v>
      </c>
      <c r="P1793" s="157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M1794" s="2">
        <v>0.5318</v>
      </c>
      <c r="N1794" s="2">
        <v>0.7691</v>
      </c>
      <c r="O1794" s="2">
        <v>0.43323</v>
      </c>
      <c r="P1794" s="157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M1795" s="2">
        <v>0.5318</v>
      </c>
      <c r="N1795" s="2">
        <v>0.7691</v>
      </c>
      <c r="O1795" s="2">
        <v>0.43316999999999994</v>
      </c>
      <c r="P1795" s="157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M1796" s="2">
        <v>0.5318</v>
      </c>
      <c r="N1796" s="2">
        <v>0.7691</v>
      </c>
      <c r="O1796" s="2">
        <v>0.43311</v>
      </c>
      <c r="P1796" s="157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M1797" s="2">
        <v>0.5318</v>
      </c>
      <c r="N1797" s="2">
        <v>0.7691</v>
      </c>
      <c r="O1797" s="2">
        <v>0.43304999999999993</v>
      </c>
      <c r="P1797" s="157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M1798" s="2">
        <v>0.5318</v>
      </c>
      <c r="N1798" s="2">
        <v>0.7691</v>
      </c>
      <c r="O1798" s="2">
        <v>0.43299</v>
      </c>
      <c r="P1798" s="157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M1799" s="2">
        <v>0.5318</v>
      </c>
      <c r="N1799" s="2">
        <v>0.7691</v>
      </c>
      <c r="O1799" s="2">
        <v>0.4329299999999999</v>
      </c>
      <c r="P1799" s="157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M1800" s="2">
        <v>0.5318</v>
      </c>
      <c r="N1800" s="2">
        <v>0.7691</v>
      </c>
      <c r="O1800" s="2">
        <v>0.43287</v>
      </c>
      <c r="P1800" s="157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M1801" s="2">
        <v>0.5318</v>
      </c>
      <c r="N1801" s="2">
        <v>0.7691</v>
      </c>
      <c r="O1801" s="2">
        <v>0.4328099999999999</v>
      </c>
      <c r="P1801" s="157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M1802" s="2">
        <v>0.5318</v>
      </c>
      <c r="N1802" s="2">
        <v>0.7691</v>
      </c>
      <c r="O1802" s="2">
        <v>0.43274999999999997</v>
      </c>
      <c r="P1802" s="157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M1803" s="2">
        <v>0.5318</v>
      </c>
      <c r="N1803" s="2">
        <v>0.7691</v>
      </c>
      <c r="O1803" s="2">
        <v>0.4326899999999999</v>
      </c>
      <c r="P1803" s="157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M1804" s="2">
        <v>0.5318</v>
      </c>
      <c r="N1804" s="2">
        <v>0.7691</v>
      </c>
      <c r="O1804" s="2">
        <v>0.43262999999999996</v>
      </c>
      <c r="P1804" s="157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M1805" s="2">
        <v>0.5318</v>
      </c>
      <c r="N1805" s="2">
        <v>0.7691</v>
      </c>
      <c r="O1805" s="2">
        <v>0.4325699999999999</v>
      </c>
      <c r="P1805" s="157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M1806" s="2">
        <v>0.5318</v>
      </c>
      <c r="N1806" s="2">
        <v>0.7691</v>
      </c>
      <c r="O1806" s="2">
        <v>0.43250999999999995</v>
      </c>
      <c r="P1806" s="157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M1807" s="2">
        <v>0.5318</v>
      </c>
      <c r="N1807" s="2">
        <v>0.7691</v>
      </c>
      <c r="O1807" s="2">
        <v>0.43245</v>
      </c>
      <c r="P1807" s="157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M1808" s="2">
        <v>0.5318</v>
      </c>
      <c r="N1808" s="2">
        <v>0.7691</v>
      </c>
      <c r="O1808" s="2">
        <v>0.43238999999999994</v>
      </c>
      <c r="P1808" s="157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M1809" s="2">
        <v>0.5318</v>
      </c>
      <c r="N1809" s="2">
        <v>0.7691</v>
      </c>
      <c r="O1809" s="2">
        <v>0.43233</v>
      </c>
      <c r="P1809" s="157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M1810" s="2">
        <v>0.5318</v>
      </c>
      <c r="N1810" s="2">
        <v>0.7691</v>
      </c>
      <c r="O1810" s="2">
        <v>0.43226999999999993</v>
      </c>
      <c r="P1810" s="157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M1811" s="2">
        <v>0.5318</v>
      </c>
      <c r="N1811" s="2">
        <v>0.7691</v>
      </c>
      <c r="O1811" s="2">
        <v>0.43221</v>
      </c>
      <c r="P1811" s="157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M1812" s="2">
        <v>0.5318</v>
      </c>
      <c r="N1812" s="2">
        <v>0.7691</v>
      </c>
      <c r="O1812" s="2">
        <v>0.4321499999999999</v>
      </c>
      <c r="P1812" s="157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M1813" s="2">
        <v>0.5318</v>
      </c>
      <c r="N1813" s="2">
        <v>0.7691</v>
      </c>
      <c r="O1813" s="2">
        <v>0.43209</v>
      </c>
      <c r="P1813" s="157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M1814" s="2">
        <v>0.5318</v>
      </c>
      <c r="N1814" s="2">
        <v>0.7691</v>
      </c>
      <c r="O1814" s="2">
        <v>0.4320299999999999</v>
      </c>
      <c r="P1814" s="157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M1815" s="2">
        <v>0.5318</v>
      </c>
      <c r="N1815" s="2">
        <v>0.7691</v>
      </c>
      <c r="O1815" s="2">
        <v>0.43196999999999997</v>
      </c>
      <c r="P1815" s="157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M1816" s="2">
        <v>0.5318</v>
      </c>
      <c r="N1816" s="2">
        <v>0.7691</v>
      </c>
      <c r="O1816" s="2">
        <v>0.4319099999999999</v>
      </c>
      <c r="P1816" s="157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M1817" s="2">
        <v>0.5318</v>
      </c>
      <c r="N1817" s="2">
        <v>0.7691</v>
      </c>
      <c r="O1817" s="2">
        <v>0.43184999999999996</v>
      </c>
      <c r="P1817" s="157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M1818" s="2">
        <v>0.5318</v>
      </c>
      <c r="N1818" s="2">
        <v>0.7691</v>
      </c>
      <c r="O1818" s="2">
        <v>0.4317899999999999</v>
      </c>
      <c r="P1818" s="157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M1819" s="2">
        <v>0.5318</v>
      </c>
      <c r="N1819" s="2">
        <v>0.7691</v>
      </c>
      <c r="O1819" s="2">
        <v>0.43172999999999995</v>
      </c>
      <c r="P1819" s="157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M1820" s="2">
        <v>0.5318</v>
      </c>
      <c r="N1820" s="2">
        <v>0.7691</v>
      </c>
      <c r="O1820" s="2">
        <v>0.43167</v>
      </c>
      <c r="P1820" s="157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M1821" s="2">
        <v>0.5318</v>
      </c>
      <c r="N1821" s="2">
        <v>0.7691</v>
      </c>
      <c r="O1821" s="2">
        <v>0.43160999999999994</v>
      </c>
      <c r="P1821" s="157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M1822" s="2">
        <v>0.5318</v>
      </c>
      <c r="N1822" s="2">
        <v>0.7691</v>
      </c>
      <c r="O1822" s="2">
        <v>0.43155</v>
      </c>
      <c r="P1822" s="157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M1823" s="2">
        <v>0.5318</v>
      </c>
      <c r="N1823" s="2">
        <v>0.7691</v>
      </c>
      <c r="O1823" s="2">
        <v>0.43148999999999993</v>
      </c>
      <c r="P1823" s="157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M1824" s="2">
        <v>0.5318</v>
      </c>
      <c r="N1824" s="2">
        <v>0.7691</v>
      </c>
      <c r="O1824" s="2">
        <v>0.43143</v>
      </c>
      <c r="P1824" s="157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M1825" s="2">
        <v>0.5318</v>
      </c>
      <c r="N1825" s="2">
        <v>0.7691</v>
      </c>
      <c r="O1825" s="2">
        <v>0.4313699999999999</v>
      </c>
      <c r="P1825" s="157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M1826" s="2">
        <v>0.5318</v>
      </c>
      <c r="N1826" s="2">
        <v>0.7691</v>
      </c>
      <c r="O1826" s="2">
        <v>0.43130999999999997</v>
      </c>
      <c r="P1826" s="157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M1827" s="2">
        <v>0.5318</v>
      </c>
      <c r="N1827" s="2">
        <v>0.7691</v>
      </c>
      <c r="O1827" s="2">
        <v>0.43125</v>
      </c>
      <c r="P1827" s="157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M1828" s="2">
        <v>0.5318</v>
      </c>
      <c r="N1828" s="2">
        <v>0.7691</v>
      </c>
      <c r="O1828" s="2">
        <v>0.43118999999999996</v>
      </c>
      <c r="P1828" s="157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M1829" s="2">
        <v>0.5318</v>
      </c>
      <c r="N1829" s="2">
        <v>0.7691</v>
      </c>
      <c r="O1829" s="2">
        <v>0.4311299999999999</v>
      </c>
      <c r="P1829" s="157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M1830" s="2">
        <v>0.5318</v>
      </c>
      <c r="N1830" s="2">
        <v>0.7691</v>
      </c>
      <c r="O1830" s="2">
        <v>0.43106999999999995</v>
      </c>
      <c r="P1830" s="157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M1831" s="2">
        <v>0.5318</v>
      </c>
      <c r="N1831" s="2">
        <v>0.7691</v>
      </c>
      <c r="O1831" s="2">
        <v>0.43101</v>
      </c>
      <c r="P1831" s="157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M1832" s="2">
        <v>0.5318</v>
      </c>
      <c r="N1832" s="2">
        <v>0.7691</v>
      </c>
      <c r="O1832" s="2">
        <v>0.43094999999999994</v>
      </c>
      <c r="P1832" s="157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M1833" s="2">
        <v>0.5318</v>
      </c>
      <c r="N1833" s="2">
        <v>0.7691</v>
      </c>
      <c r="O1833" s="2">
        <v>0.43089</v>
      </c>
      <c r="P1833" s="157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M1834" s="2">
        <v>0.5318</v>
      </c>
      <c r="N1834" s="2">
        <v>0.7691</v>
      </c>
      <c r="O1834" s="2">
        <v>0.43082999999999994</v>
      </c>
      <c r="P1834" s="157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M1835" s="2">
        <v>0.5318</v>
      </c>
      <c r="N1835" s="2">
        <v>0.7691</v>
      </c>
      <c r="O1835" s="2">
        <v>0.43077</v>
      </c>
      <c r="P1835" s="157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M1836" s="2">
        <v>0.5318</v>
      </c>
      <c r="N1836" s="2">
        <v>0.7691</v>
      </c>
      <c r="O1836" s="2">
        <v>0.4307099999999999</v>
      </c>
      <c r="P1836" s="157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M1837" s="2">
        <v>0.5318</v>
      </c>
      <c r="N1837" s="2">
        <v>0.7691</v>
      </c>
      <c r="O1837" s="2">
        <v>0.43065</v>
      </c>
      <c r="P1837" s="157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M1838" s="2">
        <v>0.5318</v>
      </c>
      <c r="N1838" s="2">
        <v>0.7691</v>
      </c>
      <c r="O1838" s="2">
        <v>0.4305899999999999</v>
      </c>
      <c r="P1838" s="157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M1839" s="2">
        <v>0.5318</v>
      </c>
      <c r="N1839" s="2">
        <v>0.7691</v>
      </c>
      <c r="O1839" s="2">
        <v>0.43052999999999997</v>
      </c>
      <c r="P1839" s="157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M1840" s="2">
        <v>0.5318</v>
      </c>
      <c r="N1840" s="2">
        <v>0.7691</v>
      </c>
      <c r="O1840" s="2">
        <v>0.4304699999999999</v>
      </c>
      <c r="P1840" s="157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M1841" s="2">
        <v>0.5318</v>
      </c>
      <c r="N1841" s="2">
        <v>0.7691</v>
      </c>
      <c r="O1841" s="2">
        <v>0.43040999999999996</v>
      </c>
      <c r="P1841" s="157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M1842" s="2">
        <v>0.5318</v>
      </c>
      <c r="N1842" s="2">
        <v>0.7691</v>
      </c>
      <c r="O1842" s="2">
        <v>0.4303499999999999</v>
      </c>
      <c r="P1842" s="157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M1843" s="2">
        <v>0.5318</v>
      </c>
      <c r="N1843" s="2">
        <v>0.7691</v>
      </c>
      <c r="O1843" s="2">
        <v>0.43028999999999995</v>
      </c>
      <c r="P1843" s="157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M1844" s="2">
        <v>0.5318</v>
      </c>
      <c r="N1844" s="2">
        <v>0.7691</v>
      </c>
      <c r="O1844" s="2">
        <v>0.43023</v>
      </c>
      <c r="P1844" s="157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M1845" s="2">
        <v>0.5318</v>
      </c>
      <c r="N1845" s="2">
        <v>0.7691</v>
      </c>
      <c r="O1845" s="2">
        <v>0.43016999999999994</v>
      </c>
      <c r="P1845" s="157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M1846" s="2">
        <v>0.5318</v>
      </c>
      <c r="N1846" s="2">
        <v>0.7691</v>
      </c>
      <c r="O1846" s="2">
        <v>0.43011</v>
      </c>
      <c r="P1846" s="157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M1847" s="2">
        <v>0.5318</v>
      </c>
      <c r="N1847" s="2">
        <v>0.7691</v>
      </c>
      <c r="O1847" s="2">
        <v>0.43004999999999993</v>
      </c>
      <c r="P1847" s="157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M1848" s="2">
        <v>0.5318</v>
      </c>
      <c r="N1848" s="2">
        <v>0.7691</v>
      </c>
      <c r="O1848" s="2">
        <v>0.4299799999999999</v>
      </c>
      <c r="P1848" s="157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M1849" s="2">
        <v>0.5318</v>
      </c>
      <c r="N1849" s="2">
        <v>0.7691</v>
      </c>
      <c r="O1849" s="2">
        <v>0.42991999999999997</v>
      </c>
      <c r="P1849" s="157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M1850" s="2">
        <v>0.5318</v>
      </c>
      <c r="N1850" s="2">
        <v>0.7691</v>
      </c>
      <c r="O1850" s="2">
        <v>0.4298599999999999</v>
      </c>
      <c r="P1850" s="157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M1851" s="2">
        <v>0.5318</v>
      </c>
      <c r="N1851" s="2">
        <v>0.7691</v>
      </c>
      <c r="O1851" s="2">
        <v>0.4298099999999999</v>
      </c>
      <c r="P1851" s="157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M1852" s="2">
        <v>0.5318</v>
      </c>
      <c r="N1852" s="2">
        <v>0.7691</v>
      </c>
      <c r="O1852" s="2">
        <v>0.42977</v>
      </c>
      <c r="P1852" s="157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M1853" s="2">
        <v>0.5318</v>
      </c>
      <c r="N1853" s="2">
        <v>0.7691</v>
      </c>
      <c r="O1853" s="2">
        <v>0.42972999999999995</v>
      </c>
      <c r="P1853" s="157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M1854" s="2">
        <v>0.5318</v>
      </c>
      <c r="N1854" s="2">
        <v>0.7691</v>
      </c>
      <c r="O1854" s="2">
        <v>0.4296899999999999</v>
      </c>
      <c r="P1854" s="157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M1855" s="2">
        <v>0.5318</v>
      </c>
      <c r="N1855" s="2">
        <v>0.7691</v>
      </c>
      <c r="O1855" s="2">
        <v>0.42965</v>
      </c>
      <c r="P1855" s="157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M1856" s="2">
        <v>0.5318</v>
      </c>
      <c r="N1856" s="2">
        <v>0.7691</v>
      </c>
      <c r="O1856" s="2">
        <v>0.42960999999999994</v>
      </c>
      <c r="P1856" s="157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M1857" s="2">
        <v>0.5318</v>
      </c>
      <c r="N1857" s="2">
        <v>0.7691</v>
      </c>
      <c r="O1857" s="2">
        <v>0.4295699999999999</v>
      </c>
      <c r="P1857" s="157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M1858" s="2">
        <v>0.5318</v>
      </c>
      <c r="N1858" s="2">
        <v>0.7691</v>
      </c>
      <c r="O1858" s="2">
        <v>0.42952999999999997</v>
      </c>
      <c r="P1858" s="157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M1859" s="2">
        <v>0.5318</v>
      </c>
      <c r="N1859" s="2">
        <v>0.7691</v>
      </c>
      <c r="O1859" s="2">
        <v>0.4294899999999999</v>
      </c>
      <c r="P1859" s="157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M1860" s="2">
        <v>0.5318</v>
      </c>
      <c r="N1860" s="2">
        <v>0.7691</v>
      </c>
      <c r="O1860" s="2">
        <v>0.42945</v>
      </c>
      <c r="P1860" s="157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M1861" s="2">
        <v>0.5318</v>
      </c>
      <c r="N1861" s="2">
        <v>0.7691</v>
      </c>
      <c r="O1861" s="2">
        <v>0.42940999999999996</v>
      </c>
      <c r="P1861" s="157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M1862" s="2">
        <v>0.5318</v>
      </c>
      <c r="N1862" s="2">
        <v>0.7691</v>
      </c>
      <c r="O1862" s="2">
        <v>0.4293699999999999</v>
      </c>
      <c r="P1862" s="157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M1863" s="2">
        <v>0.5318</v>
      </c>
      <c r="N1863" s="2">
        <v>0.7691</v>
      </c>
      <c r="O1863" s="2">
        <v>0.42933</v>
      </c>
      <c r="P1863" s="157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M1864" s="2">
        <v>0.5318</v>
      </c>
      <c r="N1864" s="2">
        <v>0.7691</v>
      </c>
      <c r="O1864" s="2">
        <v>0.42928999999999995</v>
      </c>
      <c r="P1864" s="157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M1865" s="2">
        <v>0.5318</v>
      </c>
      <c r="N1865" s="2">
        <v>0.7691</v>
      </c>
      <c r="O1865" s="2">
        <v>0.4292499999999999</v>
      </c>
      <c r="P1865" s="157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M1866" s="2">
        <v>0.5318</v>
      </c>
      <c r="N1866" s="2">
        <v>0.7691</v>
      </c>
      <c r="O1866" s="2">
        <v>0.42921</v>
      </c>
      <c r="P1866" s="157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M1867" s="2">
        <v>0.5318</v>
      </c>
      <c r="N1867" s="2">
        <v>0.7691</v>
      </c>
      <c r="O1867" s="2">
        <v>0.42916999999999994</v>
      </c>
      <c r="P1867" s="157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M1868" s="2">
        <v>0.5318</v>
      </c>
      <c r="N1868" s="2">
        <v>0.7691</v>
      </c>
      <c r="O1868" s="2">
        <v>0.4291299999999999</v>
      </c>
      <c r="P1868" s="157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M1869" s="2">
        <v>0.5318</v>
      </c>
      <c r="N1869" s="2">
        <v>0.7691</v>
      </c>
      <c r="O1869" s="2">
        <v>0.42908999999999997</v>
      </c>
      <c r="P1869" s="157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M1870" s="2">
        <v>0.5318</v>
      </c>
      <c r="N1870" s="2">
        <v>0.7691</v>
      </c>
      <c r="O1870" s="2">
        <v>0.42904999999999993</v>
      </c>
      <c r="P1870" s="157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M1871" s="2">
        <v>0.5318</v>
      </c>
      <c r="N1871" s="2">
        <v>0.7691</v>
      </c>
      <c r="O1871" s="2">
        <v>0.42901</v>
      </c>
      <c r="P1871" s="157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M1872" s="2">
        <v>0.5318</v>
      </c>
      <c r="N1872" s="2">
        <v>0.7691</v>
      </c>
      <c r="O1872" s="2">
        <v>0.42896999999999996</v>
      </c>
      <c r="P1872" s="157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M1873" s="2">
        <v>0.5318</v>
      </c>
      <c r="N1873" s="2">
        <v>0.7691</v>
      </c>
      <c r="O1873" s="2">
        <v>0.4289299999999999</v>
      </c>
      <c r="P1873" s="157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M1874" s="2">
        <v>0.5318</v>
      </c>
      <c r="N1874" s="2">
        <v>0.7691</v>
      </c>
      <c r="O1874" s="2">
        <v>0.42889</v>
      </c>
      <c r="P1874" s="157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M1875" s="2">
        <v>0.5318</v>
      </c>
      <c r="N1875" s="2">
        <v>0.7691</v>
      </c>
      <c r="O1875" s="2">
        <v>0.42884999999999995</v>
      </c>
      <c r="P1875" s="157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M1876" s="2">
        <v>0.5318</v>
      </c>
      <c r="N1876" s="2">
        <v>0.7691</v>
      </c>
      <c r="O1876" s="2">
        <v>0.4288099999999999</v>
      </c>
      <c r="P1876" s="157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M1877" s="2">
        <v>0.5318</v>
      </c>
      <c r="N1877" s="2">
        <v>0.7691</v>
      </c>
      <c r="O1877" s="2">
        <v>0.42877</v>
      </c>
      <c r="P1877" s="157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M1878" s="2">
        <v>0.5318</v>
      </c>
      <c r="N1878" s="2">
        <v>0.7691</v>
      </c>
      <c r="O1878" s="2">
        <v>0.42872999999999994</v>
      </c>
      <c r="P1878" s="157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M1879" s="2">
        <v>0.5318</v>
      </c>
      <c r="N1879" s="2">
        <v>0.7691</v>
      </c>
      <c r="O1879" s="2">
        <v>0.4286899999999999</v>
      </c>
      <c r="P1879" s="157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M1880" s="2">
        <v>0.5318</v>
      </c>
      <c r="N1880" s="2">
        <v>0.7691</v>
      </c>
      <c r="O1880" s="2">
        <v>0.42865</v>
      </c>
      <c r="P1880" s="157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M1881" s="2">
        <v>0.5318</v>
      </c>
      <c r="N1881" s="2">
        <v>0.7691</v>
      </c>
      <c r="O1881" s="2">
        <v>0.42860999999999994</v>
      </c>
      <c r="P1881" s="157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M1882" s="2">
        <v>0.5318</v>
      </c>
      <c r="N1882" s="2">
        <v>0.7691</v>
      </c>
      <c r="O1882" s="2">
        <v>0.4285699999999999</v>
      </c>
      <c r="P1882" s="157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M1883" s="2">
        <v>0.5318</v>
      </c>
      <c r="N1883" s="2">
        <v>0.7691</v>
      </c>
      <c r="O1883" s="2">
        <v>0.42852999999999997</v>
      </c>
      <c r="P1883" s="157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M1884" s="2">
        <v>0.5318</v>
      </c>
      <c r="N1884" s="2">
        <v>0.7691</v>
      </c>
      <c r="O1884" s="2">
        <v>0.4284899999999999</v>
      </c>
      <c r="P1884" s="157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M1885" s="2">
        <v>0.5318</v>
      </c>
      <c r="N1885" s="2">
        <v>0.7691</v>
      </c>
      <c r="O1885" s="2">
        <v>0.42845</v>
      </c>
      <c r="P1885" s="157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M1886" s="2">
        <v>0.5318</v>
      </c>
      <c r="N1886" s="2">
        <v>0.7691</v>
      </c>
      <c r="O1886" s="2">
        <v>0.42840999999999996</v>
      </c>
      <c r="P1886" s="157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M1887" s="2">
        <v>0.5318</v>
      </c>
      <c r="N1887" s="2">
        <v>0.7691</v>
      </c>
      <c r="O1887" s="2">
        <v>0.4283699999999999</v>
      </c>
      <c r="P1887" s="157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M1888" s="2">
        <v>0.5318</v>
      </c>
      <c r="N1888" s="2">
        <v>0.7691</v>
      </c>
      <c r="O1888" s="2">
        <v>0.42833</v>
      </c>
      <c r="P1888" s="157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M1889" s="2">
        <v>0.5318</v>
      </c>
      <c r="N1889" s="2">
        <v>0.7691</v>
      </c>
      <c r="O1889" s="2">
        <v>0.42828999999999995</v>
      </c>
      <c r="P1889" s="157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M1890" s="2">
        <v>0.5318</v>
      </c>
      <c r="N1890" s="2">
        <v>0.7691</v>
      </c>
      <c r="O1890" s="2">
        <v>0.4282499999999999</v>
      </c>
      <c r="P1890" s="157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M1891" s="2">
        <v>0.5318</v>
      </c>
      <c r="N1891" s="2">
        <v>0.7691</v>
      </c>
      <c r="O1891" s="2">
        <v>0.42821</v>
      </c>
      <c r="P1891" s="157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M1892" s="2">
        <v>0.5318</v>
      </c>
      <c r="N1892" s="2">
        <v>0.7691</v>
      </c>
      <c r="O1892" s="2">
        <v>0.4263699999999999</v>
      </c>
      <c r="P1892" s="157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M1893" s="2">
        <v>0.5318</v>
      </c>
      <c r="N1893" s="2">
        <v>0.7691</v>
      </c>
      <c r="O1893" s="2">
        <v>0.42633</v>
      </c>
      <c r="P1893" s="157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M1894" s="2">
        <v>0.5318</v>
      </c>
      <c r="N1894" s="2">
        <v>0.7691</v>
      </c>
      <c r="O1894" s="2">
        <v>0.42628999999999995</v>
      </c>
      <c r="P1894" s="157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M1895" s="2">
        <v>0.5318</v>
      </c>
      <c r="N1895" s="2">
        <v>0.7691</v>
      </c>
      <c r="O1895" s="2">
        <v>0.42625</v>
      </c>
      <c r="P1895" s="157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M1896" s="2">
        <v>0.5318</v>
      </c>
      <c r="N1896" s="2">
        <v>0.7691</v>
      </c>
      <c r="O1896" s="2">
        <v>0.42621</v>
      </c>
      <c r="P1896" s="157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M1897" s="2">
        <v>0.5318</v>
      </c>
      <c r="N1897" s="2">
        <v>0.7691</v>
      </c>
      <c r="O1897" s="2">
        <v>0.42616999999999994</v>
      </c>
      <c r="P1897" s="157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M1898" s="2">
        <v>0.5318</v>
      </c>
      <c r="N1898" s="2">
        <v>0.7691</v>
      </c>
      <c r="O1898" s="2">
        <v>0.4261299999999999</v>
      </c>
      <c r="P1898" s="157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M1899" s="2">
        <v>0.5318</v>
      </c>
      <c r="N1899" s="2">
        <v>0.7691</v>
      </c>
      <c r="O1899" s="2">
        <v>0.42608999999999997</v>
      </c>
      <c r="P1899" s="157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M1900" s="2">
        <v>0.5318</v>
      </c>
      <c r="N1900" s="2">
        <v>0.7691</v>
      </c>
      <c r="O1900" s="2">
        <v>0.42604999999999993</v>
      </c>
      <c r="P1900" s="157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M1901" s="2">
        <v>0.5318</v>
      </c>
      <c r="N1901" s="2">
        <v>0.7691</v>
      </c>
      <c r="O1901" s="2">
        <v>0.42601</v>
      </c>
      <c r="P1901" s="157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M1902" s="2">
        <v>0.5318</v>
      </c>
      <c r="N1902" s="2">
        <v>0.7691</v>
      </c>
      <c r="O1902" s="2">
        <v>0.42596999999999996</v>
      </c>
      <c r="P1902" s="157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M1903" s="2">
        <v>0.5318</v>
      </c>
      <c r="N1903" s="2">
        <v>0.7691</v>
      </c>
      <c r="O1903" s="2">
        <v>0.4259299999999999</v>
      </c>
      <c r="P1903" s="157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M1904" s="2">
        <v>0.5318</v>
      </c>
      <c r="N1904" s="2">
        <v>0.7691</v>
      </c>
      <c r="O1904" s="2">
        <v>0.42589</v>
      </c>
      <c r="P1904" s="157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M1905" s="2">
        <v>0.5318</v>
      </c>
      <c r="N1905" s="2">
        <v>0.7691</v>
      </c>
      <c r="O1905" s="2">
        <v>0.42584999999999995</v>
      </c>
      <c r="P1905" s="157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M1906" s="2">
        <v>0.5318</v>
      </c>
      <c r="N1906" s="2">
        <v>0.7691</v>
      </c>
      <c r="O1906" s="2">
        <v>0.4258099999999999</v>
      </c>
      <c r="P1906" s="157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M1907" s="2">
        <v>0.5318</v>
      </c>
      <c r="N1907" s="2">
        <v>0.7691</v>
      </c>
      <c r="O1907" s="2">
        <v>0.42577</v>
      </c>
      <c r="P1907" s="157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M1908" s="2">
        <v>0.5318</v>
      </c>
      <c r="N1908" s="2">
        <v>0.7691</v>
      </c>
      <c r="O1908" s="2">
        <v>0.42572999999999994</v>
      </c>
      <c r="P1908" s="157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M1909" s="2">
        <v>0.5318</v>
      </c>
      <c r="N1909" s="2">
        <v>0.7691</v>
      </c>
      <c r="O1909" s="2">
        <v>0.4256899999999999</v>
      </c>
      <c r="P1909" s="157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M1910" s="2">
        <v>0.5318</v>
      </c>
      <c r="N1910" s="2">
        <v>0.7691</v>
      </c>
      <c r="O1910" s="2">
        <v>0.42565</v>
      </c>
      <c r="P1910" s="157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2009-05-30T13:24:42Z</cp:lastPrinted>
  <dcterms:created xsi:type="dcterms:W3CDTF">2004-08-23T15:45:10Z</dcterms:created>
  <dcterms:modified xsi:type="dcterms:W3CDTF">2009-12-18T14:42:39Z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