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activeTab="1"/>
  </bookViews>
  <sheets>
    <sheet name="setup" sheetId="3" r:id="rId1"/>
    <sheet name="Winners" sheetId="2" r:id="rId2"/>
    <sheet name="Attempts" sheetId="1" r:id="rId3"/>
  </sheets>
  <externalReferences>
    <externalReference r:id="rId4"/>
  </externalReferences>
  <calcPr calcId="114210"/>
</workbook>
</file>

<file path=xl/calcChain.xml><?xml version="1.0" encoding="utf-8"?>
<calcChain xmlns="http://schemas.openxmlformats.org/spreadsheetml/2006/main">
  <c r="E1" i="1"/>
  <c r="I20" i="3"/>
  <c r="I21"/>
  <c r="I22"/>
  <c r="I19"/>
  <c r="K18"/>
  <c r="K19"/>
  <c r="K20"/>
  <c r="K21"/>
  <c r="K22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F7"/>
  <c r="G20"/>
  <c r="C7"/>
  <c r="D20"/>
  <c r="B7"/>
  <c r="K1"/>
  <c r="M2" i="1"/>
  <c r="G10" i="3"/>
  <c r="G11"/>
  <c r="G12"/>
  <c r="G13"/>
  <c r="G14"/>
  <c r="G15"/>
  <c r="G16"/>
  <c r="G17"/>
  <c r="G18"/>
  <c r="G19"/>
  <c r="D10"/>
  <c r="D11"/>
  <c r="D12"/>
  <c r="D13"/>
  <c r="D14"/>
  <c r="D15"/>
  <c r="D16"/>
  <c r="D17"/>
  <c r="D18"/>
  <c r="D19"/>
  <c r="O17" i="2"/>
  <c r="O16"/>
  <c r="O15"/>
  <c r="O2"/>
  <c r="O7"/>
  <c r="O6"/>
  <c r="O5"/>
  <c r="O13"/>
  <c r="O12"/>
  <c r="O11"/>
  <c r="O10"/>
  <c r="O28"/>
  <c r="O27"/>
  <c r="Y18" i="1"/>
  <c r="S18"/>
  <c r="M18"/>
  <c r="F18"/>
  <c r="Y43"/>
  <c r="S43"/>
  <c r="M43"/>
  <c r="F43"/>
  <c r="Y53"/>
  <c r="S53"/>
  <c r="M53"/>
  <c r="F53"/>
  <c r="Y8"/>
  <c r="S8"/>
  <c r="M8"/>
  <c r="F8"/>
  <c r="Y48"/>
  <c r="S48"/>
  <c r="M48"/>
  <c r="F48"/>
  <c r="Y22"/>
  <c r="S22"/>
  <c r="M22"/>
  <c r="F22"/>
  <c r="Y36"/>
  <c r="S36"/>
  <c r="M36"/>
  <c r="F36"/>
  <c r="Y50"/>
  <c r="S50"/>
  <c r="M50"/>
  <c r="F50"/>
  <c r="Y21"/>
  <c r="S21"/>
  <c r="M21"/>
  <c r="F21"/>
  <c r="Y40"/>
  <c r="S40"/>
  <c r="M40"/>
  <c r="F40"/>
  <c r="Y54"/>
  <c r="S54"/>
  <c r="M54"/>
  <c r="F54"/>
  <c r="Y61"/>
  <c r="S61"/>
  <c r="M61"/>
  <c r="F61"/>
  <c r="Y58"/>
  <c r="S58"/>
  <c r="M58"/>
  <c r="F58"/>
  <c r="Y14"/>
  <c r="S14"/>
  <c r="M14"/>
  <c r="F14"/>
  <c r="Y30"/>
  <c r="S30"/>
  <c r="M30"/>
  <c r="F30"/>
  <c r="Y6"/>
  <c r="S6"/>
  <c r="M6"/>
  <c r="F6"/>
  <c r="Y55"/>
  <c r="S55"/>
  <c r="M55"/>
  <c r="F55"/>
  <c r="Y2"/>
  <c r="S2"/>
  <c r="F2"/>
  <c r="Y42"/>
  <c r="S42"/>
  <c r="M42"/>
  <c r="F42"/>
  <c r="Y4"/>
  <c r="S4"/>
  <c r="M4"/>
  <c r="F4"/>
  <c r="Y51"/>
  <c r="S51"/>
  <c r="M51"/>
  <c r="F51"/>
  <c r="Y31"/>
  <c r="S31"/>
  <c r="M31"/>
  <c r="F31"/>
  <c r="Y25"/>
  <c r="S25"/>
  <c r="M25"/>
  <c r="F25"/>
  <c r="Y37"/>
  <c r="S37"/>
  <c r="M37"/>
  <c r="F37"/>
  <c r="Y9"/>
  <c r="S9"/>
  <c r="M9"/>
  <c r="F9"/>
  <c r="Y12"/>
  <c r="S12"/>
  <c r="M12"/>
  <c r="F12"/>
  <c r="Y15"/>
  <c r="S15"/>
  <c r="M15"/>
  <c r="F15"/>
  <c r="Y52"/>
  <c r="S52"/>
  <c r="M52"/>
  <c r="F52"/>
  <c r="Y20"/>
  <c r="S20"/>
  <c r="M20"/>
  <c r="F20"/>
  <c r="Y23"/>
  <c r="S23"/>
  <c r="M23"/>
  <c r="F23"/>
  <c r="Y56"/>
  <c r="S56"/>
  <c r="M56"/>
  <c r="F56"/>
  <c r="Y13"/>
  <c r="S13"/>
  <c r="M13"/>
  <c r="F13"/>
  <c r="Y17"/>
  <c r="S17"/>
  <c r="M17"/>
  <c r="F17"/>
  <c r="Y24"/>
  <c r="S24"/>
  <c r="M24"/>
  <c r="F24"/>
  <c r="Y46"/>
  <c r="S46"/>
  <c r="M46"/>
  <c r="F46"/>
  <c r="Y34"/>
  <c r="S34"/>
  <c r="M34"/>
  <c r="F34"/>
  <c r="Y32"/>
  <c r="S32"/>
  <c r="M32"/>
  <c r="F32"/>
  <c r="Y60"/>
  <c r="S60"/>
  <c r="M60"/>
  <c r="F60"/>
  <c r="Y41"/>
  <c r="S41"/>
  <c r="M41"/>
  <c r="F41"/>
  <c r="Y29"/>
  <c r="S29"/>
  <c r="M29"/>
  <c r="F29"/>
  <c r="Y49"/>
  <c r="S49"/>
  <c r="M49"/>
  <c r="F49"/>
  <c r="Y39"/>
  <c r="S39"/>
  <c r="M39"/>
  <c r="F39"/>
  <c r="Y27"/>
  <c r="S27"/>
  <c r="M27"/>
  <c r="F27"/>
  <c r="Y57"/>
  <c r="S57"/>
  <c r="M57"/>
  <c r="F57"/>
  <c r="Y35"/>
  <c r="S35"/>
  <c r="M35"/>
  <c r="F35"/>
  <c r="Y10"/>
  <c r="S10"/>
  <c r="M10"/>
  <c r="F10"/>
  <c r="Y7"/>
  <c r="S7"/>
  <c r="M7"/>
  <c r="F7"/>
  <c r="Y44"/>
  <c r="S44"/>
  <c r="M44"/>
  <c r="F44"/>
  <c r="Y38"/>
  <c r="S38"/>
  <c r="M38"/>
  <c r="F38"/>
  <c r="Y26"/>
  <c r="S26"/>
  <c r="M26"/>
  <c r="F26"/>
  <c r="Y33"/>
  <c r="S33"/>
  <c r="M33"/>
  <c r="F33"/>
  <c r="Y59"/>
  <c r="S59"/>
  <c r="M59"/>
  <c r="F59"/>
  <c r="Y11"/>
  <c r="S11"/>
  <c r="M11"/>
  <c r="F11"/>
  <c r="Y28"/>
  <c r="S28"/>
  <c r="M28"/>
  <c r="F28"/>
  <c r="Y16"/>
  <c r="S16"/>
  <c r="M16"/>
  <c r="F16"/>
  <c r="Y19"/>
  <c r="S19"/>
  <c r="M19"/>
  <c r="F19"/>
  <c r="Y3"/>
  <c r="S3"/>
  <c r="M3"/>
  <c r="F3"/>
  <c r="Y45"/>
  <c r="S45"/>
  <c r="M45"/>
  <c r="F45"/>
  <c r="Y5"/>
  <c r="S5"/>
  <c r="M5"/>
  <c r="F5"/>
  <c r="Y47"/>
  <c r="S47"/>
  <c r="M47"/>
  <c r="F47"/>
  <c r="Y62"/>
  <c r="S62"/>
  <c r="M62"/>
  <c r="F62"/>
  <c r="F1"/>
  <c r="O20" i="2"/>
  <c r="O30"/>
  <c r="T60" i="1"/>
  <c r="T32"/>
  <c r="T34"/>
  <c r="T46"/>
  <c r="T24"/>
  <c r="T17"/>
  <c r="T13"/>
  <c r="T56"/>
  <c r="T23"/>
  <c r="T20"/>
  <c r="T52"/>
  <c r="T15"/>
  <c r="T12"/>
  <c r="T9"/>
  <c r="T37"/>
  <c r="T25"/>
  <c r="T31"/>
  <c r="T51"/>
  <c r="T4"/>
  <c r="T42"/>
  <c r="T2"/>
  <c r="T55"/>
  <c r="T6"/>
  <c r="T30"/>
  <c r="T14"/>
  <c r="T58"/>
  <c r="T61"/>
  <c r="T54"/>
  <c r="T40"/>
  <c r="T21"/>
  <c r="T50"/>
  <c r="T36"/>
  <c r="T22"/>
  <c r="T48"/>
  <c r="T8"/>
  <c r="T53"/>
  <c r="T43"/>
  <c r="T18"/>
  <c r="T62"/>
  <c r="T47"/>
  <c r="T5"/>
  <c r="T45"/>
  <c r="T3"/>
  <c r="T19"/>
  <c r="T16"/>
  <c r="T28"/>
  <c r="T11"/>
  <c r="T59"/>
  <c r="T33"/>
  <c r="T26"/>
  <c r="T38"/>
  <c r="T44"/>
  <c r="T7"/>
  <c r="T10"/>
  <c r="T35"/>
  <c r="T57"/>
  <c r="T27"/>
  <c r="T39"/>
  <c r="T49"/>
  <c r="T29"/>
  <c r="T41"/>
  <c r="O24" i="2"/>
  <c r="O29"/>
  <c r="O21"/>
  <c r="O22"/>
  <c r="O23"/>
  <c r="I5"/>
  <c r="I45"/>
  <c r="I3"/>
  <c r="I19"/>
  <c r="I16"/>
  <c r="I28"/>
  <c r="I11"/>
  <c r="I59"/>
  <c r="I33"/>
  <c r="I26"/>
  <c r="I38"/>
  <c r="I44"/>
  <c r="I7"/>
  <c r="I10"/>
  <c r="I35"/>
  <c r="I57"/>
  <c r="I27"/>
  <c r="I39"/>
  <c r="I49"/>
  <c r="I29"/>
  <c r="I41"/>
  <c r="I60"/>
  <c r="I32"/>
  <c r="I34"/>
  <c r="I46"/>
  <c r="I24"/>
  <c r="I17"/>
  <c r="I13"/>
  <c r="I56"/>
  <c r="I23"/>
  <c r="I20"/>
  <c r="I52"/>
  <c r="I15"/>
  <c r="I12"/>
  <c r="I9"/>
  <c r="I37"/>
  <c r="I25"/>
  <c r="I31"/>
  <c r="I51"/>
  <c r="I4"/>
  <c r="I42"/>
  <c r="I2"/>
  <c r="I55"/>
  <c r="I6"/>
  <c r="I30"/>
  <c r="I14"/>
  <c r="I58"/>
  <c r="I61"/>
  <c r="I54"/>
  <c r="I40"/>
  <c r="I21"/>
  <c r="I50"/>
  <c r="I36"/>
  <c r="I22"/>
  <c r="I48"/>
  <c r="I8"/>
  <c r="I53"/>
  <c r="I43"/>
  <c r="I18"/>
  <c r="I47"/>
</calcChain>
</file>

<file path=xl/sharedStrings.xml><?xml version="1.0" encoding="utf-8"?>
<sst xmlns="http://schemas.openxmlformats.org/spreadsheetml/2006/main" count="580" uniqueCount="243">
  <si>
    <t>A</t>
  </si>
  <si>
    <t>Rita Carlsson</t>
  </si>
  <si>
    <t>F-O</t>
  </si>
  <si>
    <t>Peter Deblank</t>
  </si>
  <si>
    <t>M-J</t>
  </si>
  <si>
    <t>Dennis Henson</t>
  </si>
  <si>
    <t>M-O</t>
  </si>
  <si>
    <t>Jim Sorrell</t>
  </si>
  <si>
    <t>M-M</t>
  </si>
  <si>
    <t>Mathew GottSch</t>
  </si>
  <si>
    <t xml:space="preserve">Tyler Letchworth </t>
  </si>
  <si>
    <t>Jeff Menzer</t>
  </si>
  <si>
    <t>Chris Linser</t>
  </si>
  <si>
    <t>Tim Towers</t>
  </si>
  <si>
    <t>Gabe Falcon</t>
  </si>
  <si>
    <t>Courtney Myers</t>
  </si>
  <si>
    <t>Jesse Noell</t>
  </si>
  <si>
    <t>Adam Weaver</t>
  </si>
  <si>
    <t>Matt Brown</t>
  </si>
  <si>
    <t>Rod Bauer</t>
  </si>
  <si>
    <t>Joshua Leon</t>
  </si>
  <si>
    <t>Bob Zykan</t>
  </si>
  <si>
    <t>Amanda Bennet</t>
  </si>
  <si>
    <t>Pat Sullivan</t>
  </si>
  <si>
    <t>Krystal Kary</t>
  </si>
  <si>
    <t>Jeffrey Anderson</t>
  </si>
  <si>
    <t>B</t>
  </si>
  <si>
    <t>Jay Raglie</t>
  </si>
  <si>
    <t>Josh Wilson</t>
  </si>
  <si>
    <t>Kevin Rekowski</t>
  </si>
  <si>
    <t>Putt Houston</t>
  </si>
  <si>
    <t>Zack Henson</t>
  </si>
  <si>
    <t>Sean hatley</t>
  </si>
  <si>
    <t>Aj Hesser</t>
  </si>
  <si>
    <t>Thomas Krawiec</t>
  </si>
  <si>
    <t>Dave Chamberlein</t>
  </si>
  <si>
    <t>Mike Taylor</t>
  </si>
  <si>
    <t>Marcus Wild</t>
  </si>
  <si>
    <t>Demetrius Davis</t>
  </si>
  <si>
    <t>Mick Manley</t>
  </si>
  <si>
    <t>Jeff Badker</t>
  </si>
  <si>
    <t>Dick Zenzen</t>
  </si>
  <si>
    <t>Jason Nguyen</t>
  </si>
  <si>
    <t>Gerry Foltz</t>
  </si>
  <si>
    <t>Dale Schmidtke</t>
  </si>
  <si>
    <t>Bruce McCord</t>
  </si>
  <si>
    <t>joseph laski</t>
  </si>
  <si>
    <t>Scott Nutter</t>
  </si>
  <si>
    <t>C</t>
  </si>
  <si>
    <t>John Falcon</t>
  </si>
  <si>
    <t>Barzeen Vaziri</t>
  </si>
  <si>
    <t>Logan Lacy</t>
  </si>
  <si>
    <t>Jake Cook</t>
  </si>
  <si>
    <t>Thomas Jacobs</t>
  </si>
  <si>
    <t>Michael Cartinian</t>
  </si>
  <si>
    <t>Aaron Wilson</t>
  </si>
  <si>
    <t>Tom Bollig</t>
  </si>
  <si>
    <t>Brian Carrol</t>
  </si>
  <si>
    <t>Shawn Frankl</t>
  </si>
  <si>
    <t>Nate Gentges</t>
  </si>
  <si>
    <t xml:space="preserve">Eric Leitman </t>
  </si>
  <si>
    <t>Dave Nelson</t>
  </si>
  <si>
    <t>Zdenek Voprada</t>
  </si>
  <si>
    <t>Stanley Tomaszkiewicz</t>
  </si>
  <si>
    <t>Roger Ryan</t>
  </si>
  <si>
    <t>Jake Prazak</t>
  </si>
  <si>
    <t>Rob Luyando</t>
  </si>
  <si>
    <t>SHW</t>
  </si>
  <si>
    <t>Female Overall</t>
  </si>
  <si>
    <t>Junior Overall</t>
  </si>
  <si>
    <t>Junior Overall 2</t>
  </si>
  <si>
    <t>Junior Overall 3</t>
  </si>
  <si>
    <t>Master Overall</t>
  </si>
  <si>
    <t>Master Overall 2</t>
  </si>
  <si>
    <t>Master Overall 3</t>
  </si>
  <si>
    <t>Open Overall</t>
  </si>
  <si>
    <t>Open  Overall 2</t>
  </si>
  <si>
    <t>Open Overall 3</t>
  </si>
  <si>
    <t>Joseph Laski</t>
  </si>
  <si>
    <t>Jerry Foltz</t>
  </si>
  <si>
    <t>Bench Only</t>
  </si>
  <si>
    <t>Push Pull</t>
  </si>
  <si>
    <t>Courtney  Meyers</t>
  </si>
  <si>
    <t>Master Bench Overall 3</t>
  </si>
  <si>
    <t>Master Bench Overall 2</t>
  </si>
  <si>
    <t>Master Bench Overall</t>
  </si>
  <si>
    <t>Flight</t>
  </si>
  <si>
    <t>Name</t>
  </si>
  <si>
    <t>Age</t>
  </si>
  <si>
    <t>Division</t>
  </si>
  <si>
    <t>Weight</t>
  </si>
  <si>
    <t>Class</t>
  </si>
  <si>
    <t>Glossbrenner</t>
  </si>
  <si>
    <t>Total</t>
  </si>
  <si>
    <t>Squat</t>
  </si>
  <si>
    <t>Flt A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</si>
  <si>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</si>
  <si>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</si>
  <si>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</si>
  <si>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</si>
  <si>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</si>
  <si>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</si>
  <si>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</si>
  <si>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</si>
  <si>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</si>
  <si>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</si>
  <si>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</si>
  <si>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</si>
  <si>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</si>
  <si>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</si>
  <si>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</si>
  <si>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</si>
  <si>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</si>
  <si>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</si>
  <si>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</si>
  <si>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</si>
  <si>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3O-O</t>
  </si>
  <si>
    <t>5O</t>
  </si>
  <si>
    <t>7O</t>
  </si>
  <si>
    <t>6O-O</t>
  </si>
  <si>
    <t>6I</t>
  </si>
  <si>
    <t>4I-I</t>
  </si>
  <si>
    <t>4O-O</t>
  </si>
  <si>
    <t>1I</t>
  </si>
  <si>
    <t>3O-I</t>
  </si>
  <si>
    <t>7I</t>
  </si>
  <si>
    <t>5O-O</t>
  </si>
  <si>
    <t>3I-O</t>
  </si>
  <si>
    <t>4I-O</t>
  </si>
  <si>
    <t>4I</t>
  </si>
  <si>
    <t>3I-I</t>
  </si>
  <si>
    <t>2 1/2O-I</t>
  </si>
  <si>
    <t>2I-O</t>
  </si>
  <si>
    <t>5I</t>
  </si>
  <si>
    <t>6I-I</t>
  </si>
  <si>
    <t>5O-I</t>
  </si>
  <si>
    <t>8I-I</t>
  </si>
  <si>
    <t>3 1/2O-I</t>
  </si>
  <si>
    <t>5I-I</t>
  </si>
  <si>
    <t>7O-I</t>
  </si>
  <si>
    <t>3I</t>
  </si>
  <si>
    <t>Bench Only Overall</t>
  </si>
  <si>
    <t>Bench Only Overall 2</t>
  </si>
  <si>
    <t>Chris Linsner</t>
  </si>
  <si>
    <t>Push/Pull Overall 1</t>
  </si>
  <si>
    <t>Push/Pull Overall 3</t>
  </si>
  <si>
    <t>Push/Pull  Overall 2</t>
  </si>
  <si>
    <t>Full Power Overall</t>
  </si>
  <si>
    <t>Master Full Power Overall</t>
  </si>
  <si>
    <t>Junior Full Power Overall</t>
  </si>
  <si>
    <t>Coefficient</t>
  </si>
  <si>
    <t>Female Open Overall Winner</t>
  </si>
  <si>
    <t>Best of the Best in the Midwest</t>
  </si>
  <si>
    <t>Powerlifting (3 lift meet)</t>
  </si>
  <si>
    <t>Team Points</t>
  </si>
  <si>
    <t>Platform Weight Set</t>
  </si>
  <si>
    <t>Kg</t>
  </si>
  <si>
    <t>Weight Classes</t>
  </si>
  <si>
    <t>Divisions</t>
  </si>
  <si>
    <t>Place</t>
  </si>
  <si>
    <t>Points</t>
  </si>
  <si>
    <t>Pounds</t>
  </si>
  <si>
    <t>Kilos</t>
  </si>
  <si>
    <t>BWt (Kg)</t>
  </si>
  <si>
    <t>Abbrev</t>
  </si>
  <si>
    <t>Description</t>
  </si>
  <si>
    <t>Scoring</t>
  </si>
  <si>
    <t>F-T1</t>
  </si>
  <si>
    <t>Female Teen 13-15</t>
  </si>
  <si>
    <t>How</t>
  </si>
  <si>
    <t>Pound</t>
  </si>
  <si>
    <t>LOAD</t>
  </si>
  <si>
    <t>Kilo</t>
  </si>
  <si>
    <t>limit</t>
  </si>
  <si>
    <t>Men</t>
  </si>
  <si>
    <t>Women</t>
  </si>
  <si>
    <t>F-T2</t>
  </si>
  <si>
    <t>Female Teen 16-17</t>
  </si>
  <si>
    <t>Many?</t>
  </si>
  <si>
    <t>Plates</t>
  </si>
  <si>
    <t>on Bar</t>
  </si>
  <si>
    <t>F-T3</t>
  </si>
  <si>
    <t>Female Teen 18-19</t>
  </si>
  <si>
    <t>F-J</t>
  </si>
  <si>
    <t>Female-Junior</t>
  </si>
  <si>
    <t>Female Open</t>
  </si>
  <si>
    <t>F-S</t>
  </si>
  <si>
    <t>Female Submaster</t>
  </si>
  <si>
    <t>F-M1</t>
  </si>
  <si>
    <t>Female Master 40-44</t>
  </si>
  <si>
    <t>F-M2</t>
  </si>
  <si>
    <t>Female Master 45-49</t>
  </si>
  <si>
    <t>F-M3</t>
  </si>
  <si>
    <t>Female Master 50-54</t>
  </si>
  <si>
    <t>F-M4</t>
  </si>
  <si>
    <t>Female Master 55-59</t>
  </si>
  <si>
    <t>F-M5</t>
  </si>
  <si>
    <t>Female Master 60-64</t>
  </si>
  <si>
    <t>F-M6</t>
  </si>
  <si>
    <t>Female Master 65-69</t>
  </si>
  <si>
    <t>F-M7</t>
  </si>
  <si>
    <t>Female Master 70-74</t>
  </si>
  <si>
    <t>F-M8</t>
  </si>
  <si>
    <t>Female Master 75-79</t>
  </si>
  <si>
    <t>Bar plus Collars</t>
  </si>
  <si>
    <t>F-M9</t>
  </si>
  <si>
    <t>Female Master 80+</t>
  </si>
  <si>
    <t>M-T1</t>
  </si>
  <si>
    <t>Male Teen 13-15</t>
  </si>
  <si>
    <t>BP &amp; DL</t>
  </si>
  <si>
    <t>M-T2</t>
  </si>
  <si>
    <t>Male Teen 16-17</t>
  </si>
  <si>
    <t>M-T3</t>
  </si>
  <si>
    <t>Male 18-19</t>
  </si>
  <si>
    <t>Results - Lbs &amp; Kgs?</t>
  </si>
  <si>
    <t>yes</t>
  </si>
  <si>
    <t>Male-Junior</t>
  </si>
  <si>
    <t>Male Open</t>
  </si>
  <si>
    <t>M-S</t>
  </si>
  <si>
    <t>Male Submaster</t>
  </si>
  <si>
    <t>Reset for New Contest</t>
  </si>
  <si>
    <t>Best Lifter Coeff</t>
  </si>
  <si>
    <t>M-M1</t>
  </si>
  <si>
    <t>Male Master 40-44</t>
  </si>
  <si>
    <t>M-M2</t>
  </si>
  <si>
    <t>Male Master 45-49</t>
  </si>
  <si>
    <t>M-M3</t>
  </si>
  <si>
    <t>Male Master 50-54</t>
  </si>
  <si>
    <t>M-M4</t>
  </si>
  <si>
    <t>Male Master 55-59</t>
  </si>
  <si>
    <t>M-M5</t>
  </si>
  <si>
    <t>Male Master 60-64</t>
  </si>
  <si>
    <t>M-M6</t>
  </si>
  <si>
    <t>Male Master 65-69</t>
  </si>
  <si>
    <t>M-M7</t>
  </si>
  <si>
    <t>Male Master 70-74</t>
  </si>
  <si>
    <t>M-M8</t>
  </si>
  <si>
    <t>Male Master 75-79</t>
  </si>
  <si>
    <t>M-M9</t>
  </si>
  <si>
    <t>Male Master 80+</t>
  </si>
  <si>
    <t>F-M</t>
  </si>
  <si>
    <t>Female Master - ALL</t>
  </si>
  <si>
    <t>Male Master - ALL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</si>
</sst>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/>
    </xf>
    <xf numFmtId="0" fontId="1" fillId="0" borderId="0" xfId="0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shrinkToFit="1"/>
      <protection locked="0"/>
    </xf>
    <xf numFmtId="0" fontId="0" fillId="0" borderId="1" xfId="0" applyFill="1" applyBorder="1" applyAlignment="1" applyProtection="1">
      <alignment horizontal="center" shrinkToFit="1"/>
    </xf>
    <xf numFmtId="49" fontId="0" fillId="0" borderId="1" xfId="0" applyNumberFormat="1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</xf>
    <xf numFmtId="164" fontId="0" fillId="2" borderId="1" xfId="0" applyNumberFormat="1" applyFill="1" applyBorder="1" applyAlignment="1" applyProtection="1">
      <alignment horizontal="center" shrinkToFit="1"/>
    </xf>
    <xf numFmtId="0" fontId="6" fillId="0" borderId="1" xfId="0" applyFont="1" applyBorder="1" applyAlignment="1" applyProtection="1">
      <alignment horizontal="center" shrinkToFit="1"/>
    </xf>
    <xf numFmtId="0" fontId="0" fillId="0" borderId="6" xfId="0" applyBorder="1" applyAlignment="1" applyProtection="1">
      <alignment horizontal="center" shrinkToFit="1"/>
    </xf>
    <xf numFmtId="0" fontId="0" fillId="0" borderId="7" xfId="0" applyFill="1" applyBorder="1" applyAlignment="1" applyProtection="1">
      <alignment horizontal="center" shrinkToFit="1"/>
      <protection locked="0"/>
    </xf>
    <xf numFmtId="0" fontId="5" fillId="5" borderId="1" xfId="0" applyFont="1" applyFill="1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Protection="1"/>
    <xf numFmtId="0" fontId="0" fillId="0" borderId="9" xfId="0" applyBorder="1" applyAlignment="1" applyProtection="1">
      <alignment horizontal="center"/>
    </xf>
    <xf numFmtId="0" fontId="0" fillId="0" borderId="7" xfId="0" applyBorder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2" xfId="0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9" fillId="4" borderId="22" xfId="0" applyFont="1" applyFill="1" applyBorder="1" applyAlignment="1" applyProtection="1">
      <alignment horizontal="center" vertical="center" shrinkToFit="1"/>
      <protection locked="0"/>
    </xf>
    <xf numFmtId="0" fontId="9" fillId="4" borderId="23" xfId="0" applyFont="1" applyFill="1" applyBorder="1" applyAlignment="1" applyProtection="1">
      <alignment horizontal="center" vertical="center" shrinkToFi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 applyProtection="1">
      <alignment horizontal="center" vertical="center" shrinkToFit="1"/>
      <protection locked="0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15" fontId="7" fillId="2" borderId="24" xfId="0" applyNumberFormat="1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36"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27</xdr:row>
      <xdr:rowOff>28575</xdr:rowOff>
    </xdr:from>
    <xdr:to>
      <xdr:col>5</xdr:col>
      <xdr:colOff>476250</xdr:colOff>
      <xdr:row>28</xdr:row>
      <xdr:rowOff>133350</xdr:rowOff>
    </xdr:to>
    <xdr:sp macro="Reset" textlink="">
      <xdr:nvSpPr>
        <xdr:cNvPr id="2049" name="Rectangle 16"/>
        <xdr:cNvSpPr>
          <a:spLocks noChangeArrowheads="1"/>
        </xdr:cNvSpPr>
      </xdr:nvSpPr>
      <xdr:spPr bwMode="auto">
        <a:xfrm>
          <a:off x="1247775" y="5381625"/>
          <a:ext cx="2276475" cy="295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38100</xdr:rowOff>
    </xdr:from>
    <xdr:to>
      <xdr:col>7</xdr:col>
      <xdr:colOff>0</xdr:colOff>
      <xdr:row>0</xdr:row>
      <xdr:rowOff>447675</xdr:rowOff>
    </xdr:to>
    <xdr:sp macro="[1]!Bench1" textlink="">
      <xdr:nvSpPr>
        <xdr:cNvPr id="3073" name="Rectangle 9"/>
        <xdr:cNvSpPr>
          <a:spLocks noChangeArrowheads="1"/>
        </xdr:cNvSpPr>
      </xdr:nvSpPr>
      <xdr:spPr bwMode="auto">
        <a:xfrm>
          <a:off x="4638675" y="3810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28575</xdr:rowOff>
    </xdr:from>
    <xdr:to>
      <xdr:col>7</xdr:col>
      <xdr:colOff>0</xdr:colOff>
      <xdr:row>0</xdr:row>
      <xdr:rowOff>447675</xdr:rowOff>
    </xdr:to>
    <xdr:sp macro="[1]!Bench2" textlink="">
      <xdr:nvSpPr>
        <xdr:cNvPr id="3074" name="Rectangle 10"/>
        <xdr:cNvSpPr>
          <a:spLocks noChangeArrowheads="1"/>
        </xdr:cNvSpPr>
      </xdr:nvSpPr>
      <xdr:spPr bwMode="auto">
        <a:xfrm>
          <a:off x="4638675" y="2857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28575</xdr:rowOff>
    </xdr:from>
    <xdr:to>
      <xdr:col>7</xdr:col>
      <xdr:colOff>0</xdr:colOff>
      <xdr:row>0</xdr:row>
      <xdr:rowOff>447675</xdr:rowOff>
    </xdr:to>
    <xdr:sp macro="[1]!Bench3" textlink="">
      <xdr:nvSpPr>
        <xdr:cNvPr id="3075" name="Rectangle 11"/>
        <xdr:cNvSpPr>
          <a:spLocks noChangeArrowheads="1"/>
        </xdr:cNvSpPr>
      </xdr:nvSpPr>
      <xdr:spPr bwMode="auto">
        <a:xfrm>
          <a:off x="4638675" y="2857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38100</xdr:rowOff>
    </xdr:from>
    <xdr:to>
      <xdr:col>7</xdr:col>
      <xdr:colOff>0</xdr:colOff>
      <xdr:row>0</xdr:row>
      <xdr:rowOff>447675</xdr:rowOff>
    </xdr:to>
    <xdr:sp macro="[1]!Bench4" textlink="">
      <xdr:nvSpPr>
        <xdr:cNvPr id="3076" name="Rectangle 12"/>
        <xdr:cNvSpPr>
          <a:spLocks noChangeArrowheads="1"/>
        </xdr:cNvSpPr>
      </xdr:nvSpPr>
      <xdr:spPr bwMode="auto">
        <a:xfrm>
          <a:off x="4638675" y="3810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38100</xdr:rowOff>
    </xdr:from>
    <xdr:to>
      <xdr:col>7</xdr:col>
      <xdr:colOff>0</xdr:colOff>
      <xdr:row>0</xdr:row>
      <xdr:rowOff>447675</xdr:rowOff>
    </xdr:to>
    <xdr:sp macro="[1]!Bench1" textlink="">
      <xdr:nvSpPr>
        <xdr:cNvPr id="3077" name="Rectangle 9"/>
        <xdr:cNvSpPr>
          <a:spLocks noChangeArrowheads="1"/>
        </xdr:cNvSpPr>
      </xdr:nvSpPr>
      <xdr:spPr bwMode="auto">
        <a:xfrm>
          <a:off x="4638675" y="3810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28575</xdr:rowOff>
    </xdr:from>
    <xdr:to>
      <xdr:col>7</xdr:col>
      <xdr:colOff>0</xdr:colOff>
      <xdr:row>0</xdr:row>
      <xdr:rowOff>447675</xdr:rowOff>
    </xdr:to>
    <xdr:sp macro="[1]!Bench2" textlink="">
      <xdr:nvSpPr>
        <xdr:cNvPr id="3078" name="Rectangle 10"/>
        <xdr:cNvSpPr>
          <a:spLocks noChangeArrowheads="1"/>
        </xdr:cNvSpPr>
      </xdr:nvSpPr>
      <xdr:spPr bwMode="auto">
        <a:xfrm>
          <a:off x="4638675" y="2857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28575</xdr:rowOff>
    </xdr:from>
    <xdr:to>
      <xdr:col>7</xdr:col>
      <xdr:colOff>0</xdr:colOff>
      <xdr:row>0</xdr:row>
      <xdr:rowOff>447675</xdr:rowOff>
    </xdr:to>
    <xdr:sp macro="[1]!Bench3" textlink="">
      <xdr:nvSpPr>
        <xdr:cNvPr id="3079" name="Rectangle 11"/>
        <xdr:cNvSpPr>
          <a:spLocks noChangeArrowheads="1"/>
        </xdr:cNvSpPr>
      </xdr:nvSpPr>
      <xdr:spPr bwMode="auto">
        <a:xfrm>
          <a:off x="4638675" y="2857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38100</xdr:rowOff>
    </xdr:from>
    <xdr:to>
      <xdr:col>7</xdr:col>
      <xdr:colOff>0</xdr:colOff>
      <xdr:row>0</xdr:row>
      <xdr:rowOff>447675</xdr:rowOff>
    </xdr:to>
    <xdr:sp macro="[1]!Bench4" textlink="">
      <xdr:nvSpPr>
        <xdr:cNvPr id="3080" name="Rectangle 12"/>
        <xdr:cNvSpPr>
          <a:spLocks noChangeArrowheads="1"/>
        </xdr:cNvSpPr>
      </xdr:nvSpPr>
      <xdr:spPr bwMode="auto">
        <a:xfrm>
          <a:off x="4638675" y="3810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P_Owner/Local%20Settings/Temporary%20Internet%20Files/Content.MSO/CASLO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  <sheetName val="CASLOW"/>
    </sheetNames>
    <definedNames>
      <definedName name="Bench1"/>
      <definedName name="Bench2"/>
      <definedName name="Bench3"/>
      <definedName name="Bench4"/>
    </defined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 t="str">
            <v>SHW</v>
          </cell>
        </row>
        <row r="19">
          <cell r="J19">
            <v>125.001</v>
          </cell>
          <cell r="K19">
            <v>140</v>
          </cell>
          <cell r="L19">
            <v>1000</v>
          </cell>
        </row>
        <row r="20">
          <cell r="J20">
            <v>140.001</v>
          </cell>
          <cell r="K20" t="str">
            <v>SHW</v>
          </cell>
          <cell r="L20">
            <v>1001</v>
          </cell>
        </row>
        <row r="21">
          <cell r="J21">
            <v>1000</v>
          </cell>
          <cell r="L21">
            <v>1002</v>
          </cell>
        </row>
        <row r="22">
          <cell r="J22">
            <v>1001</v>
          </cell>
          <cell r="L22">
            <v>1003</v>
          </cell>
        </row>
        <row r="23">
          <cell r="J23">
            <v>1002</v>
          </cell>
          <cell r="L23">
            <v>1004</v>
          </cell>
        </row>
      </sheetData>
      <sheetData sheetId="1"/>
      <sheetData sheetId="2">
        <row r="3">
          <cell r="A3">
            <v>17</v>
          </cell>
        </row>
      </sheetData>
      <sheetData sheetId="3"/>
      <sheetData sheetId="4"/>
      <sheetData sheetId="5"/>
      <sheetData sheetId="6"/>
      <sheetData sheetId="7"/>
      <sheetData sheetId="8">
        <row r="32">
          <cell r="F32">
            <v>44</v>
          </cell>
          <cell r="G32">
            <v>44</v>
          </cell>
        </row>
        <row r="33">
          <cell r="F33">
            <v>48</v>
          </cell>
          <cell r="G33">
            <v>48</v>
          </cell>
        </row>
        <row r="34">
          <cell r="F34">
            <v>52</v>
          </cell>
          <cell r="G34">
            <v>52</v>
          </cell>
        </row>
        <row r="35">
          <cell r="F35">
            <v>56</v>
          </cell>
          <cell r="G35">
            <v>56</v>
          </cell>
        </row>
        <row r="36">
          <cell r="F36">
            <v>60</v>
          </cell>
          <cell r="G36">
            <v>60</v>
          </cell>
        </row>
        <row r="37">
          <cell r="F37">
            <v>67.5</v>
          </cell>
          <cell r="G37">
            <v>67.5</v>
          </cell>
        </row>
        <row r="38">
          <cell r="F38">
            <v>75</v>
          </cell>
          <cell r="G38">
            <v>75</v>
          </cell>
        </row>
        <row r="39">
          <cell r="F39">
            <v>82.5</v>
          </cell>
          <cell r="G39">
            <v>82.5</v>
          </cell>
        </row>
        <row r="40">
          <cell r="F40">
            <v>90</v>
          </cell>
          <cell r="G40">
            <v>90</v>
          </cell>
        </row>
        <row r="41">
          <cell r="F41">
            <v>97</v>
          </cell>
          <cell r="G41">
            <v>97.002400000000009</v>
          </cell>
        </row>
        <row r="42">
          <cell r="F42">
            <v>100</v>
          </cell>
          <cell r="G42">
            <v>100</v>
          </cell>
        </row>
        <row r="43">
          <cell r="F43">
            <v>105</v>
          </cell>
          <cell r="G43">
            <v>105.82080000000001</v>
          </cell>
        </row>
        <row r="44">
          <cell r="F44">
            <v>110</v>
          </cell>
          <cell r="G44">
            <v>110</v>
          </cell>
        </row>
        <row r="45">
          <cell r="F45">
            <v>114</v>
          </cell>
          <cell r="G45">
            <v>114.6392</v>
          </cell>
        </row>
        <row r="46">
          <cell r="F46">
            <v>123</v>
          </cell>
          <cell r="G46">
            <v>123.45760000000001</v>
          </cell>
        </row>
        <row r="47">
          <cell r="F47">
            <v>125</v>
          </cell>
          <cell r="G47">
            <v>125</v>
          </cell>
        </row>
        <row r="48">
          <cell r="F48">
            <v>132</v>
          </cell>
          <cell r="G48">
            <v>132.27600000000001</v>
          </cell>
        </row>
        <row r="49">
          <cell r="F49">
            <v>140</v>
          </cell>
          <cell r="G49">
            <v>140</v>
          </cell>
        </row>
        <row r="50">
          <cell r="F50">
            <v>145</v>
          </cell>
          <cell r="G50">
            <v>145</v>
          </cell>
        </row>
        <row r="51">
          <cell r="F51">
            <v>148</v>
          </cell>
          <cell r="G51">
            <v>148.81050000000002</v>
          </cell>
        </row>
        <row r="52">
          <cell r="F52">
            <v>165</v>
          </cell>
          <cell r="G52">
            <v>165.345</v>
          </cell>
        </row>
        <row r="53">
          <cell r="F53">
            <v>181</v>
          </cell>
          <cell r="G53">
            <v>181.87950000000001</v>
          </cell>
        </row>
        <row r="54">
          <cell r="F54">
            <v>198</v>
          </cell>
          <cell r="G54">
            <v>198.41400000000002</v>
          </cell>
        </row>
        <row r="55">
          <cell r="F55">
            <v>220</v>
          </cell>
          <cell r="G55">
            <v>220.46</v>
          </cell>
        </row>
        <row r="56">
          <cell r="F56">
            <v>242</v>
          </cell>
          <cell r="G56">
            <v>242.506</v>
          </cell>
        </row>
        <row r="57">
          <cell r="F57">
            <v>275</v>
          </cell>
          <cell r="G57">
            <v>275.57499999999999</v>
          </cell>
        </row>
        <row r="58">
          <cell r="F58">
            <v>308</v>
          </cell>
          <cell r="G58">
            <v>308.64400000000001</v>
          </cell>
        </row>
        <row r="59">
          <cell r="F59">
            <v>319</v>
          </cell>
          <cell r="G59">
            <v>319.66700000000003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workbookViewId="0">
      <selection activeCell="M13" sqref="M13"/>
    </sheetView>
  </sheetViews>
  <sheetFormatPr defaultRowHeight="15"/>
  <sheetData>
    <row r="1" spans="1:20" ht="15.75" thickBot="1">
      <c r="A1" s="28"/>
      <c r="B1" s="29"/>
      <c r="C1" s="29"/>
      <c r="D1" s="29"/>
      <c r="E1" s="28"/>
      <c r="F1" s="28"/>
      <c r="G1" s="28"/>
      <c r="H1" s="28"/>
      <c r="I1" s="29"/>
      <c r="J1" s="30"/>
      <c r="K1" s="28" t="str">
        <f>IF(J6="BWt (Lb)",CONCATENATE("DATA!F14:F28"),CONCATENATE("DATA!E14:E28"))</f>
        <v>DATA!E14:E28</v>
      </c>
      <c r="L1" s="31"/>
      <c r="M1" s="28"/>
      <c r="N1" s="29"/>
      <c r="O1" s="28"/>
      <c r="P1" s="28"/>
      <c r="Q1" s="28"/>
      <c r="R1" s="28"/>
      <c r="S1" s="28"/>
      <c r="T1" s="28"/>
    </row>
    <row r="2" spans="1:20" ht="26.25" thickBot="1">
      <c r="A2" s="28"/>
      <c r="B2" s="119" t="s">
        <v>152</v>
      </c>
      <c r="C2" s="120"/>
      <c r="D2" s="120"/>
      <c r="E2" s="120"/>
      <c r="F2" s="120"/>
      <c r="G2" s="121"/>
      <c r="H2" s="28"/>
      <c r="I2" s="29"/>
      <c r="J2" s="122">
        <v>40215</v>
      </c>
      <c r="K2" s="123"/>
      <c r="L2" s="124"/>
      <c r="M2" s="28"/>
      <c r="N2" s="119" t="s">
        <v>153</v>
      </c>
      <c r="O2" s="120"/>
      <c r="P2" s="121"/>
      <c r="Q2" s="28"/>
      <c r="R2" s="125" t="s">
        <v>154</v>
      </c>
      <c r="S2" s="124"/>
      <c r="T2" s="28"/>
    </row>
    <row r="3" spans="1:20" ht="15.75" thickBot="1">
      <c r="A3" s="28"/>
      <c r="B3" s="29"/>
      <c r="C3" s="29"/>
      <c r="D3" s="29"/>
      <c r="E3" s="28"/>
      <c r="F3" s="28"/>
      <c r="G3" s="28"/>
      <c r="H3" s="28"/>
      <c r="I3" s="29"/>
      <c r="J3" s="30"/>
      <c r="K3" s="28"/>
      <c r="L3" s="31"/>
      <c r="M3" s="28"/>
      <c r="N3" s="29"/>
      <c r="O3" s="28"/>
      <c r="P3" s="28"/>
      <c r="Q3" s="28"/>
      <c r="R3" s="28"/>
      <c r="S3" s="28"/>
      <c r="T3" s="28"/>
    </row>
    <row r="4" spans="1:20">
      <c r="A4" s="28"/>
      <c r="B4" s="106" t="s">
        <v>155</v>
      </c>
      <c r="C4" s="107"/>
      <c r="D4" s="107"/>
      <c r="E4" s="107"/>
      <c r="F4" s="108"/>
      <c r="G4" s="112" t="s">
        <v>156</v>
      </c>
      <c r="H4" s="28"/>
      <c r="I4" s="29"/>
      <c r="J4" s="88" t="s">
        <v>157</v>
      </c>
      <c r="K4" s="89"/>
      <c r="L4" s="90"/>
      <c r="M4" s="28"/>
      <c r="N4" s="106" t="s">
        <v>158</v>
      </c>
      <c r="O4" s="107"/>
      <c r="P4" s="117"/>
      <c r="Q4" s="28"/>
      <c r="R4" s="96" t="s">
        <v>159</v>
      </c>
      <c r="S4" s="98" t="s">
        <v>160</v>
      </c>
      <c r="T4" s="28"/>
    </row>
    <row r="5" spans="1:20">
      <c r="A5" s="28"/>
      <c r="B5" s="109"/>
      <c r="C5" s="110"/>
      <c r="D5" s="110"/>
      <c r="E5" s="110"/>
      <c r="F5" s="111"/>
      <c r="G5" s="113"/>
      <c r="H5" s="28"/>
      <c r="I5" s="29"/>
      <c r="J5" s="114"/>
      <c r="K5" s="115"/>
      <c r="L5" s="116"/>
      <c r="M5" s="28"/>
      <c r="N5" s="109"/>
      <c r="O5" s="110"/>
      <c r="P5" s="118"/>
      <c r="Q5" s="28"/>
      <c r="R5" s="97"/>
      <c r="S5" s="99"/>
      <c r="T5" s="28"/>
    </row>
    <row r="6" spans="1:20">
      <c r="A6" s="28"/>
      <c r="B6" s="81" t="s">
        <v>161</v>
      </c>
      <c r="C6" s="82"/>
      <c r="D6" s="82"/>
      <c r="E6" s="82" t="s">
        <v>162</v>
      </c>
      <c r="F6" s="82"/>
      <c r="G6" s="83"/>
      <c r="H6" s="28"/>
      <c r="I6" s="29"/>
      <c r="J6" s="100" t="s">
        <v>163</v>
      </c>
      <c r="K6" s="101"/>
      <c r="L6" s="102"/>
      <c r="M6" s="28"/>
      <c r="N6" s="32" t="s">
        <v>164</v>
      </c>
      <c r="O6" s="33" t="s">
        <v>165</v>
      </c>
      <c r="P6" s="34" t="s">
        <v>166</v>
      </c>
      <c r="Q6" s="28"/>
      <c r="R6" s="35">
        <v>1</v>
      </c>
      <c r="S6" s="36">
        <v>7</v>
      </c>
      <c r="T6" s="28"/>
    </row>
    <row r="7" spans="1:20">
      <c r="A7" s="28"/>
      <c r="B7" s="37" t="str">
        <f>TRIM([1]Lifting!A3)</f>
        <v>17</v>
      </c>
      <c r="C7" s="38">
        <f>ABS([1]Lifting!C3)</f>
        <v>0</v>
      </c>
      <c r="D7" s="38"/>
      <c r="E7" s="38"/>
      <c r="F7" s="38">
        <f>ABS([1]Lifting!C3)</f>
        <v>0</v>
      </c>
      <c r="G7" s="39"/>
      <c r="H7" s="29"/>
      <c r="I7" s="29"/>
      <c r="J7" s="103"/>
      <c r="K7" s="104"/>
      <c r="L7" s="105"/>
      <c r="M7" s="28"/>
      <c r="N7" s="40" t="s">
        <v>167</v>
      </c>
      <c r="O7" s="41" t="s">
        <v>168</v>
      </c>
      <c r="P7" s="36">
        <v>2</v>
      </c>
      <c r="Q7" s="28"/>
      <c r="R7" s="35">
        <v>2</v>
      </c>
      <c r="S7" s="36">
        <v>5</v>
      </c>
      <c r="T7" s="28"/>
    </row>
    <row r="8" spans="1:20">
      <c r="A8" s="28"/>
      <c r="B8" s="42" t="s">
        <v>169</v>
      </c>
      <c r="C8" s="38" t="s">
        <v>170</v>
      </c>
      <c r="D8" s="38" t="s">
        <v>171</v>
      </c>
      <c r="E8" s="38" t="s">
        <v>169</v>
      </c>
      <c r="F8" s="38" t="s">
        <v>172</v>
      </c>
      <c r="G8" s="39" t="s">
        <v>171</v>
      </c>
      <c r="H8" s="28"/>
      <c r="I8" s="29" t="s">
        <v>173</v>
      </c>
      <c r="J8" s="43" t="s">
        <v>174</v>
      </c>
      <c r="K8" s="44"/>
      <c r="L8" s="45" t="s">
        <v>175</v>
      </c>
      <c r="M8" s="28"/>
      <c r="N8" s="40" t="s">
        <v>176</v>
      </c>
      <c r="O8" s="41" t="s">
        <v>177</v>
      </c>
      <c r="P8" s="36">
        <v>2</v>
      </c>
      <c r="Q8" s="28"/>
      <c r="R8" s="35">
        <v>3</v>
      </c>
      <c r="S8" s="36">
        <v>3</v>
      </c>
      <c r="T8" s="28"/>
    </row>
    <row r="9" spans="1:20">
      <c r="A9" s="28"/>
      <c r="B9" s="42" t="s">
        <v>178</v>
      </c>
      <c r="C9" s="38" t="s">
        <v>179</v>
      </c>
      <c r="D9" s="38" t="s">
        <v>180</v>
      </c>
      <c r="E9" s="38" t="s">
        <v>178</v>
      </c>
      <c r="F9" s="38" t="s">
        <v>179</v>
      </c>
      <c r="G9" s="39" t="s">
        <v>180</v>
      </c>
      <c r="H9" s="29"/>
      <c r="I9" s="46">
        <f>IF(J9="SHW",1000,IF(J10="",#REF!+1,IF(ISERROR(VLOOKUP(J9,[1]DATA!$F$32:$G$59,2,FALSE)),J9,VLOOKUP(J9,[1]DATA!$F$32:$G$59,2,FALSE))+0.0001))</f>
        <v>52.000100000000003</v>
      </c>
      <c r="J9" s="47">
        <v>52</v>
      </c>
      <c r="K9" s="46">
        <f>IF(L9="SHW",1000,IF(L10="",#REF!+1,IF(ISERROR(VLOOKUP(L9,[1]DATA!$F$32:$G$59,2,FALSE)),L9,VLOOKUP(L9,[1]DATA!$F$32:$G$59,2,FALSE))+0.0001))</f>
        <v>44.000100000000003</v>
      </c>
      <c r="L9" s="48">
        <v>44</v>
      </c>
      <c r="M9" s="28"/>
      <c r="N9" s="40" t="s">
        <v>181</v>
      </c>
      <c r="O9" s="41" t="s">
        <v>182</v>
      </c>
      <c r="P9" s="36">
        <v>2</v>
      </c>
      <c r="Q9" s="28"/>
      <c r="R9" s="35">
        <v>4</v>
      </c>
      <c r="S9" s="36">
        <v>2</v>
      </c>
      <c r="T9" s="28"/>
    </row>
    <row r="10" spans="1:20">
      <c r="A10" s="28"/>
      <c r="B10" s="40">
        <v>0</v>
      </c>
      <c r="C10" s="38">
        <v>110</v>
      </c>
      <c r="D10" s="38">
        <f>IF(OR(C7=0,G4="Kg"),0,MIN(INT((C7-IF(LEFT($C$7,1)="S",$D$22,$D$23))/(2*C10)),B10/2))</f>
        <v>0</v>
      </c>
      <c r="E10" s="49">
        <v>4</v>
      </c>
      <c r="F10" s="38">
        <v>50</v>
      </c>
      <c r="G10" s="39">
        <f>IF(OR(F7=0,G4="Lb"),0,MIN(INT((F7-IF(LEFT($C$7,1)="S",$G$22,$G$23))/(2*F10)),E10/2))</f>
        <v>0</v>
      </c>
      <c r="H10" s="29"/>
      <c r="I10" s="46">
        <f>IF(J10="SHW",1000,IF(J11="",I9+1,IF(ISERROR(VLOOKUP(J10,[1]DATA!$F$32:$G$59,2,FALSE)),J10,VLOOKUP(J10,[1]DATA!$F$32:$G$59,2,FALSE))+0.001))</f>
        <v>56.000999999999998</v>
      </c>
      <c r="J10" s="47">
        <v>56</v>
      </c>
      <c r="K10" s="46">
        <f>IF(L10="SHW",1000,IF(L11="",K9+1,IF(ISERROR(VLOOKUP(L10,[1]DATA!$F$32:$G$59,2,FALSE)),L10,VLOOKUP(L10,[1]DATA!$F$32:$G$59,2,FALSE))+0.001))</f>
        <v>48.000999999999998</v>
      </c>
      <c r="L10" s="48">
        <v>48</v>
      </c>
      <c r="M10" s="28"/>
      <c r="N10" s="40" t="s">
        <v>183</v>
      </c>
      <c r="O10" s="41" t="s">
        <v>184</v>
      </c>
      <c r="P10" s="36">
        <v>2</v>
      </c>
      <c r="Q10" s="28"/>
      <c r="R10" s="35">
        <v>5</v>
      </c>
      <c r="S10" s="36">
        <v>1</v>
      </c>
      <c r="T10" s="28"/>
    </row>
    <row r="11" spans="1:20">
      <c r="A11" s="28"/>
      <c r="B11" s="40">
        <v>4</v>
      </c>
      <c r="C11" s="38">
        <v>100</v>
      </c>
      <c r="D11" s="38">
        <f>IF(OR(C7=0,G4="Kg"),0,MIN(INT((C7-IF(LEFT($C$7,1)="S",$D$22,$D$23)-2*D10*C10)/(2*C11)),B11/2))</f>
        <v>0</v>
      </c>
      <c r="E11" s="49">
        <v>0</v>
      </c>
      <c r="F11" s="38">
        <v>45</v>
      </c>
      <c r="G11" s="39">
        <f>IF(OR(F7=0,G4="Lb"),0,MIN(INT((F7-IF(LEFT($C$7,1)="S",$G$22,$G$23)-2*G10*F10)/(2*F11)),E11/2))</f>
        <v>0</v>
      </c>
      <c r="H11" s="29"/>
      <c r="I11" s="46">
        <f>IF(J11="SHW",1000,IF(J12="",I10+1,IF(ISERROR(VLOOKUP(J11,[1]DATA!$F$32:$G$59,2,FALSE)),J11,VLOOKUP(J11,[1]DATA!$F$32:$G$59,2,FALSE))+0.001))</f>
        <v>60.000999999999998</v>
      </c>
      <c r="J11" s="47">
        <v>60</v>
      </c>
      <c r="K11" s="46">
        <f>IF(L11="SHW",1000,IF(L12="",K10+1,IF(ISERROR(VLOOKUP(L11,[1]DATA!$F$32:$G$59,2,FALSE)),L11,VLOOKUP(L11,[1]DATA!$F$32:$G$59,2,FALSE))+0.001))</f>
        <v>52.000999999999998</v>
      </c>
      <c r="L11" s="48">
        <v>52</v>
      </c>
      <c r="M11" s="28"/>
      <c r="N11" s="40" t="s">
        <v>2</v>
      </c>
      <c r="O11" s="41" t="s">
        <v>185</v>
      </c>
      <c r="P11" s="36">
        <v>2</v>
      </c>
      <c r="Q11" s="28"/>
      <c r="R11" s="35"/>
      <c r="S11" s="36">
        <v>0</v>
      </c>
      <c r="T11" s="28"/>
    </row>
    <row r="12" spans="1:20">
      <c r="A12" s="28"/>
      <c r="B12" s="40">
        <v>0</v>
      </c>
      <c r="C12" s="38">
        <v>50</v>
      </c>
      <c r="D12" s="38">
        <f>IF(OR(C7=0,G4="Kg"),0,MIN(INT((C7-IF(LEFT($C$7,1)="S",$D$22,$D$23)-2*D10*C10-2*D11*C11)/(2*C12)),B12/2))</f>
        <v>0</v>
      </c>
      <c r="E12" s="49">
        <v>0</v>
      </c>
      <c r="F12" s="38">
        <v>25</v>
      </c>
      <c r="G12" s="39">
        <f>IF(OR(F7=0,G4="Lb"),0,MIN(INT((F7-IF(LEFT($C$7,1)="S",$G$22,$G$23)-2*G10*F10-2*G11*F11)/(2*F12)),E12/2))</f>
        <v>0</v>
      </c>
      <c r="H12" s="29"/>
      <c r="I12" s="46">
        <f>IF(J12="SHW",1000,IF(J13="",I11+1,IF(ISERROR(VLOOKUP(J12,[1]DATA!$F$32:$G$59,2,FALSE)),J12,VLOOKUP(J12,[1]DATA!$F$32:$G$59,2,FALSE))+0.001))</f>
        <v>67.501000000000005</v>
      </c>
      <c r="J12" s="47">
        <v>67.5</v>
      </c>
      <c r="K12" s="46">
        <f>IF(L12="SHW",1000,IF(L13="",K11+1,IF(ISERROR(VLOOKUP(L12,[1]DATA!$F$32:$G$59,2,FALSE)),L12,VLOOKUP(L12,[1]DATA!$F$32:$G$59,2,FALSE))+0.001))</f>
        <v>56.000999999999998</v>
      </c>
      <c r="L12" s="48">
        <v>56</v>
      </c>
      <c r="M12" s="28"/>
      <c r="N12" s="40" t="s">
        <v>186</v>
      </c>
      <c r="O12" s="41" t="s">
        <v>187</v>
      </c>
      <c r="P12" s="36">
        <v>2</v>
      </c>
      <c r="Q12" s="28"/>
      <c r="R12" s="35"/>
      <c r="S12" s="36">
        <v>0</v>
      </c>
      <c r="T12" s="28"/>
    </row>
    <row r="13" spans="1:20">
      <c r="A13" s="28"/>
      <c r="B13" s="40">
        <v>12</v>
      </c>
      <c r="C13" s="38">
        <v>45</v>
      </c>
      <c r="D13" s="38">
        <f>IF(OR(C7=0,G4="Kg"),0,MIN(INT((C7-IF(LEFT($C$7,1)="S",$D$22,$D$23)-2*D10*C10-2*D11*C11-2*D12*C12)/(2*C13)),B13/2))</f>
        <v>0</v>
      </c>
      <c r="E13" s="49">
        <v>12</v>
      </c>
      <c r="F13" s="38">
        <v>20</v>
      </c>
      <c r="G13" s="39">
        <f>IF(OR(F7=0,G4="Lb"),0,MIN(INT((F7-IF(LEFT($C$7,1)="S",$G$22,$G$23)-2*G10*F10-2*G11*F11-2*G12*F12)/(2*F13)),E13/2))</f>
        <v>0</v>
      </c>
      <c r="H13" s="29"/>
      <c r="I13" s="46">
        <f>IF(J13="SHW",1000,IF(J14="",I12+1,IF(ISERROR(VLOOKUP(J13,[1]DATA!$F$32:$G$59,2,FALSE)),J13,VLOOKUP(J13,[1]DATA!$F$32:$G$59,2,FALSE))+0.001))</f>
        <v>75.001000000000005</v>
      </c>
      <c r="J13" s="47">
        <v>75</v>
      </c>
      <c r="K13" s="46">
        <f>IF(L13="SHW",1000,IF(L14="",K12+1,IF(ISERROR(VLOOKUP(L13,[1]DATA!$F$32:$G$59,2,FALSE)),L13,VLOOKUP(L13,[1]DATA!$F$32:$G$59,2,FALSE))+0.001))</f>
        <v>60.000999999999998</v>
      </c>
      <c r="L13" s="48">
        <v>60</v>
      </c>
      <c r="M13" s="28"/>
      <c r="N13" s="40" t="s">
        <v>188</v>
      </c>
      <c r="O13" s="41" t="s">
        <v>189</v>
      </c>
      <c r="P13" s="36">
        <v>2</v>
      </c>
      <c r="Q13" s="28"/>
      <c r="R13" s="35"/>
      <c r="S13" s="36">
        <v>0</v>
      </c>
      <c r="T13" s="28"/>
    </row>
    <row r="14" spans="1:20">
      <c r="A14" s="28"/>
      <c r="B14" s="40">
        <v>0</v>
      </c>
      <c r="C14" s="38">
        <v>35</v>
      </c>
      <c r="D14" s="38">
        <f>IF(OR(C7=0,G4="Kg"),0,MIN(INT((C7-IF(LEFT($C$7,1)="S",$D$22,$D$23)-2*D10*C10-2*D11*C11-2*D12*C12-2*D13*C13)/(2*C14)),B14/2))</f>
        <v>0</v>
      </c>
      <c r="E14" s="49">
        <v>0</v>
      </c>
      <c r="F14" s="38">
        <v>15</v>
      </c>
      <c r="G14" s="39">
        <f>IF(OR(F7=0,G4="Lb"),0,MIN(INT((F7-IF(LEFT($C$7,1)="S",$G$22,$G$23)-2*G10*F10-2*G11*F11-2*G12*F12-2*G13*F13)/(2*F14)),E14/2))</f>
        <v>0</v>
      </c>
      <c r="H14" s="29"/>
      <c r="I14" s="46">
        <f>IF(J14="SHW",1000,IF(J15="",I13+1,IF(ISERROR(VLOOKUP(J14,[1]DATA!$F$32:$G$59,2,FALSE)),J14,VLOOKUP(J14,[1]DATA!$F$32:$G$59,2,FALSE))+0.001))</f>
        <v>82.501000000000005</v>
      </c>
      <c r="J14" s="47">
        <v>82.5</v>
      </c>
      <c r="K14" s="46">
        <f>IF(L14="SHW",1000,IF(L15="",K13+1,IF(ISERROR(VLOOKUP(L14,[1]DATA!$F$32:$G$59,2,FALSE)),L14,VLOOKUP(L14,[1]DATA!$F$32:$G$59,2,FALSE))+0.001))</f>
        <v>67.501000000000005</v>
      </c>
      <c r="L14" s="48">
        <v>67.5</v>
      </c>
      <c r="M14" s="28"/>
      <c r="N14" s="40" t="s">
        <v>190</v>
      </c>
      <c r="O14" s="41" t="s">
        <v>191</v>
      </c>
      <c r="P14" s="36">
        <v>2</v>
      </c>
      <c r="Q14" s="28"/>
      <c r="R14" s="35"/>
      <c r="S14" s="36">
        <v>0</v>
      </c>
      <c r="T14" s="28"/>
    </row>
    <row r="15" spans="1:20" ht="15.75" thickBot="1">
      <c r="A15" s="28"/>
      <c r="B15" s="40">
        <v>2</v>
      </c>
      <c r="C15" s="38">
        <v>25</v>
      </c>
      <c r="D15" s="38">
        <f>IF(OR(C7=0,G4="Kg"),0,MIN(INT((C7-IF(LEFT($C$7,1)="S",$D$22,$D$23)-2*D10*C10-2*D11*C11-2*D12*C12-2*D13*C13-2*D14*C14)/(2*C15)),B15/2))</f>
        <v>0</v>
      </c>
      <c r="E15" s="49">
        <v>2</v>
      </c>
      <c r="F15" s="38">
        <v>10</v>
      </c>
      <c r="G15" s="39">
        <f>IF(OR(F7=0,G4="Lb"),0,MIN(INT((F7-IF(LEFT($C$7,1)="S",$G$22,$G$23)-2*G10*F10-2*G11*F11-2*G12*F12-2*G13*F13-2*G14*F14)/(2*F15)),E15/2))</f>
        <v>0</v>
      </c>
      <c r="H15" s="29"/>
      <c r="I15" s="46">
        <f>IF(J15="SHW",1000,IF(J16="",I14+1,IF(ISERROR(VLOOKUP(J15,[1]DATA!$F$32:$G$59,2,FALSE)),J15,VLOOKUP(J15,[1]DATA!$F$32:$G$59,2,FALSE))+0.001))</f>
        <v>90.001000000000005</v>
      </c>
      <c r="J15" s="47">
        <v>90</v>
      </c>
      <c r="K15" s="46">
        <f>IF(L15="SHW",1000,IF(L16="",K14+1,IF(ISERROR(VLOOKUP(L15,[1]DATA!$F$32:$G$59,2,FALSE)),L15,VLOOKUP(L15,[1]DATA!$F$32:$G$59,2,FALSE))+0.001))</f>
        <v>75.001000000000005</v>
      </c>
      <c r="L15" s="48">
        <v>75</v>
      </c>
      <c r="M15" s="28"/>
      <c r="N15" s="40" t="s">
        <v>192</v>
      </c>
      <c r="O15" s="41" t="s">
        <v>193</v>
      </c>
      <c r="P15" s="36">
        <v>2</v>
      </c>
      <c r="Q15" s="28"/>
      <c r="R15" s="50"/>
      <c r="S15" s="51">
        <v>0</v>
      </c>
      <c r="T15" s="28"/>
    </row>
    <row r="16" spans="1:20">
      <c r="A16" s="28"/>
      <c r="B16" s="40">
        <v>2</v>
      </c>
      <c r="C16" s="38">
        <v>10</v>
      </c>
      <c r="D16" s="38">
        <f>IF(OR(C7=0,G4="Kg"),0,MIN(INT((C7-IF(LEFT($C$7,1)="S",$D$22,$D$23)-2*D10*C10-2*D11*C11-2*D12*C12-2*D13*C13-2*D14*C14-2*D15*C15)/(2*C16)),B16/2))</f>
        <v>0</v>
      </c>
      <c r="E16" s="49">
        <v>2</v>
      </c>
      <c r="F16" s="38">
        <v>5</v>
      </c>
      <c r="G16" s="39">
        <f>IF(OR(F7=0,G4="Lb"),0,MIN(INT((F7-IF(LEFT($C$7,1)="S",$G$22,$G$23)-2*G10*F10-2*G11*F11-2*G12*F12-2*G13*F13-2*G14*F14-2*G15*F15)/(2*F16)),E16/2))</f>
        <v>0</v>
      </c>
      <c r="H16" s="29"/>
      <c r="I16" s="46">
        <f>IF(J16="SHW",1000,IF(J17="",I15+1,IF(ISERROR(VLOOKUP(J16,[1]DATA!$F$32:$G$59,2,FALSE)),J16,VLOOKUP(J16,[1]DATA!$F$32:$G$59,2,FALSE))+0.001))</f>
        <v>100.001</v>
      </c>
      <c r="J16" s="47">
        <v>100</v>
      </c>
      <c r="K16" s="46">
        <f>IF(L16="SHW",1000,IF(L17="",K15+1,IF(ISERROR(VLOOKUP(L16,[1]DATA!$F$32:$G$59,2,FALSE)),L16,VLOOKUP(L16,[1]DATA!$F$32:$G$59,2,FALSE))+0.001))</f>
        <v>82.501000000000005</v>
      </c>
      <c r="L16" s="48">
        <v>82.5</v>
      </c>
      <c r="M16" s="28"/>
      <c r="N16" s="40" t="s">
        <v>194</v>
      </c>
      <c r="O16" s="41" t="s">
        <v>195</v>
      </c>
      <c r="P16" s="36">
        <v>2</v>
      </c>
      <c r="Q16" s="28"/>
      <c r="R16" s="28"/>
      <c r="S16" s="28"/>
      <c r="T16" s="28"/>
    </row>
    <row r="17" spans="1:20">
      <c r="A17" s="28"/>
      <c r="B17" s="40">
        <v>2</v>
      </c>
      <c r="C17" s="38">
        <v>5</v>
      </c>
      <c r="D17" s="38">
        <f>IF(OR(C7=0,G4="Kg"),0,MIN(INT((C7-IF(LEFT($C$7,1)="S",$D$22,$D$23)-2*D10*C10-2*D11*C11-2*D12*C12-2*D13*C13-2*D14*C14-2*D15*C15-2*D16*C16)/(2*C17)),B17/2))</f>
        <v>0</v>
      </c>
      <c r="E17" s="49">
        <v>2</v>
      </c>
      <c r="F17" s="38">
        <v>2.5</v>
      </c>
      <c r="G17" s="39">
        <f>IF(OR(F7=0,G4="Lb"),0,MIN(INT((F7-IF(LEFT($C$7,1)="S",$G$22,$G$23)-2*G10*F10-2*G11*F11-2*G12*F12-2*G13*F13-2*G14*F14-2*G15*F15-2*G16*F16)/(2*F17)),E17/2))</f>
        <v>0</v>
      </c>
      <c r="H17" s="29"/>
      <c r="I17" s="46">
        <f>IF(J17="SHW",1000,IF(J18="",I16+1,IF(ISERROR(VLOOKUP(J17,[1]DATA!$F$32:$G$59,2,FALSE)),J17,VLOOKUP(J17,[1]DATA!$F$32:$G$59,2,FALSE))+0.001))</f>
        <v>110.001</v>
      </c>
      <c r="J17" s="47">
        <v>110</v>
      </c>
      <c r="K17" s="46">
        <f>IF(L17="SHW",1000,IF(L18="",K16+1,IF(ISERROR(VLOOKUP(L17,[1]DATA!$F$32:$G$59,2,FALSE)),L17,VLOOKUP(L17,[1]DATA!$F$32:$G$59,2,FALSE))+0.001))</f>
        <v>90.001000000000005</v>
      </c>
      <c r="L17" s="48">
        <v>90</v>
      </c>
      <c r="M17" s="28"/>
      <c r="N17" s="40" t="s">
        <v>196</v>
      </c>
      <c r="O17" s="41" t="s">
        <v>197</v>
      </c>
      <c r="P17" s="36">
        <v>2</v>
      </c>
      <c r="Q17" s="28"/>
      <c r="R17" s="28"/>
      <c r="S17" s="28"/>
      <c r="T17" s="28"/>
    </row>
    <row r="18" spans="1:20">
      <c r="A18" s="28"/>
      <c r="B18" s="40">
        <v>2</v>
      </c>
      <c r="C18" s="38">
        <v>2.5</v>
      </c>
      <c r="D18" s="38">
        <f>IF(OR(C7=0,G4="Kg"),0,MIN(INT((C7-IF(LEFT($C$7,1)="S",$D$22,$D$23)-2*D10*C10-2*D11*C11-2*D12*C12-2*D13*C13-2*D14*C14-2*D15*C15-2*D16*C16-2*D17*C17)/(2*C18)),B18/2))</f>
        <v>0</v>
      </c>
      <c r="E18" s="49">
        <v>2</v>
      </c>
      <c r="F18" s="38">
        <v>1.25</v>
      </c>
      <c r="G18" s="39">
        <f>IF(OR(F7=0,G4="Lb"),0,INT((F7-IF(LEFT($C$7,1)="S",$G$22,$G$23)-2*G10*F10-2*G11*F11-2*G12*F12-2*G13*F13-2*G14*F14-2*G15*F15-2*G16*F16-2*G17*F17)/(2*F18)))</f>
        <v>0</v>
      </c>
      <c r="H18" s="29"/>
      <c r="I18" s="46">
        <f>IF(J18="SHW",1000,IF(J19="",I17+1,IF(ISERROR(VLOOKUP(J18,[1]DATA!$F$32:$G$59,2,FALSE)),J18,VLOOKUP(J18,[1]DATA!$F$32:$G$59,2,FALSE))+0.001))</f>
        <v>125.001</v>
      </c>
      <c r="J18" s="47">
        <v>125</v>
      </c>
      <c r="K18" s="46">
        <f>IF(L18="SHW",1000,IF(L19="",K17+1,IF(ISERROR(VLOOKUP(L18,[1]DATA!$F$32:$G$59,2,FALSE)),L18,VLOOKUP(L18,[1]DATA!$F$32:$G$59,2,FALSE))+0.001))</f>
        <v>1000</v>
      </c>
      <c r="L18" s="48" t="s">
        <v>67</v>
      </c>
      <c r="M18" s="28"/>
      <c r="N18" s="40" t="s">
        <v>198</v>
      </c>
      <c r="O18" s="41" t="s">
        <v>199</v>
      </c>
      <c r="P18" s="36">
        <v>2</v>
      </c>
      <c r="Q18" s="28"/>
      <c r="R18" s="28"/>
      <c r="S18" s="28"/>
      <c r="T18" s="28"/>
    </row>
    <row r="19" spans="1:20">
      <c r="A19" s="28"/>
      <c r="B19" s="40">
        <v>0</v>
      </c>
      <c r="C19" s="38">
        <v>1</v>
      </c>
      <c r="D19" s="38">
        <f>IF(OR(C7=0,G4="Kg"),0,MIN(INT((C7-IF(LEFT($C$7,1)="S",$D$22,$D$23)-2*D10*C10-2*D11*C11-2*D12*C12-2*D13*C13-2*D14*C14-2*D15*C15-2*D16*C16-2*D17*C17-2*D18*C18)/(2*C19)),B19/2))</f>
        <v>0</v>
      </c>
      <c r="E19" s="49">
        <v>0</v>
      </c>
      <c r="F19" s="38">
        <v>0.5</v>
      </c>
      <c r="G19" s="39">
        <f>IF(OR(F7=0,G4="Lb"),0,INT((F7-IF(LEFT($C$7,1)="S",$G$22,$G$23)-2*G10*F10-2*G11*F11-2*G12*F12-2*G13*F13-2*G14*F14-2*G15*F15-2*G16*F16-2*G17*F17-2*G18*F18)/(2*F19)))</f>
        <v>0</v>
      </c>
      <c r="H19" s="29"/>
      <c r="I19" s="46">
        <f>IF(J19="SHW",1000,IF(J20="",I18+1,IF(ISERROR(VLOOKUP(J19,[1]DATA!$F$32:$G$59,2,FALSE)),J19,VLOOKUP(J19,[1]DATA!$F$32:$G$59,2,FALSE))+0.001))</f>
        <v>140.001</v>
      </c>
      <c r="J19" s="47">
        <v>140</v>
      </c>
      <c r="K19" s="46">
        <f>IF(L19="SHW",1000,IF(L20="",K18+1,IF(ISERROR(VLOOKUP(L19,[1]DATA!$F$32:$G$59,2,FALSE)),L19,VLOOKUP(L19,[1]DATA!$F$32:$G$59,2,FALSE))+0.001))</f>
        <v>1001</v>
      </c>
      <c r="L19" s="48"/>
      <c r="M19" s="28"/>
      <c r="N19" s="40" t="s">
        <v>200</v>
      </c>
      <c r="O19" s="41" t="s">
        <v>201</v>
      </c>
      <c r="P19" s="36">
        <v>2</v>
      </c>
      <c r="Q19" s="28"/>
      <c r="R19" s="28"/>
      <c r="S19" s="28"/>
      <c r="T19" s="28"/>
    </row>
    <row r="20" spans="1:20">
      <c r="A20" s="28"/>
      <c r="B20" s="40">
        <v>0</v>
      </c>
      <c r="C20" s="38">
        <v>0.5</v>
      </c>
      <c r="D20" s="38">
        <f>IF(OR(C7=0,G4="Kg"),0,MIN(INT((C7-IF(LEFT($C$7,1)="S",$D$22,$D$23)-2*D10*C10-2*D11*C11-2*D12*C12-2*D13*C13-2*D14*C14-2*D15*C15-2*D16*C16-2*D17*C17-2*D18*C18-2*D19*C19)/(2*C20)),B20/2))</f>
        <v>0</v>
      </c>
      <c r="E20" s="49">
        <v>0</v>
      </c>
      <c r="F20" s="38">
        <v>0.25</v>
      </c>
      <c r="G20" s="39">
        <f>IF(OR(F7=0,G4="Lb"),0,INT((F7-IF(LEFT($C$7,1)="S",$G$22,$G$23)-2*G10*F10-2*G11*F11-2*G12*F12-2*G13*F13-2*G14*F14-2*G15*F15-2*G16*F16-2*G17*F17-2*G18*F18-2*G19*F19)/(2*F20)))</f>
        <v>0</v>
      </c>
      <c r="H20" s="29"/>
      <c r="I20" s="46">
        <f>IF(J20="SHW",1000,IF(J21="",I19+1,IF(ISERROR(VLOOKUP(J20,[1]DATA!$F$32:$G$59,2,FALSE)),J20,VLOOKUP(J20,[1]DATA!$F$32:$G$59,2,FALSE))+0.001))</f>
        <v>1000</v>
      </c>
      <c r="J20" s="47" t="s">
        <v>67</v>
      </c>
      <c r="K20" s="46">
        <f>IF(L20="SHW",1000,IF(L21="",K19+1,IF(ISERROR(VLOOKUP(L20,[1]DATA!$F$32:$G$59,2,FALSE)),L20,VLOOKUP(L20,[1]DATA!$F$32:$G$59,2,FALSE))+0.001))</f>
        <v>1002</v>
      </c>
      <c r="L20" s="48"/>
      <c r="M20" s="28"/>
      <c r="N20" s="40" t="s">
        <v>202</v>
      </c>
      <c r="O20" s="41" t="s">
        <v>203</v>
      </c>
      <c r="P20" s="36">
        <v>2</v>
      </c>
      <c r="Q20" s="28"/>
      <c r="R20" s="28"/>
      <c r="S20" s="28"/>
      <c r="T20" s="28"/>
    </row>
    <row r="21" spans="1:20">
      <c r="A21" s="28"/>
      <c r="B21" s="81" t="s">
        <v>204</v>
      </c>
      <c r="C21" s="82"/>
      <c r="D21" s="38">
        <v>1</v>
      </c>
      <c r="E21" s="82" t="s">
        <v>204</v>
      </c>
      <c r="F21" s="82"/>
      <c r="G21" s="39">
        <v>1</v>
      </c>
      <c r="H21" s="29"/>
      <c r="I21" s="46">
        <f>IF(J21="SHW",1000,IF(J22="",I20+1,IF(ISERROR(VLOOKUP(J21,[1]DATA!$F$32:$G$59,2,FALSE)),J21,VLOOKUP(J21,[1]DATA!$F$32:$G$59,2,FALSE))+0.001))</f>
        <v>1001</v>
      </c>
      <c r="J21" s="47"/>
      <c r="K21" s="46">
        <f>IF(L21="SHW",1000,IF(L22="",K20+1,IF(ISERROR(VLOOKUP(L21,[1]DATA!$F$32:$G$59,2,FALSE)),L21,VLOOKUP(L21,[1]DATA!$F$32:$G$59,2,FALSE))+0.001))</f>
        <v>1003</v>
      </c>
      <c r="L21" s="48"/>
      <c r="M21" s="28"/>
      <c r="N21" s="40" t="s">
        <v>205</v>
      </c>
      <c r="O21" s="41" t="s">
        <v>206</v>
      </c>
      <c r="P21" s="36">
        <v>2</v>
      </c>
      <c r="Q21" s="28"/>
      <c r="R21" s="28"/>
      <c r="S21" s="28"/>
      <c r="T21" s="28"/>
    </row>
    <row r="22" spans="1:20">
      <c r="A22" s="28"/>
      <c r="B22" s="42" t="s">
        <v>94</v>
      </c>
      <c r="C22" s="52">
        <v>65</v>
      </c>
      <c r="D22" s="84" t="s">
        <v>161</v>
      </c>
      <c r="E22" s="38" t="s">
        <v>94</v>
      </c>
      <c r="F22" s="53">
        <v>25</v>
      </c>
      <c r="G22" s="86" t="s">
        <v>162</v>
      </c>
      <c r="H22" s="29"/>
      <c r="I22" s="46">
        <f>IF(J22="SHW",1000,IF(J23="",I21+1,IF(ISERROR(VLOOKUP(J22,[1]DATA!$F$32:$G$59,2,FALSE)),J22,VLOOKUP(J22,[1]DATA!$F$32:$G$59,2,FALSE))+0.001))</f>
        <v>1002</v>
      </c>
      <c r="J22" s="47"/>
      <c r="K22" s="46">
        <f>IF(L22="SHW",1000,IF(L23="",K21+1,IF(ISERROR(VLOOKUP(L22,[1]DATA!$F$32:$G$59,2,FALSE)),L22,VLOOKUP(L22,[1]DATA!$F$32:$G$59,2,FALSE))+0.001))</f>
        <v>1004</v>
      </c>
      <c r="L22" s="48"/>
      <c r="M22" s="28"/>
      <c r="N22" s="40" t="s">
        <v>207</v>
      </c>
      <c r="O22" s="41" t="s">
        <v>208</v>
      </c>
      <c r="P22" s="36">
        <v>2</v>
      </c>
      <c r="Q22" s="28"/>
      <c r="R22" s="28"/>
      <c r="S22" s="28"/>
      <c r="T22" s="28"/>
    </row>
    <row r="23" spans="1:20" ht="15.75" thickBot="1">
      <c r="A23" s="28"/>
      <c r="B23" s="54" t="s">
        <v>209</v>
      </c>
      <c r="C23" s="55">
        <v>55</v>
      </c>
      <c r="D23" s="85"/>
      <c r="E23" s="56" t="s">
        <v>209</v>
      </c>
      <c r="F23" s="57">
        <v>25</v>
      </c>
      <c r="G23" s="87"/>
      <c r="H23" s="29"/>
      <c r="I23" s="29"/>
      <c r="J23" s="58"/>
      <c r="K23" s="28"/>
      <c r="L23" s="59"/>
      <c r="M23" s="28"/>
      <c r="N23" s="40" t="s">
        <v>210</v>
      </c>
      <c r="O23" s="41" t="s">
        <v>211</v>
      </c>
      <c r="P23" s="36">
        <v>2</v>
      </c>
      <c r="Q23" s="28"/>
      <c r="R23" s="28"/>
      <c r="S23" s="28"/>
      <c r="T23" s="28"/>
    </row>
    <row r="24" spans="1:20" ht="15.75" thickBot="1">
      <c r="A24" s="28"/>
      <c r="B24" s="29"/>
      <c r="C24" s="29"/>
      <c r="D24" s="29"/>
      <c r="E24" s="28"/>
      <c r="F24" s="28"/>
      <c r="G24" s="60"/>
      <c r="H24" s="29"/>
      <c r="I24" s="29"/>
      <c r="J24" s="30"/>
      <c r="K24" s="28"/>
      <c r="L24" s="31"/>
      <c r="M24" s="28"/>
      <c r="N24" s="40" t="s">
        <v>212</v>
      </c>
      <c r="O24" s="41" t="s">
        <v>213</v>
      </c>
      <c r="P24" s="36">
        <v>2</v>
      </c>
      <c r="Q24" s="28"/>
      <c r="R24" s="28"/>
      <c r="S24" s="28"/>
      <c r="T24" s="28"/>
    </row>
    <row r="25" spans="1:20">
      <c r="A25" s="28"/>
      <c r="B25" s="29"/>
      <c r="C25" s="88" t="s">
        <v>214</v>
      </c>
      <c r="D25" s="89"/>
      <c r="E25" s="90"/>
      <c r="F25" s="94" t="s">
        <v>215</v>
      </c>
      <c r="G25" s="60"/>
      <c r="H25" s="29"/>
      <c r="I25" s="29"/>
      <c r="J25" s="30"/>
      <c r="K25" s="28"/>
      <c r="L25" s="31"/>
      <c r="M25" s="28"/>
      <c r="N25" s="40" t="s">
        <v>4</v>
      </c>
      <c r="O25" s="41" t="s">
        <v>216</v>
      </c>
      <c r="P25" s="36">
        <v>2</v>
      </c>
      <c r="Q25" s="28"/>
      <c r="R25" s="28"/>
      <c r="S25" s="28"/>
      <c r="T25" s="28"/>
    </row>
    <row r="26" spans="1:20" ht="15.75" thickBot="1">
      <c r="A26" s="28"/>
      <c r="B26" s="29"/>
      <c r="C26" s="91"/>
      <c r="D26" s="92"/>
      <c r="E26" s="93"/>
      <c r="F26" s="95"/>
      <c r="G26" s="60"/>
      <c r="H26" s="29"/>
      <c r="I26" s="29"/>
      <c r="J26" s="30"/>
      <c r="K26" s="28"/>
      <c r="L26" s="31"/>
      <c r="M26" s="28"/>
      <c r="N26" s="40" t="s">
        <v>6</v>
      </c>
      <c r="O26" s="41" t="s">
        <v>217</v>
      </c>
      <c r="P26" s="36">
        <v>2</v>
      </c>
      <c r="Q26" s="28"/>
      <c r="R26" s="28"/>
      <c r="S26" s="28"/>
      <c r="T26" s="28"/>
    </row>
    <row r="27" spans="1:20" ht="15.75" thickBot="1">
      <c r="A27" s="28"/>
      <c r="B27" s="29"/>
      <c r="C27" s="29"/>
      <c r="D27" s="29"/>
      <c r="E27" s="28"/>
      <c r="F27" s="28"/>
      <c r="G27" s="60"/>
      <c r="H27" s="29"/>
      <c r="I27" s="29"/>
      <c r="J27" s="30"/>
      <c r="K27" s="64"/>
      <c r="L27" s="31"/>
      <c r="M27" s="28"/>
      <c r="N27" s="40" t="s">
        <v>218</v>
      </c>
      <c r="O27" s="41" t="s">
        <v>219</v>
      </c>
      <c r="P27" s="36">
        <v>2</v>
      </c>
      <c r="Q27" s="28"/>
      <c r="R27" s="28"/>
      <c r="S27" s="28"/>
      <c r="T27" s="28"/>
    </row>
    <row r="28" spans="1:20">
      <c r="A28" s="28"/>
      <c r="B28" s="29"/>
      <c r="C28" s="75" t="s">
        <v>220</v>
      </c>
      <c r="D28" s="76"/>
      <c r="E28" s="76"/>
      <c r="F28" s="77"/>
      <c r="G28" s="60"/>
      <c r="H28" s="29"/>
      <c r="I28" s="29"/>
      <c r="J28" s="63" t="s">
        <v>221</v>
      </c>
      <c r="K28" s="67"/>
      <c r="L28" s="65"/>
      <c r="M28" s="28"/>
      <c r="N28" s="40" t="s">
        <v>222</v>
      </c>
      <c r="O28" s="41" t="s">
        <v>223</v>
      </c>
      <c r="P28" s="36">
        <v>2</v>
      </c>
      <c r="Q28" s="28"/>
      <c r="R28" s="28"/>
      <c r="S28" s="28"/>
      <c r="T28" s="28"/>
    </row>
    <row r="29" spans="1:20" ht="24" thickBot="1">
      <c r="A29" s="28"/>
      <c r="B29" s="61"/>
      <c r="C29" s="78"/>
      <c r="D29" s="79"/>
      <c r="E29" s="79"/>
      <c r="F29" s="80"/>
      <c r="G29" s="60"/>
      <c r="H29" s="29"/>
      <c r="I29" s="29"/>
      <c r="J29" s="66"/>
      <c r="K29" s="70"/>
      <c r="L29" s="68"/>
      <c r="M29" s="28"/>
      <c r="N29" s="40" t="s">
        <v>224</v>
      </c>
      <c r="O29" s="41" t="s">
        <v>225</v>
      </c>
      <c r="P29" s="36">
        <v>2</v>
      </c>
      <c r="Q29" s="28"/>
      <c r="R29" s="28"/>
      <c r="S29" s="28"/>
      <c r="T29" s="28"/>
    </row>
    <row r="30" spans="1:20" ht="15" customHeight="1">
      <c r="A30" s="28"/>
      <c r="B30" s="29"/>
      <c r="C30" s="29"/>
      <c r="D30" s="29"/>
      <c r="E30" s="28"/>
      <c r="F30" s="28"/>
      <c r="G30" s="60"/>
      <c r="H30" s="29"/>
      <c r="I30" s="29"/>
      <c r="J30" s="69" t="s">
        <v>92</v>
      </c>
      <c r="K30" s="73"/>
      <c r="L30" s="71"/>
      <c r="M30" s="28"/>
      <c r="N30" s="40" t="s">
        <v>226</v>
      </c>
      <c r="O30" s="41" t="s">
        <v>227</v>
      </c>
      <c r="P30" s="36">
        <v>2</v>
      </c>
      <c r="Q30" s="28"/>
      <c r="R30" s="28"/>
      <c r="S30" s="28"/>
      <c r="T30" s="28"/>
    </row>
    <row r="31" spans="1:20" ht="15" customHeight="1">
      <c r="A31" s="28"/>
      <c r="B31" s="29"/>
      <c r="C31" s="29"/>
      <c r="D31" s="29"/>
      <c r="E31" s="28"/>
      <c r="F31" s="28"/>
      <c r="G31" s="28"/>
      <c r="H31" s="28"/>
      <c r="I31" s="29"/>
      <c r="J31" s="72"/>
      <c r="K31" s="28"/>
      <c r="L31" s="74"/>
      <c r="M31" s="28"/>
      <c r="N31" s="40" t="s">
        <v>228</v>
      </c>
      <c r="O31" s="41" t="s">
        <v>229</v>
      </c>
      <c r="P31" s="36">
        <v>2</v>
      </c>
      <c r="Q31" s="28"/>
      <c r="R31" s="28"/>
      <c r="S31" s="28"/>
      <c r="T31" s="28"/>
    </row>
    <row r="32" spans="1:20">
      <c r="A32" s="28"/>
      <c r="B32" s="29"/>
      <c r="C32" s="29"/>
      <c r="D32" s="29"/>
      <c r="E32" s="28"/>
      <c r="F32" s="28"/>
      <c r="G32" s="28"/>
      <c r="H32" s="28"/>
      <c r="I32" s="29"/>
      <c r="J32" s="30"/>
      <c r="K32" s="28"/>
      <c r="L32" s="31"/>
      <c r="M32" s="28"/>
      <c r="N32" s="40" t="s">
        <v>230</v>
      </c>
      <c r="O32" s="41" t="s">
        <v>231</v>
      </c>
      <c r="P32" s="36">
        <v>2</v>
      </c>
      <c r="Q32" s="28"/>
      <c r="R32" s="28"/>
      <c r="S32" s="28"/>
      <c r="T32" s="28"/>
    </row>
    <row r="33" spans="1:20">
      <c r="A33" s="28"/>
      <c r="B33" s="29"/>
      <c r="C33" s="29"/>
      <c r="D33" s="29"/>
      <c r="E33" s="28"/>
      <c r="F33" s="28"/>
      <c r="G33" s="28"/>
      <c r="H33" s="28"/>
      <c r="I33" s="29"/>
      <c r="J33" s="30"/>
      <c r="K33" s="28"/>
      <c r="L33" s="31"/>
      <c r="M33" s="28"/>
      <c r="N33" s="40" t="s">
        <v>232</v>
      </c>
      <c r="O33" s="41" t="s">
        <v>233</v>
      </c>
      <c r="P33" s="36">
        <v>2</v>
      </c>
      <c r="Q33" s="28"/>
      <c r="R33" s="28"/>
      <c r="S33" s="28"/>
      <c r="T33" s="28"/>
    </row>
    <row r="34" spans="1:20">
      <c r="A34" s="28"/>
      <c r="B34" s="29"/>
      <c r="C34" s="29"/>
      <c r="D34" s="29"/>
      <c r="E34" s="28"/>
      <c r="F34" s="28"/>
      <c r="G34" s="28"/>
      <c r="H34" s="28"/>
      <c r="I34" s="29"/>
      <c r="J34" s="30"/>
      <c r="K34" s="28"/>
      <c r="L34" s="31"/>
      <c r="M34" s="28"/>
      <c r="N34" s="40" t="s">
        <v>234</v>
      </c>
      <c r="O34" s="41" t="s">
        <v>235</v>
      </c>
      <c r="P34" s="36">
        <v>2</v>
      </c>
      <c r="Q34" s="28"/>
      <c r="R34" s="28"/>
      <c r="S34" s="28"/>
      <c r="T34" s="28"/>
    </row>
    <row r="35" spans="1:20">
      <c r="A35" s="28"/>
      <c r="B35" s="29"/>
      <c r="C35" s="29"/>
      <c r="D35" s="29"/>
      <c r="E35" s="28"/>
      <c r="F35" s="28"/>
      <c r="G35" s="28"/>
      <c r="H35" s="28"/>
      <c r="I35" s="29"/>
      <c r="J35" s="30"/>
      <c r="K35" s="28"/>
      <c r="L35" s="31"/>
      <c r="M35" s="28"/>
      <c r="N35" s="40" t="s">
        <v>236</v>
      </c>
      <c r="O35" s="41" t="s">
        <v>237</v>
      </c>
      <c r="P35" s="36">
        <v>2</v>
      </c>
      <c r="Q35" s="28"/>
      <c r="R35" s="28"/>
      <c r="S35" s="28"/>
      <c r="T35" s="28"/>
    </row>
    <row r="36" spans="1:20">
      <c r="A36" s="28"/>
      <c r="B36" s="29"/>
      <c r="C36" s="29"/>
      <c r="D36" s="29"/>
      <c r="E36" s="28"/>
      <c r="F36" s="28"/>
      <c r="G36" s="28"/>
      <c r="H36" s="28"/>
      <c r="I36" s="29"/>
      <c r="J36" s="30"/>
      <c r="K36" s="28"/>
      <c r="L36" s="31"/>
      <c r="M36" s="28"/>
      <c r="N36" s="40" t="s">
        <v>238</v>
      </c>
      <c r="O36" s="41" t="s">
        <v>239</v>
      </c>
      <c r="P36" s="36">
        <v>2</v>
      </c>
      <c r="Q36" s="28"/>
      <c r="R36" s="28"/>
      <c r="S36" s="28"/>
      <c r="T36" s="28"/>
    </row>
    <row r="37" spans="1:20">
      <c r="A37" s="28"/>
      <c r="B37" s="29"/>
      <c r="C37" s="29"/>
      <c r="D37" s="29"/>
      <c r="E37" s="28"/>
      <c r="F37" s="28"/>
      <c r="G37" s="28"/>
      <c r="H37" s="28"/>
      <c r="I37" s="29"/>
      <c r="J37" s="30"/>
      <c r="K37" s="28"/>
      <c r="L37" s="31"/>
      <c r="M37" s="28"/>
      <c r="N37" s="40" t="s">
        <v>240</v>
      </c>
      <c r="O37" s="41" t="s">
        <v>241</v>
      </c>
      <c r="P37" s="36">
        <v>2</v>
      </c>
      <c r="Q37" s="28"/>
      <c r="R37" s="28"/>
      <c r="S37" s="28"/>
      <c r="T37" s="28"/>
    </row>
    <row r="38" spans="1:20">
      <c r="A38" s="28"/>
      <c r="B38" s="29"/>
      <c r="C38" s="29"/>
      <c r="D38" s="29"/>
      <c r="E38" s="28"/>
      <c r="F38" s="28"/>
      <c r="G38" s="28"/>
      <c r="H38" s="28"/>
      <c r="I38" s="29"/>
      <c r="J38" s="30"/>
      <c r="K38" s="28"/>
      <c r="L38" s="31"/>
      <c r="M38" s="28"/>
      <c r="N38" s="40" t="s">
        <v>8</v>
      </c>
      <c r="O38" s="41" t="s">
        <v>242</v>
      </c>
      <c r="P38" s="36">
        <v>2</v>
      </c>
      <c r="Q38" s="28"/>
      <c r="R38" s="28"/>
      <c r="S38" s="28"/>
      <c r="T38" s="28"/>
    </row>
    <row r="39" spans="1:20">
      <c r="A39" s="28"/>
      <c r="B39" s="29"/>
      <c r="C39" s="29"/>
      <c r="D39" s="29"/>
      <c r="E39" s="28"/>
      <c r="F39" s="28"/>
      <c r="G39" s="28"/>
      <c r="H39" s="28"/>
      <c r="I39" s="29"/>
      <c r="J39" s="30"/>
      <c r="K39" s="28"/>
      <c r="L39" s="31"/>
      <c r="M39" s="28"/>
      <c r="N39" s="40"/>
      <c r="O39" s="41"/>
      <c r="P39" s="36"/>
      <c r="Q39" s="28"/>
      <c r="R39" s="28"/>
      <c r="S39" s="28"/>
      <c r="T39" s="28"/>
    </row>
    <row r="40" spans="1:20">
      <c r="A40" s="28"/>
      <c r="B40" s="29"/>
      <c r="C40" s="29"/>
      <c r="D40" s="29"/>
      <c r="E40" s="28"/>
      <c r="F40" s="28"/>
      <c r="G40" s="28"/>
      <c r="H40" s="28"/>
      <c r="I40" s="29"/>
      <c r="J40" s="30"/>
      <c r="K40" s="28"/>
      <c r="L40" s="31"/>
      <c r="M40" s="28"/>
      <c r="N40" s="40"/>
      <c r="O40" s="41"/>
      <c r="P40" s="36"/>
      <c r="Q40" s="28"/>
      <c r="R40" s="28"/>
      <c r="S40" s="28"/>
      <c r="T40" s="28"/>
    </row>
    <row r="41" spans="1:20">
      <c r="A41" s="28"/>
      <c r="B41" s="29"/>
      <c r="C41" s="29"/>
      <c r="D41" s="29"/>
      <c r="E41" s="28"/>
      <c r="F41" s="28"/>
      <c r="G41" s="28"/>
      <c r="H41" s="28"/>
      <c r="I41" s="29"/>
      <c r="J41" s="30"/>
      <c r="K41" s="28"/>
      <c r="L41" s="31"/>
      <c r="M41" s="28"/>
      <c r="N41" s="40"/>
      <c r="O41" s="41"/>
      <c r="P41" s="36"/>
      <c r="Q41" s="28"/>
      <c r="R41" s="28"/>
      <c r="S41" s="28"/>
      <c r="T41" s="28"/>
    </row>
    <row r="42" spans="1:20">
      <c r="A42" s="28"/>
      <c r="B42" s="29"/>
      <c r="C42" s="29"/>
      <c r="D42" s="29"/>
      <c r="E42" s="28"/>
      <c r="F42" s="28"/>
      <c r="G42" s="28"/>
      <c r="H42" s="28"/>
      <c r="I42" s="29"/>
      <c r="J42" s="30"/>
      <c r="K42" s="28"/>
      <c r="L42" s="31"/>
      <c r="M42" s="28"/>
      <c r="N42" s="40"/>
      <c r="O42" s="41"/>
      <c r="P42" s="36"/>
      <c r="Q42" s="28"/>
      <c r="R42" s="28"/>
      <c r="S42" s="28"/>
      <c r="T42" s="28"/>
    </row>
    <row r="43" spans="1:20">
      <c r="A43" s="28"/>
      <c r="B43" s="29"/>
      <c r="C43" s="29"/>
      <c r="D43" s="29"/>
      <c r="E43" s="28"/>
      <c r="F43" s="28"/>
      <c r="G43" s="28"/>
      <c r="H43" s="28"/>
      <c r="I43" s="29"/>
      <c r="J43" s="30"/>
      <c r="K43" s="28"/>
      <c r="L43" s="31"/>
      <c r="M43" s="28"/>
      <c r="N43" s="40"/>
      <c r="O43" s="41"/>
      <c r="P43" s="36"/>
      <c r="Q43" s="28"/>
      <c r="R43" s="28"/>
      <c r="S43" s="28"/>
      <c r="T43" s="28"/>
    </row>
    <row r="44" spans="1:20">
      <c r="A44" s="28"/>
      <c r="B44" s="29"/>
      <c r="C44" s="29"/>
      <c r="D44" s="29"/>
      <c r="E44" s="28"/>
      <c r="F44" s="28"/>
      <c r="G44" s="28"/>
      <c r="H44" s="28"/>
      <c r="I44" s="29"/>
      <c r="J44" s="30"/>
      <c r="K44" s="28"/>
      <c r="L44" s="31"/>
      <c r="M44" s="28"/>
      <c r="N44" s="40"/>
      <c r="O44" s="41"/>
      <c r="P44" s="36"/>
      <c r="Q44" s="28"/>
      <c r="R44" s="28"/>
      <c r="S44" s="28"/>
      <c r="T44" s="28"/>
    </row>
    <row r="45" spans="1:20">
      <c r="A45" s="28"/>
      <c r="B45" s="29"/>
      <c r="C45" s="29"/>
      <c r="D45" s="29"/>
      <c r="E45" s="28"/>
      <c r="F45" s="28"/>
      <c r="G45" s="28"/>
      <c r="H45" s="28"/>
      <c r="I45" s="29"/>
      <c r="J45" s="30"/>
      <c r="K45" s="28"/>
      <c r="L45" s="31"/>
      <c r="M45" s="28"/>
      <c r="N45" s="40"/>
      <c r="O45" s="41"/>
      <c r="P45" s="36"/>
      <c r="Q45" s="28"/>
      <c r="R45" s="28"/>
      <c r="S45" s="28"/>
      <c r="T45" s="28"/>
    </row>
    <row r="46" spans="1:20">
      <c r="A46" s="28"/>
      <c r="B46" s="29"/>
      <c r="C46" s="29"/>
      <c r="D46" s="29"/>
      <c r="E46" s="28"/>
      <c r="F46" s="28"/>
      <c r="G46" s="28"/>
      <c r="H46" s="28"/>
      <c r="I46" s="29"/>
      <c r="J46" s="30"/>
      <c r="K46" s="28"/>
      <c r="L46" s="31"/>
      <c r="M46" s="28"/>
      <c r="N46" s="40"/>
      <c r="O46" s="41"/>
      <c r="P46" s="36"/>
      <c r="Q46" s="28"/>
      <c r="R46" s="28"/>
      <c r="S46" s="28"/>
      <c r="T46" s="28"/>
    </row>
    <row r="47" spans="1:20">
      <c r="A47" s="28"/>
      <c r="B47" s="29"/>
      <c r="C47" s="29"/>
      <c r="D47" s="29"/>
      <c r="E47" s="28"/>
      <c r="F47" s="28"/>
      <c r="G47" s="28"/>
      <c r="H47" s="28"/>
      <c r="I47" s="29"/>
      <c r="J47" s="30"/>
      <c r="K47" s="28"/>
      <c r="L47" s="31"/>
      <c r="M47" s="28"/>
      <c r="N47" s="40"/>
      <c r="O47" s="41"/>
      <c r="P47" s="36"/>
      <c r="Q47" s="28"/>
      <c r="R47" s="28"/>
      <c r="S47" s="28"/>
      <c r="T47" s="28"/>
    </row>
    <row r="48" spans="1:20">
      <c r="A48" s="28"/>
      <c r="B48" s="29"/>
      <c r="C48" s="29"/>
      <c r="D48" s="29"/>
      <c r="E48" s="28"/>
      <c r="F48" s="28"/>
      <c r="G48" s="28"/>
      <c r="H48" s="28"/>
      <c r="I48" s="29"/>
      <c r="J48" s="30"/>
      <c r="K48" s="28"/>
      <c r="L48" s="31"/>
      <c r="M48" s="28"/>
      <c r="N48" s="40"/>
      <c r="O48" s="41"/>
      <c r="P48" s="36"/>
      <c r="Q48" s="28"/>
      <c r="R48" s="28"/>
      <c r="S48" s="28"/>
      <c r="T48" s="28"/>
    </row>
    <row r="49" spans="1:20">
      <c r="A49" s="28"/>
      <c r="B49" s="29"/>
      <c r="C49" s="29"/>
      <c r="D49" s="29"/>
      <c r="E49" s="28"/>
      <c r="F49" s="28"/>
      <c r="G49" s="28"/>
      <c r="H49" s="28"/>
      <c r="I49" s="29"/>
      <c r="J49" s="30"/>
      <c r="K49" s="28"/>
      <c r="L49" s="31"/>
      <c r="M49" s="28"/>
      <c r="N49" s="40"/>
      <c r="O49" s="41"/>
      <c r="P49" s="36"/>
      <c r="Q49" s="28"/>
      <c r="R49" s="28"/>
      <c r="S49" s="28"/>
      <c r="T49" s="28"/>
    </row>
    <row r="50" spans="1:20">
      <c r="A50" s="28"/>
      <c r="B50" s="29"/>
      <c r="C50" s="29"/>
      <c r="D50" s="29"/>
      <c r="E50" s="28"/>
      <c r="F50" s="28"/>
      <c r="G50" s="28"/>
      <c r="H50" s="28"/>
      <c r="I50" s="29"/>
      <c r="J50" s="30"/>
      <c r="K50" s="28"/>
      <c r="L50" s="31"/>
      <c r="M50" s="28"/>
      <c r="N50" s="40"/>
      <c r="O50" s="41"/>
      <c r="P50" s="36"/>
      <c r="Q50" s="28"/>
      <c r="R50" s="28"/>
      <c r="S50" s="28"/>
      <c r="T50" s="28"/>
    </row>
    <row r="51" spans="1:20">
      <c r="A51" s="28"/>
      <c r="B51" s="29"/>
      <c r="C51" s="29"/>
      <c r="D51" s="29"/>
      <c r="E51" s="28"/>
      <c r="F51" s="28"/>
      <c r="G51" s="28"/>
      <c r="H51" s="28"/>
      <c r="I51" s="29"/>
      <c r="J51" s="30"/>
      <c r="K51" s="28"/>
      <c r="L51" s="31"/>
      <c r="M51" s="28"/>
      <c r="N51" s="40"/>
      <c r="O51" s="41"/>
      <c r="P51" s="36"/>
      <c r="Q51" s="28"/>
      <c r="R51" s="28"/>
      <c r="S51" s="28"/>
      <c r="T51" s="28"/>
    </row>
    <row r="52" spans="1:20">
      <c r="A52" s="28"/>
      <c r="B52" s="29"/>
      <c r="C52" s="29"/>
      <c r="D52" s="29"/>
      <c r="E52" s="28"/>
      <c r="F52" s="28"/>
      <c r="G52" s="28"/>
      <c r="H52" s="28"/>
      <c r="I52" s="29"/>
      <c r="J52" s="30"/>
      <c r="K52" s="28"/>
      <c r="L52" s="31"/>
      <c r="M52" s="28"/>
      <c r="N52" s="40"/>
      <c r="O52" s="41"/>
      <c r="P52" s="36"/>
      <c r="Q52" s="28"/>
      <c r="R52" s="28"/>
      <c r="S52" s="28"/>
      <c r="T52" s="28"/>
    </row>
    <row r="53" spans="1:20">
      <c r="A53" s="28"/>
      <c r="B53" s="29"/>
      <c r="C53" s="29"/>
      <c r="D53" s="29"/>
      <c r="E53" s="28"/>
      <c r="F53" s="28"/>
      <c r="G53" s="28"/>
      <c r="H53" s="28"/>
      <c r="I53" s="29"/>
      <c r="J53" s="30"/>
      <c r="K53" s="28"/>
      <c r="L53" s="31"/>
      <c r="M53" s="28"/>
      <c r="N53" s="40"/>
      <c r="O53" s="41"/>
      <c r="P53" s="36"/>
      <c r="Q53" s="28"/>
      <c r="R53" s="28"/>
      <c r="S53" s="28"/>
      <c r="T53" s="28"/>
    </row>
    <row r="54" spans="1:20">
      <c r="A54" s="28"/>
      <c r="B54" s="29"/>
      <c r="C54" s="29"/>
      <c r="D54" s="29"/>
      <c r="E54" s="28"/>
      <c r="F54" s="28"/>
      <c r="G54" s="28"/>
      <c r="H54" s="28"/>
      <c r="I54" s="29"/>
      <c r="J54" s="30"/>
      <c r="K54" s="28"/>
      <c r="L54" s="31"/>
      <c r="M54" s="28"/>
      <c r="N54" s="40"/>
      <c r="O54" s="41"/>
      <c r="P54" s="36"/>
      <c r="Q54" s="28"/>
      <c r="R54" s="28"/>
      <c r="S54" s="28"/>
      <c r="T54" s="28"/>
    </row>
    <row r="55" spans="1:20" ht="15.75" thickBot="1">
      <c r="A55" s="28"/>
      <c r="B55" s="29"/>
      <c r="C55" s="29"/>
      <c r="D55" s="29"/>
      <c r="E55" s="28"/>
      <c r="F55" s="28"/>
      <c r="G55" s="28"/>
      <c r="H55" s="28"/>
      <c r="I55" s="29"/>
      <c r="J55" s="30"/>
      <c r="K55" s="28"/>
      <c r="L55" s="31"/>
      <c r="M55" s="28"/>
      <c r="N55" s="62"/>
      <c r="O55" s="41"/>
      <c r="P55" s="51"/>
      <c r="Q55" s="28"/>
      <c r="R55" s="28"/>
      <c r="S55" s="28"/>
      <c r="T55" s="28"/>
    </row>
    <row r="56" spans="1:20">
      <c r="A56" s="28"/>
      <c r="B56" s="29"/>
      <c r="C56" s="29"/>
      <c r="D56" s="29"/>
      <c r="E56" s="28"/>
      <c r="F56" s="28"/>
      <c r="G56" s="28"/>
      <c r="H56" s="28"/>
      <c r="J56" s="30"/>
      <c r="L56" s="31"/>
      <c r="M56" s="28"/>
      <c r="N56" s="29"/>
      <c r="O56" s="28"/>
      <c r="P56" s="28"/>
      <c r="Q56" s="28"/>
      <c r="R56" s="28"/>
      <c r="S56" s="28"/>
      <c r="T56" s="28"/>
    </row>
  </sheetData>
  <mergeCells count="20">
    <mergeCell ref="B2:G2"/>
    <mergeCell ref="J2:L2"/>
    <mergeCell ref="N2:P2"/>
    <mergeCell ref="R2:S2"/>
    <mergeCell ref="R4:R5"/>
    <mergeCell ref="S4:S5"/>
    <mergeCell ref="J6:L7"/>
    <mergeCell ref="B21:C21"/>
    <mergeCell ref="E21:F21"/>
    <mergeCell ref="B4:F5"/>
    <mergeCell ref="G4:G5"/>
    <mergeCell ref="J4:L5"/>
    <mergeCell ref="N4:P5"/>
    <mergeCell ref="C28:F29"/>
    <mergeCell ref="B6:D6"/>
    <mergeCell ref="E6:G6"/>
    <mergeCell ref="D22:D23"/>
    <mergeCell ref="G22:G23"/>
    <mergeCell ref="C25:E26"/>
    <mergeCell ref="F25:F26"/>
  </mergeCells>
  <phoneticPr fontId="0" type="noConversion"/>
  <conditionalFormatting sqref="C6:D23 B6 B8:B23">
    <cfRule type="expression" dxfId="35" priority="2" stopIfTrue="1">
      <formula>AND($H$4="Kg")</formula>
    </cfRule>
  </conditionalFormatting>
  <conditionalFormatting sqref="E6:G23">
    <cfRule type="expression" dxfId="34" priority="1" stopIfTrue="1">
      <formula>AND($H$4="Lb")</formula>
    </cfRule>
  </conditionalFormatting>
  <dataValidations count="12">
    <dataValidation type="list" allowBlank="1" showInputMessage="1" showErrorMessage="1" sqref="I25:I27 B13 E13 E15:E18 B15:B18">
      <formula1>"2,4,6,8,10,12,14,16,18,20"</formula1>
    </dataValidation>
    <dataValidation type="list" allowBlank="1" showInputMessage="1" showErrorMessage="1" sqref="I23:I24 E10:E12 B14 E14 B10:B12">
      <formula1>"0,2,4,6,8,10,12,14,16,18,20"</formula1>
    </dataValidation>
    <dataValidation type="list" allowBlank="1" showInputMessage="1" showErrorMessage="1" sqref="F25:F26">
      <formula1>"yes,no"</formula1>
    </dataValidation>
    <dataValidation type="list" allowBlank="1" showInputMessage="1" showErrorMessage="1" promptTitle="Weight of bar &amp; collars" prompt="select the weight of the Bar plus collars from the pulldown list" sqref="F22:F23">
      <formula1>"20,22.5,25,30,32.5"</formula1>
    </dataValidation>
    <dataValidation type="list" allowBlank="1" showInputMessage="1" showErrorMessage="1" promptTitle="Weight of bar &amp; collars" prompt="select the weight of the Bar plus collars from the pulldown list" sqref="C22:C23">
      <formula1>"45,50,55,65,70"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J9:J23 L9:L23">
      <formula1>INDIRECT($L$1)</formula1>
    </dataValidation>
    <dataValidation type="list" allowBlank="1" showInputMessage="1" showErrorMessage="1" promptTitle="Coefficients" prompt="Select Best Lifter Formula from list" sqref="J30:J31 L30:L31 K29:K30">
      <formula1>"Wilks,Schwartz,Schwartz/Malone,Glossbrenner"</formula1>
    </dataValidation>
    <dataValidation type="list" allowBlank="1" showInputMessage="1" showErrorMessage="1" promptTitle="Weigh In scales" prompt="Select Kg (kilograms) or Lb (pounds) depending on the scales used at weigh -in" sqref="J6:L7">
      <formula1>"BWt (Kg),BWt (Lb)"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P7:P55">
      <formula1>"1,2,3"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N7:N55">
      <formula1>OR(LEFT(N7,1)="M",LEFT(N7,1)="F")</formula1>
    </dataValidation>
    <dataValidation type="list" allowBlank="1" showInputMessage="1" showErrorMessage="1" sqref="G4:G5">
      <formula1>"Lb,Kg"</formula1>
    </dataValidation>
    <dataValidation type="list" allowBlank="1" showInputMessage="1" showErrorMessage="1" sqref="N2 C2">
      <formula1>$BB$1:$BF$1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1"/>
  <sheetViews>
    <sheetView tabSelected="1" workbookViewId="0">
      <selection activeCell="K2" sqref="K2"/>
    </sheetView>
  </sheetViews>
  <sheetFormatPr defaultRowHeight="15"/>
  <cols>
    <col min="2" max="2" width="21.5703125" bestFit="1" customWidth="1"/>
    <col min="7" max="7" width="14.28515625" customWidth="1"/>
    <col min="9" max="9" width="12.5703125" customWidth="1"/>
    <col min="12" max="12" width="21.5703125" bestFit="1" customWidth="1"/>
  </cols>
  <sheetData>
    <row r="1" spans="1:16">
      <c r="A1" t="s">
        <v>86</v>
      </c>
      <c r="B1" t="s">
        <v>87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93</v>
      </c>
      <c r="I1" t="s">
        <v>150</v>
      </c>
      <c r="L1" s="4" t="s">
        <v>151</v>
      </c>
    </row>
    <row r="2" spans="1:16">
      <c r="A2" t="s">
        <v>48</v>
      </c>
      <c r="B2" t="s">
        <v>55</v>
      </c>
      <c r="C2">
        <v>30</v>
      </c>
      <c r="D2" t="s">
        <v>6</v>
      </c>
      <c r="E2">
        <v>115.4</v>
      </c>
      <c r="F2">
        <v>125</v>
      </c>
      <c r="G2">
        <v>0.55574999999999997</v>
      </c>
      <c r="H2">
        <v>610</v>
      </c>
      <c r="I2">
        <f t="shared" ref="I2:I33" si="0">H2*G2</f>
        <v>339.00749999999999</v>
      </c>
      <c r="K2">
        <v>1</v>
      </c>
      <c r="L2" t="s">
        <v>1</v>
      </c>
      <c r="M2">
        <v>0.99029999999999996</v>
      </c>
      <c r="N2">
        <v>367.5</v>
      </c>
      <c r="O2">
        <f>N2*M2</f>
        <v>363.93525</v>
      </c>
      <c r="P2" t="s">
        <v>68</v>
      </c>
    </row>
    <row r="3" spans="1:16">
      <c r="A3" t="s">
        <v>0</v>
      </c>
      <c r="B3" t="s">
        <v>17</v>
      </c>
      <c r="C3">
        <v>23</v>
      </c>
      <c r="D3" t="s">
        <v>4</v>
      </c>
      <c r="E3">
        <v>111.2</v>
      </c>
      <c r="F3">
        <v>125</v>
      </c>
      <c r="G3">
        <v>0.56085000000000007</v>
      </c>
      <c r="H3">
        <v>690</v>
      </c>
      <c r="I3">
        <f t="shared" si="0"/>
        <v>386.98650000000004</v>
      </c>
    </row>
    <row r="4" spans="1:16">
      <c r="A4" t="s">
        <v>26</v>
      </c>
      <c r="B4" t="s">
        <v>33</v>
      </c>
      <c r="C4">
        <v>21</v>
      </c>
      <c r="D4" t="s">
        <v>4</v>
      </c>
      <c r="E4">
        <v>155</v>
      </c>
      <c r="F4" t="s">
        <v>67</v>
      </c>
      <c r="G4">
        <v>0.51929999999999998</v>
      </c>
      <c r="H4">
        <v>835</v>
      </c>
      <c r="I4">
        <f t="shared" si="0"/>
        <v>433.6155</v>
      </c>
      <c r="L4" s="4" t="s">
        <v>149</v>
      </c>
    </row>
    <row r="5" spans="1:16">
      <c r="A5" t="s">
        <v>0</v>
      </c>
      <c r="B5" t="s">
        <v>22</v>
      </c>
      <c r="C5">
        <v>17</v>
      </c>
      <c r="D5" t="s">
        <v>2</v>
      </c>
      <c r="E5">
        <v>59.8</v>
      </c>
      <c r="F5">
        <v>60</v>
      </c>
      <c r="G5">
        <v>0.99029999999999996</v>
      </c>
      <c r="H5">
        <v>0</v>
      </c>
      <c r="I5">
        <f t="shared" si="0"/>
        <v>0</v>
      </c>
      <c r="K5">
        <v>1</v>
      </c>
      <c r="L5" t="s">
        <v>31</v>
      </c>
      <c r="M5">
        <v>0.65024999999999999</v>
      </c>
      <c r="N5">
        <v>717.5</v>
      </c>
      <c r="O5">
        <f>N5*M5</f>
        <v>466.55437499999999</v>
      </c>
      <c r="P5" t="s">
        <v>69</v>
      </c>
    </row>
    <row r="6" spans="1:16">
      <c r="A6" t="s">
        <v>48</v>
      </c>
      <c r="B6" t="s">
        <v>50</v>
      </c>
      <c r="C6">
        <v>25</v>
      </c>
      <c r="D6" t="s">
        <v>6</v>
      </c>
      <c r="E6">
        <v>135</v>
      </c>
      <c r="F6">
        <v>140</v>
      </c>
      <c r="G6">
        <v>0.53550000000000009</v>
      </c>
      <c r="H6">
        <v>927.5</v>
      </c>
      <c r="I6">
        <f t="shared" si="0"/>
        <v>496.6762500000001</v>
      </c>
      <c r="K6">
        <v>2</v>
      </c>
      <c r="L6" t="s">
        <v>33</v>
      </c>
      <c r="M6">
        <v>0.51929999999999998</v>
      </c>
      <c r="N6">
        <v>835</v>
      </c>
      <c r="O6">
        <f>N6*M6</f>
        <v>433.6155</v>
      </c>
      <c r="P6" t="s">
        <v>70</v>
      </c>
    </row>
    <row r="7" spans="1:16">
      <c r="A7" t="s">
        <v>0</v>
      </c>
      <c r="B7" t="s">
        <v>21</v>
      </c>
      <c r="C7">
        <v>43</v>
      </c>
      <c r="D7" t="s">
        <v>8</v>
      </c>
      <c r="E7">
        <v>99.4</v>
      </c>
      <c r="F7">
        <v>100</v>
      </c>
      <c r="G7">
        <v>0.58279999999999998</v>
      </c>
      <c r="H7">
        <v>0</v>
      </c>
      <c r="I7">
        <f t="shared" si="0"/>
        <v>0</v>
      </c>
      <c r="K7">
        <v>3</v>
      </c>
      <c r="L7" t="s">
        <v>14</v>
      </c>
      <c r="M7">
        <v>0.65024999999999999</v>
      </c>
      <c r="N7">
        <v>642.5</v>
      </c>
      <c r="O7">
        <f>N7*M7</f>
        <v>417.78562499999998</v>
      </c>
      <c r="P7" t="s">
        <v>71</v>
      </c>
    </row>
    <row r="8" spans="1:16">
      <c r="A8" t="s">
        <v>48</v>
      </c>
      <c r="B8" t="s">
        <v>57</v>
      </c>
      <c r="C8">
        <v>28</v>
      </c>
      <c r="D8" t="s">
        <v>6</v>
      </c>
      <c r="E8">
        <v>123.2</v>
      </c>
      <c r="F8">
        <v>125</v>
      </c>
      <c r="G8">
        <v>0.54754999999999998</v>
      </c>
      <c r="H8">
        <v>0</v>
      </c>
      <c r="I8">
        <f t="shared" si="0"/>
        <v>0</v>
      </c>
    </row>
    <row r="9" spans="1:16">
      <c r="A9" t="s">
        <v>26</v>
      </c>
      <c r="B9" t="s">
        <v>45</v>
      </c>
      <c r="C9">
        <v>48</v>
      </c>
      <c r="D9" t="s">
        <v>8</v>
      </c>
      <c r="E9">
        <v>109</v>
      </c>
      <c r="F9">
        <v>110</v>
      </c>
      <c r="G9">
        <v>0.56394999999999995</v>
      </c>
      <c r="H9">
        <v>0</v>
      </c>
      <c r="I9">
        <f t="shared" si="0"/>
        <v>0</v>
      </c>
      <c r="L9" s="4" t="s">
        <v>148</v>
      </c>
    </row>
    <row r="10" spans="1:16">
      <c r="A10" t="s">
        <v>0</v>
      </c>
      <c r="B10" t="s">
        <v>12</v>
      </c>
      <c r="C10">
        <v>30</v>
      </c>
      <c r="D10" t="s">
        <v>6</v>
      </c>
      <c r="E10">
        <v>98.8</v>
      </c>
      <c r="F10">
        <v>100</v>
      </c>
      <c r="G10">
        <v>0.58430000000000004</v>
      </c>
      <c r="H10">
        <v>0</v>
      </c>
      <c r="I10">
        <f t="shared" si="0"/>
        <v>0</v>
      </c>
      <c r="K10">
        <v>1</v>
      </c>
      <c r="L10" t="s">
        <v>36</v>
      </c>
      <c r="M10">
        <v>0.56455</v>
      </c>
      <c r="N10">
        <v>945</v>
      </c>
      <c r="O10">
        <f>N10*M10</f>
        <v>533.49974999999995</v>
      </c>
      <c r="P10" t="s">
        <v>72</v>
      </c>
    </row>
    <row r="11" spans="1:16">
      <c r="A11" t="s">
        <v>0</v>
      </c>
      <c r="B11" t="s">
        <v>15</v>
      </c>
      <c r="C11">
        <v>19</v>
      </c>
      <c r="D11" t="s">
        <v>6</v>
      </c>
      <c r="E11">
        <v>89.4</v>
      </c>
      <c r="F11">
        <v>90</v>
      </c>
      <c r="G11">
        <v>0.61414999999999997</v>
      </c>
      <c r="H11">
        <v>0</v>
      </c>
      <c r="I11">
        <f t="shared" si="0"/>
        <v>0</v>
      </c>
      <c r="K11">
        <v>2</v>
      </c>
      <c r="L11" t="s">
        <v>49</v>
      </c>
      <c r="M11">
        <v>0.56780000000000008</v>
      </c>
      <c r="N11">
        <v>920</v>
      </c>
      <c r="O11">
        <f>N11*M11</f>
        <v>522.37600000000009</v>
      </c>
      <c r="P11" t="s">
        <v>73</v>
      </c>
    </row>
    <row r="12" spans="1:16">
      <c r="A12" t="s">
        <v>26</v>
      </c>
      <c r="B12" t="s">
        <v>44</v>
      </c>
      <c r="C12">
        <v>43</v>
      </c>
      <c r="D12" t="s">
        <v>8</v>
      </c>
      <c r="E12">
        <v>100</v>
      </c>
      <c r="F12">
        <v>100</v>
      </c>
      <c r="G12">
        <v>0.58130000000000004</v>
      </c>
      <c r="H12">
        <v>0</v>
      </c>
      <c r="I12">
        <f t="shared" si="0"/>
        <v>0</v>
      </c>
      <c r="K12">
        <v>3</v>
      </c>
      <c r="L12" t="s">
        <v>13</v>
      </c>
      <c r="M12">
        <v>0.64510000000000001</v>
      </c>
      <c r="N12">
        <v>730</v>
      </c>
      <c r="O12">
        <f>N12*M12</f>
        <v>470.923</v>
      </c>
      <c r="P12" t="s">
        <v>74</v>
      </c>
    </row>
    <row r="13" spans="1:16">
      <c r="A13" t="s">
        <v>26</v>
      </c>
      <c r="B13" t="s">
        <v>35</v>
      </c>
      <c r="C13">
        <v>27</v>
      </c>
      <c r="D13" t="s">
        <v>6</v>
      </c>
      <c r="E13">
        <v>95.4</v>
      </c>
      <c r="F13">
        <v>100</v>
      </c>
      <c r="G13">
        <v>0.59375</v>
      </c>
      <c r="H13">
        <v>775</v>
      </c>
      <c r="I13">
        <f t="shared" si="0"/>
        <v>460.15625</v>
      </c>
      <c r="M13">
        <v>0.6482</v>
      </c>
      <c r="N13">
        <v>682.5</v>
      </c>
      <c r="O13">
        <f>N13*M13</f>
        <v>442.3965</v>
      </c>
    </row>
    <row r="14" spans="1:16">
      <c r="A14" t="s">
        <v>48</v>
      </c>
      <c r="B14" t="s">
        <v>61</v>
      </c>
      <c r="C14">
        <v>21</v>
      </c>
      <c r="D14" t="s">
        <v>6</v>
      </c>
      <c r="E14">
        <v>88.8</v>
      </c>
      <c r="F14">
        <v>90</v>
      </c>
      <c r="G14">
        <v>0.61644999999999994</v>
      </c>
      <c r="H14">
        <v>0</v>
      </c>
      <c r="I14">
        <f t="shared" si="0"/>
        <v>0</v>
      </c>
      <c r="L14" s="4" t="s">
        <v>147</v>
      </c>
    </row>
    <row r="15" spans="1:16">
      <c r="A15" t="s">
        <v>26</v>
      </c>
      <c r="B15" t="s">
        <v>38</v>
      </c>
      <c r="C15">
        <v>32</v>
      </c>
      <c r="D15" t="s">
        <v>6</v>
      </c>
      <c r="E15">
        <v>131</v>
      </c>
      <c r="F15">
        <v>140</v>
      </c>
      <c r="G15">
        <v>0.5393</v>
      </c>
      <c r="H15">
        <v>0</v>
      </c>
      <c r="I15">
        <f t="shared" si="0"/>
        <v>0</v>
      </c>
      <c r="K15">
        <v>1</v>
      </c>
      <c r="L15" t="s">
        <v>51</v>
      </c>
      <c r="M15">
        <v>0.51990000000000003</v>
      </c>
      <c r="N15">
        <v>1107.5</v>
      </c>
      <c r="O15">
        <f>N15*M15</f>
        <v>575.78925000000004</v>
      </c>
      <c r="P15" t="s">
        <v>75</v>
      </c>
    </row>
    <row r="16" spans="1:16">
      <c r="A16" t="s">
        <v>0</v>
      </c>
      <c r="B16" t="s">
        <v>5</v>
      </c>
      <c r="C16">
        <v>51</v>
      </c>
      <c r="D16" t="s">
        <v>6</v>
      </c>
      <c r="E16">
        <v>88.8</v>
      </c>
      <c r="F16">
        <v>90</v>
      </c>
      <c r="G16">
        <v>0.61644999999999994</v>
      </c>
      <c r="H16">
        <v>345</v>
      </c>
      <c r="I16">
        <f t="shared" si="0"/>
        <v>212.67524999999998</v>
      </c>
      <c r="K16">
        <v>2</v>
      </c>
      <c r="L16" t="s">
        <v>34</v>
      </c>
      <c r="M16">
        <v>0.6482</v>
      </c>
      <c r="N16">
        <v>835</v>
      </c>
      <c r="O16">
        <f>N16*M16</f>
        <v>541.24699999999996</v>
      </c>
      <c r="P16" t="s">
        <v>76</v>
      </c>
    </row>
    <row r="17" spans="1:16">
      <c r="A17" t="s">
        <v>26</v>
      </c>
      <c r="B17" t="s">
        <v>41</v>
      </c>
      <c r="C17">
        <v>57</v>
      </c>
      <c r="D17" t="s">
        <v>8</v>
      </c>
      <c r="E17">
        <v>108</v>
      </c>
      <c r="F17">
        <v>110</v>
      </c>
      <c r="G17">
        <v>0.5655</v>
      </c>
      <c r="H17">
        <v>0</v>
      </c>
      <c r="I17">
        <f t="shared" si="0"/>
        <v>0</v>
      </c>
      <c r="K17">
        <v>3</v>
      </c>
      <c r="L17" t="s">
        <v>53</v>
      </c>
      <c r="M17">
        <v>0.56394999999999995</v>
      </c>
      <c r="N17">
        <v>912.5</v>
      </c>
      <c r="O17">
        <f>N17*M17</f>
        <v>514.604375</v>
      </c>
      <c r="P17" t="s">
        <v>77</v>
      </c>
    </row>
    <row r="18" spans="1:16">
      <c r="A18" t="s">
        <v>48</v>
      </c>
      <c r="B18" t="s">
        <v>60</v>
      </c>
      <c r="C18">
        <v>22</v>
      </c>
      <c r="D18" t="s">
        <v>4</v>
      </c>
      <c r="E18">
        <v>96.8</v>
      </c>
      <c r="F18">
        <v>100</v>
      </c>
      <c r="G18">
        <v>0.58965000000000001</v>
      </c>
      <c r="H18">
        <v>0</v>
      </c>
      <c r="I18">
        <f t="shared" si="0"/>
        <v>0</v>
      </c>
    </row>
    <row r="19" spans="1:16">
      <c r="A19" t="s">
        <v>0</v>
      </c>
      <c r="B19" t="s">
        <v>14</v>
      </c>
      <c r="C19">
        <v>19</v>
      </c>
      <c r="D19" t="s">
        <v>4</v>
      </c>
      <c r="E19">
        <v>81.400000000000006</v>
      </c>
      <c r="F19">
        <v>82.5</v>
      </c>
      <c r="G19">
        <v>0.65024999999999999</v>
      </c>
      <c r="H19">
        <v>642.5</v>
      </c>
      <c r="I19">
        <f t="shared" si="0"/>
        <v>417.78562499999998</v>
      </c>
      <c r="L19" s="4" t="s">
        <v>80</v>
      </c>
    </row>
    <row r="20" spans="1:16">
      <c r="A20" t="s">
        <v>26</v>
      </c>
      <c r="B20" t="s">
        <v>43</v>
      </c>
      <c r="C20">
        <v>41</v>
      </c>
      <c r="D20" t="s">
        <v>8</v>
      </c>
      <c r="E20">
        <v>124.4</v>
      </c>
      <c r="F20">
        <v>125</v>
      </c>
      <c r="G20">
        <v>0.54615000000000002</v>
      </c>
      <c r="H20">
        <v>0</v>
      </c>
      <c r="I20">
        <f t="shared" si="0"/>
        <v>0</v>
      </c>
      <c r="K20">
        <v>1</v>
      </c>
      <c r="L20" t="s">
        <v>62</v>
      </c>
      <c r="M20">
        <v>295</v>
      </c>
      <c r="N20">
        <v>0.5524</v>
      </c>
      <c r="O20">
        <f>N20*M20</f>
        <v>162.958</v>
      </c>
      <c r="P20" t="s">
        <v>141</v>
      </c>
    </row>
    <row r="21" spans="1:16">
      <c r="A21" t="s">
        <v>48</v>
      </c>
      <c r="B21" t="s">
        <v>52</v>
      </c>
      <c r="C21">
        <v>30</v>
      </c>
      <c r="D21" t="s">
        <v>6</v>
      </c>
      <c r="E21">
        <v>109.6</v>
      </c>
      <c r="F21">
        <v>110</v>
      </c>
      <c r="G21">
        <v>0.56309999999999993</v>
      </c>
      <c r="H21">
        <v>0</v>
      </c>
      <c r="I21">
        <f t="shared" si="0"/>
        <v>0</v>
      </c>
      <c r="K21">
        <v>2</v>
      </c>
      <c r="L21" t="s">
        <v>78</v>
      </c>
      <c r="M21">
        <v>265</v>
      </c>
      <c r="N21">
        <v>0.54069999999999996</v>
      </c>
      <c r="O21">
        <f>N21*M21</f>
        <v>143.28549999999998</v>
      </c>
      <c r="P21" t="s">
        <v>142</v>
      </c>
    </row>
    <row r="22" spans="1:16">
      <c r="A22" t="s">
        <v>48</v>
      </c>
      <c r="B22" t="s">
        <v>65</v>
      </c>
      <c r="C22">
        <v>33</v>
      </c>
      <c r="D22" t="s">
        <v>6</v>
      </c>
      <c r="E22">
        <v>106.8</v>
      </c>
      <c r="F22">
        <v>110</v>
      </c>
      <c r="G22">
        <v>0.56745000000000001</v>
      </c>
      <c r="H22">
        <v>0</v>
      </c>
      <c r="I22">
        <f t="shared" si="0"/>
        <v>0</v>
      </c>
      <c r="K22">
        <v>1</v>
      </c>
      <c r="L22" t="s">
        <v>63</v>
      </c>
      <c r="M22">
        <v>305</v>
      </c>
      <c r="N22">
        <v>0.58379999999999999</v>
      </c>
      <c r="O22">
        <f>N22*M22</f>
        <v>178.059</v>
      </c>
      <c r="P22" t="s">
        <v>85</v>
      </c>
    </row>
    <row r="23" spans="1:16">
      <c r="A23" t="s">
        <v>26</v>
      </c>
      <c r="B23" t="s">
        <v>42</v>
      </c>
      <c r="C23">
        <v>24</v>
      </c>
      <c r="D23" t="s">
        <v>6</v>
      </c>
      <c r="E23">
        <v>87.4</v>
      </c>
      <c r="F23">
        <v>90</v>
      </c>
      <c r="G23">
        <v>0.62214999999999998</v>
      </c>
      <c r="H23">
        <v>0</v>
      </c>
      <c r="I23">
        <f t="shared" si="0"/>
        <v>0</v>
      </c>
      <c r="K23">
        <v>2</v>
      </c>
      <c r="L23" t="s">
        <v>47</v>
      </c>
      <c r="M23">
        <v>252.5</v>
      </c>
      <c r="N23">
        <v>0.51190000000000002</v>
      </c>
      <c r="O23">
        <f>N23*M23</f>
        <v>129.25475</v>
      </c>
      <c r="P23" t="s">
        <v>84</v>
      </c>
    </row>
    <row r="24" spans="1:16">
      <c r="A24" t="s">
        <v>26</v>
      </c>
      <c r="B24" t="s">
        <v>27</v>
      </c>
      <c r="C24">
        <v>32</v>
      </c>
      <c r="D24" t="s">
        <v>6</v>
      </c>
      <c r="E24">
        <v>136.80000000000001</v>
      </c>
      <c r="F24">
        <v>140</v>
      </c>
      <c r="G24">
        <v>0.53384999999999994</v>
      </c>
      <c r="H24">
        <v>0</v>
      </c>
      <c r="I24">
        <f t="shared" si="0"/>
        <v>0</v>
      </c>
      <c r="K24">
        <v>3</v>
      </c>
      <c r="L24" t="s">
        <v>79</v>
      </c>
      <c r="M24">
        <v>215</v>
      </c>
      <c r="N24">
        <v>0.54615000000000002</v>
      </c>
      <c r="O24">
        <f>N24*M24</f>
        <v>117.42225000000001</v>
      </c>
      <c r="P24" t="s">
        <v>83</v>
      </c>
    </row>
    <row r="25" spans="1:16">
      <c r="A25" t="s">
        <v>26</v>
      </c>
      <c r="B25" t="s">
        <v>40</v>
      </c>
      <c r="C25">
        <v>31</v>
      </c>
      <c r="D25" t="s">
        <v>6</v>
      </c>
      <c r="E25">
        <v>109.2</v>
      </c>
      <c r="F25">
        <v>110</v>
      </c>
      <c r="G25">
        <v>0.56364999999999998</v>
      </c>
      <c r="H25">
        <v>0</v>
      </c>
      <c r="I25">
        <f t="shared" si="0"/>
        <v>0</v>
      </c>
    </row>
    <row r="26" spans="1:16">
      <c r="A26" t="s">
        <v>0</v>
      </c>
      <c r="B26" t="s">
        <v>11</v>
      </c>
      <c r="C26">
        <v>30</v>
      </c>
      <c r="D26" t="s">
        <v>6</v>
      </c>
      <c r="E26">
        <v>109.4</v>
      </c>
      <c r="F26">
        <v>110</v>
      </c>
      <c r="G26">
        <v>0.56335000000000002</v>
      </c>
      <c r="H26">
        <v>0</v>
      </c>
      <c r="I26">
        <f t="shared" si="0"/>
        <v>0</v>
      </c>
      <c r="L26" s="4" t="s">
        <v>81</v>
      </c>
    </row>
    <row r="27" spans="1:16">
      <c r="A27" t="s">
        <v>0</v>
      </c>
      <c r="B27" t="s">
        <v>25</v>
      </c>
      <c r="C27">
        <v>54</v>
      </c>
      <c r="D27" t="s">
        <v>8</v>
      </c>
      <c r="E27">
        <v>111.8</v>
      </c>
      <c r="F27">
        <v>125</v>
      </c>
      <c r="G27">
        <v>0.56004999999999994</v>
      </c>
      <c r="H27">
        <v>0</v>
      </c>
      <c r="I27">
        <f t="shared" si="0"/>
        <v>0</v>
      </c>
      <c r="K27">
        <v>1</v>
      </c>
      <c r="L27" t="s">
        <v>143</v>
      </c>
      <c r="M27">
        <v>425</v>
      </c>
      <c r="N27">
        <v>0.58430000000000004</v>
      </c>
      <c r="O27">
        <f>N27*M27</f>
        <v>248.32750000000001</v>
      </c>
      <c r="P27" t="s">
        <v>144</v>
      </c>
    </row>
    <row r="28" spans="1:16">
      <c r="A28" t="s">
        <v>0</v>
      </c>
      <c r="B28" t="s">
        <v>16</v>
      </c>
      <c r="C28">
        <v>24</v>
      </c>
      <c r="D28" t="s">
        <v>6</v>
      </c>
      <c r="E28">
        <v>96</v>
      </c>
      <c r="F28">
        <v>100</v>
      </c>
      <c r="G28">
        <v>0.59194999999999998</v>
      </c>
      <c r="H28">
        <v>680</v>
      </c>
      <c r="I28">
        <f t="shared" si="0"/>
        <v>402.52600000000001</v>
      </c>
      <c r="K28">
        <v>2</v>
      </c>
      <c r="L28" t="s">
        <v>82</v>
      </c>
      <c r="M28">
        <v>387.5</v>
      </c>
      <c r="N28">
        <v>0.61414999999999997</v>
      </c>
      <c r="O28">
        <f>N28*M28</f>
        <v>237.983125</v>
      </c>
      <c r="P28" t="s">
        <v>146</v>
      </c>
    </row>
    <row r="29" spans="1:16">
      <c r="A29" t="s">
        <v>0</v>
      </c>
      <c r="B29" t="s">
        <v>7</v>
      </c>
      <c r="C29">
        <v>50</v>
      </c>
      <c r="D29" t="s">
        <v>8</v>
      </c>
      <c r="E29">
        <v>81.8</v>
      </c>
      <c r="F29">
        <v>82.5</v>
      </c>
      <c r="G29">
        <v>0.6482</v>
      </c>
      <c r="H29">
        <v>682.5</v>
      </c>
      <c r="I29">
        <f t="shared" si="0"/>
        <v>442.3965</v>
      </c>
      <c r="K29">
        <v>3</v>
      </c>
      <c r="L29" t="s">
        <v>27</v>
      </c>
      <c r="M29">
        <v>440</v>
      </c>
      <c r="N29">
        <v>0.53384999999999994</v>
      </c>
      <c r="O29">
        <f>N29*M29</f>
        <v>234.89399999999998</v>
      </c>
      <c r="P29" t="s">
        <v>145</v>
      </c>
    </row>
    <row r="30" spans="1:16">
      <c r="A30" t="s">
        <v>48</v>
      </c>
      <c r="B30" t="s">
        <v>49</v>
      </c>
      <c r="C30">
        <v>42</v>
      </c>
      <c r="D30" t="s">
        <v>8</v>
      </c>
      <c r="E30">
        <v>106.6</v>
      </c>
      <c r="F30">
        <v>110</v>
      </c>
      <c r="G30">
        <v>0.56780000000000008</v>
      </c>
      <c r="H30">
        <v>920</v>
      </c>
      <c r="I30">
        <f t="shared" si="0"/>
        <v>522.37600000000009</v>
      </c>
      <c r="L30" t="s">
        <v>5</v>
      </c>
      <c r="M30">
        <v>345</v>
      </c>
      <c r="N30">
        <v>0.61644999999999994</v>
      </c>
      <c r="O30">
        <f>N30*M30</f>
        <v>212.67524999999998</v>
      </c>
    </row>
    <row r="31" spans="1:16">
      <c r="A31" t="s">
        <v>26</v>
      </c>
      <c r="B31" t="s">
        <v>46</v>
      </c>
      <c r="C31">
        <v>21</v>
      </c>
      <c r="D31" t="s">
        <v>6</v>
      </c>
      <c r="E31">
        <v>129.6</v>
      </c>
      <c r="F31">
        <v>140</v>
      </c>
      <c r="G31">
        <v>0.54069999999999996</v>
      </c>
      <c r="H31">
        <v>0</v>
      </c>
      <c r="I31">
        <f t="shared" si="0"/>
        <v>0</v>
      </c>
    </row>
    <row r="32" spans="1:16">
      <c r="A32" t="s">
        <v>26</v>
      </c>
      <c r="B32" t="s">
        <v>28</v>
      </c>
      <c r="C32">
        <v>33</v>
      </c>
      <c r="D32" t="s">
        <v>6</v>
      </c>
      <c r="E32">
        <v>80.400000000000006</v>
      </c>
      <c r="F32">
        <v>82.5</v>
      </c>
      <c r="G32">
        <v>0.65565000000000007</v>
      </c>
      <c r="H32">
        <v>0</v>
      </c>
      <c r="I32">
        <f t="shared" si="0"/>
        <v>0</v>
      </c>
    </row>
    <row r="33" spans="1:9">
      <c r="A33" t="s">
        <v>0</v>
      </c>
      <c r="B33" t="s">
        <v>20</v>
      </c>
      <c r="C33">
        <v>34</v>
      </c>
      <c r="D33" t="s">
        <v>6</v>
      </c>
      <c r="E33">
        <v>106.8</v>
      </c>
      <c r="F33">
        <v>110</v>
      </c>
      <c r="G33">
        <v>0.56745000000000001</v>
      </c>
      <c r="H33">
        <v>0</v>
      </c>
      <c r="I33">
        <f t="shared" si="0"/>
        <v>0</v>
      </c>
    </row>
    <row r="34" spans="1:9">
      <c r="A34" t="s">
        <v>26</v>
      </c>
      <c r="B34" t="s">
        <v>29</v>
      </c>
      <c r="C34">
        <v>24</v>
      </c>
      <c r="D34" t="s">
        <v>6</v>
      </c>
      <c r="E34">
        <v>108.8</v>
      </c>
      <c r="F34">
        <v>110</v>
      </c>
      <c r="G34">
        <v>0.56425000000000003</v>
      </c>
      <c r="H34">
        <v>772.5</v>
      </c>
      <c r="I34">
        <f t="shared" ref="I34:I61" si="1">H34*G34</f>
        <v>435.88312500000001</v>
      </c>
    </row>
    <row r="35" spans="1:9">
      <c r="A35" t="s">
        <v>0</v>
      </c>
      <c r="B35" t="s">
        <v>24</v>
      </c>
      <c r="C35">
        <v>25</v>
      </c>
      <c r="D35" t="s">
        <v>2</v>
      </c>
      <c r="E35">
        <v>81.400000000000006</v>
      </c>
      <c r="F35">
        <v>82.5</v>
      </c>
      <c r="G35">
        <v>0.79310000000000003</v>
      </c>
      <c r="H35">
        <v>0</v>
      </c>
      <c r="I35">
        <f t="shared" si="1"/>
        <v>0</v>
      </c>
    </row>
    <row r="36" spans="1:9">
      <c r="A36" t="s">
        <v>48</v>
      </c>
      <c r="B36" t="s">
        <v>51</v>
      </c>
      <c r="C36">
        <v>21</v>
      </c>
      <c r="D36" t="s">
        <v>6</v>
      </c>
      <c r="E36">
        <v>154.19999999999999</v>
      </c>
      <c r="F36" t="s">
        <v>67</v>
      </c>
      <c r="G36">
        <v>0.51990000000000003</v>
      </c>
      <c r="H36">
        <v>1107.5</v>
      </c>
      <c r="I36">
        <f t="shared" si="1"/>
        <v>575.78925000000004</v>
      </c>
    </row>
    <row r="37" spans="1:9">
      <c r="A37" t="s">
        <v>26</v>
      </c>
      <c r="B37" t="s">
        <v>37</v>
      </c>
      <c r="C37">
        <v>33</v>
      </c>
      <c r="D37" t="s">
        <v>6</v>
      </c>
      <c r="E37">
        <v>109.4</v>
      </c>
      <c r="F37">
        <v>110</v>
      </c>
      <c r="G37">
        <v>0.56335000000000002</v>
      </c>
      <c r="H37">
        <v>895</v>
      </c>
      <c r="I37">
        <f t="shared" si="1"/>
        <v>504.19825000000003</v>
      </c>
    </row>
    <row r="38" spans="1:9">
      <c r="A38" t="s">
        <v>0</v>
      </c>
      <c r="B38" t="s">
        <v>9</v>
      </c>
      <c r="C38">
        <v>25</v>
      </c>
      <c r="D38" t="s">
        <v>6</v>
      </c>
      <c r="E38">
        <v>98.2</v>
      </c>
      <c r="F38">
        <v>100</v>
      </c>
      <c r="G38">
        <v>0.58584999999999998</v>
      </c>
      <c r="H38">
        <v>597.5</v>
      </c>
      <c r="I38">
        <f t="shared" si="1"/>
        <v>350.04537499999998</v>
      </c>
    </row>
    <row r="39" spans="1:9">
      <c r="A39" t="s">
        <v>0</v>
      </c>
      <c r="B39" t="s">
        <v>18</v>
      </c>
      <c r="C39">
        <v>28</v>
      </c>
      <c r="D39" t="s">
        <v>6</v>
      </c>
      <c r="E39">
        <v>113.6</v>
      </c>
      <c r="F39">
        <v>125</v>
      </c>
      <c r="G39">
        <v>0.55784999999999996</v>
      </c>
      <c r="H39">
        <v>792.5</v>
      </c>
      <c r="I39">
        <f t="shared" si="1"/>
        <v>442.09612499999997</v>
      </c>
    </row>
    <row r="40" spans="1:9">
      <c r="A40" t="s">
        <v>48</v>
      </c>
      <c r="B40" t="s">
        <v>54</v>
      </c>
      <c r="C40">
        <v>34</v>
      </c>
      <c r="D40" t="s">
        <v>6</v>
      </c>
      <c r="E40">
        <v>90</v>
      </c>
      <c r="F40">
        <v>90</v>
      </c>
      <c r="G40">
        <v>0.61185</v>
      </c>
      <c r="H40">
        <v>0</v>
      </c>
      <c r="I40">
        <f t="shared" si="1"/>
        <v>0</v>
      </c>
    </row>
    <row r="41" spans="1:9">
      <c r="A41" t="s">
        <v>26</v>
      </c>
      <c r="B41" t="s">
        <v>39</v>
      </c>
      <c r="C41">
        <v>24</v>
      </c>
      <c r="D41" t="s">
        <v>6</v>
      </c>
      <c r="E41">
        <v>81.400000000000006</v>
      </c>
      <c r="F41">
        <v>82.5</v>
      </c>
      <c r="G41">
        <v>0.65024999999999999</v>
      </c>
      <c r="H41">
        <v>0</v>
      </c>
      <c r="I41">
        <f t="shared" si="1"/>
        <v>0</v>
      </c>
    </row>
    <row r="42" spans="1:9">
      <c r="A42" t="s">
        <v>26</v>
      </c>
      <c r="B42" t="s">
        <v>36</v>
      </c>
      <c r="C42">
        <v>48</v>
      </c>
      <c r="D42" t="s">
        <v>8</v>
      </c>
      <c r="E42">
        <v>108.6</v>
      </c>
      <c r="F42">
        <v>110</v>
      </c>
      <c r="G42">
        <v>0.56455</v>
      </c>
      <c r="H42">
        <v>945</v>
      </c>
      <c r="I42">
        <f t="shared" si="1"/>
        <v>533.49974999999995</v>
      </c>
    </row>
    <row r="43" spans="1:9">
      <c r="A43" t="s">
        <v>48</v>
      </c>
      <c r="B43" t="s">
        <v>59</v>
      </c>
      <c r="C43">
        <v>24</v>
      </c>
      <c r="D43" t="s">
        <v>6</v>
      </c>
      <c r="E43">
        <v>108</v>
      </c>
      <c r="F43">
        <v>110</v>
      </c>
      <c r="G43">
        <v>0.5655</v>
      </c>
      <c r="H43">
        <v>0</v>
      </c>
      <c r="I43">
        <f t="shared" si="1"/>
        <v>0</v>
      </c>
    </row>
    <row r="44" spans="1:9">
      <c r="A44" t="s">
        <v>0</v>
      </c>
      <c r="B44" t="s">
        <v>23</v>
      </c>
      <c r="C44">
        <v>41</v>
      </c>
      <c r="D44" t="s">
        <v>8</v>
      </c>
      <c r="E44">
        <v>92.2</v>
      </c>
      <c r="F44">
        <v>100</v>
      </c>
      <c r="G44">
        <v>0.60400000000000009</v>
      </c>
      <c r="H44">
        <v>0</v>
      </c>
      <c r="I44">
        <f t="shared" si="1"/>
        <v>0</v>
      </c>
    </row>
    <row r="45" spans="1:9">
      <c r="A45" t="s">
        <v>0</v>
      </c>
      <c r="B45" t="s">
        <v>3</v>
      </c>
      <c r="C45">
        <v>22</v>
      </c>
      <c r="D45" t="s">
        <v>4</v>
      </c>
      <c r="E45">
        <v>66</v>
      </c>
      <c r="F45">
        <v>67.5</v>
      </c>
      <c r="G45">
        <v>0.76300000000000001</v>
      </c>
      <c r="H45">
        <v>0</v>
      </c>
      <c r="I45">
        <f t="shared" si="1"/>
        <v>0</v>
      </c>
    </row>
    <row r="46" spans="1:9">
      <c r="A46" t="s">
        <v>26</v>
      </c>
      <c r="B46" t="s">
        <v>30</v>
      </c>
      <c r="C46">
        <v>37</v>
      </c>
      <c r="D46" t="s">
        <v>6</v>
      </c>
      <c r="E46">
        <v>89.8</v>
      </c>
      <c r="F46">
        <v>90</v>
      </c>
      <c r="G46">
        <v>0.61260000000000003</v>
      </c>
      <c r="H46">
        <v>712.5</v>
      </c>
      <c r="I46">
        <f t="shared" si="1"/>
        <v>436.47750000000002</v>
      </c>
    </row>
    <row r="47" spans="1:9">
      <c r="A47" t="s">
        <v>0</v>
      </c>
      <c r="B47" t="s">
        <v>1</v>
      </c>
      <c r="C47">
        <v>57</v>
      </c>
      <c r="D47" t="s">
        <v>2</v>
      </c>
      <c r="E47">
        <v>59.8</v>
      </c>
      <c r="F47">
        <v>60</v>
      </c>
      <c r="G47">
        <v>0.99029999999999996</v>
      </c>
      <c r="H47">
        <v>367.5</v>
      </c>
      <c r="I47">
        <f t="shared" si="1"/>
        <v>363.93525</v>
      </c>
    </row>
    <row r="48" spans="1:9">
      <c r="A48" t="s">
        <v>48</v>
      </c>
      <c r="B48" t="s">
        <v>66</v>
      </c>
      <c r="C48">
        <v>35</v>
      </c>
      <c r="D48" t="s">
        <v>6</v>
      </c>
      <c r="E48">
        <v>124.8</v>
      </c>
      <c r="F48">
        <v>125</v>
      </c>
      <c r="G48">
        <v>0.54564999999999997</v>
      </c>
      <c r="H48">
        <v>0</v>
      </c>
      <c r="I48">
        <f t="shared" si="1"/>
        <v>0</v>
      </c>
    </row>
    <row r="49" spans="1:9">
      <c r="A49" t="s">
        <v>0</v>
      </c>
      <c r="B49" t="s">
        <v>19</v>
      </c>
      <c r="C49">
        <v>47</v>
      </c>
      <c r="D49" t="s">
        <v>8</v>
      </c>
      <c r="E49">
        <v>100</v>
      </c>
      <c r="F49">
        <v>100</v>
      </c>
      <c r="G49">
        <v>0.58130000000000004</v>
      </c>
      <c r="H49">
        <v>0</v>
      </c>
      <c r="I49">
        <f t="shared" si="1"/>
        <v>0</v>
      </c>
    </row>
    <row r="50" spans="1:9">
      <c r="A50" t="s">
        <v>48</v>
      </c>
      <c r="B50" t="s">
        <v>64</v>
      </c>
      <c r="C50">
        <v>54</v>
      </c>
      <c r="D50" t="s">
        <v>8</v>
      </c>
      <c r="E50">
        <v>134.4</v>
      </c>
      <c r="F50">
        <v>140</v>
      </c>
      <c r="G50">
        <v>0.53605000000000003</v>
      </c>
      <c r="H50">
        <v>0</v>
      </c>
      <c r="I50">
        <f t="shared" si="1"/>
        <v>0</v>
      </c>
    </row>
    <row r="51" spans="1:9">
      <c r="A51" t="s">
        <v>26</v>
      </c>
      <c r="B51" t="s">
        <v>47</v>
      </c>
      <c r="C51">
        <v>42</v>
      </c>
      <c r="D51" t="s">
        <v>8</v>
      </c>
      <c r="E51">
        <v>165.6</v>
      </c>
      <c r="F51" t="s">
        <v>67</v>
      </c>
      <c r="G51">
        <v>0.51190000000000002</v>
      </c>
      <c r="H51">
        <v>0</v>
      </c>
      <c r="I51">
        <f t="shared" si="1"/>
        <v>0</v>
      </c>
    </row>
    <row r="52" spans="1:9">
      <c r="A52" t="s">
        <v>26</v>
      </c>
      <c r="B52" t="s">
        <v>32</v>
      </c>
      <c r="C52">
        <v>21</v>
      </c>
      <c r="D52" t="s">
        <v>6</v>
      </c>
      <c r="E52">
        <v>108.2</v>
      </c>
      <c r="F52">
        <v>110</v>
      </c>
      <c r="G52">
        <v>0.56519999999999992</v>
      </c>
      <c r="H52">
        <v>800</v>
      </c>
      <c r="I52">
        <f t="shared" si="1"/>
        <v>452.15999999999997</v>
      </c>
    </row>
    <row r="53" spans="1:9">
      <c r="A53" t="s">
        <v>48</v>
      </c>
      <c r="B53" t="s">
        <v>58</v>
      </c>
      <c r="C53">
        <v>32</v>
      </c>
      <c r="D53" t="s">
        <v>6</v>
      </c>
      <c r="E53">
        <v>98.2</v>
      </c>
      <c r="F53">
        <v>100</v>
      </c>
      <c r="G53">
        <v>0.58584999999999998</v>
      </c>
      <c r="H53">
        <v>0</v>
      </c>
      <c r="I53">
        <f t="shared" si="1"/>
        <v>0</v>
      </c>
    </row>
    <row r="54" spans="1:9">
      <c r="A54" t="s">
        <v>48</v>
      </c>
      <c r="B54" t="s">
        <v>63</v>
      </c>
      <c r="C54">
        <v>41</v>
      </c>
      <c r="D54" t="s">
        <v>8</v>
      </c>
      <c r="E54">
        <v>99</v>
      </c>
      <c r="F54">
        <v>100</v>
      </c>
      <c r="G54">
        <v>0.58379999999999999</v>
      </c>
      <c r="H54">
        <v>0</v>
      </c>
      <c r="I54">
        <f t="shared" si="1"/>
        <v>0</v>
      </c>
    </row>
    <row r="55" spans="1:9">
      <c r="A55" t="s">
        <v>48</v>
      </c>
      <c r="B55" t="s">
        <v>53</v>
      </c>
      <c r="C55">
        <v>23</v>
      </c>
      <c r="D55" t="s">
        <v>6</v>
      </c>
      <c r="E55">
        <v>109</v>
      </c>
      <c r="F55">
        <v>110</v>
      </c>
      <c r="G55">
        <v>0.56394999999999995</v>
      </c>
      <c r="H55">
        <v>912.5</v>
      </c>
      <c r="I55">
        <f t="shared" si="1"/>
        <v>514.604375</v>
      </c>
    </row>
    <row r="56" spans="1:9">
      <c r="A56" t="s">
        <v>26</v>
      </c>
      <c r="B56" t="s">
        <v>34</v>
      </c>
      <c r="C56">
        <v>27</v>
      </c>
      <c r="D56" t="s">
        <v>6</v>
      </c>
      <c r="E56">
        <v>81.8</v>
      </c>
      <c r="F56">
        <v>82.5</v>
      </c>
      <c r="G56">
        <v>0.6482</v>
      </c>
      <c r="H56">
        <v>835</v>
      </c>
      <c r="I56">
        <f t="shared" si="1"/>
        <v>541.24699999999996</v>
      </c>
    </row>
    <row r="57" spans="1:9">
      <c r="A57" t="s">
        <v>0</v>
      </c>
      <c r="B57" t="s">
        <v>13</v>
      </c>
      <c r="C57">
        <v>44</v>
      </c>
      <c r="D57" t="s">
        <v>8</v>
      </c>
      <c r="E57">
        <v>82.4</v>
      </c>
      <c r="F57">
        <v>82.5</v>
      </c>
      <c r="G57">
        <v>0.64510000000000001</v>
      </c>
      <c r="H57">
        <v>730</v>
      </c>
      <c r="I57">
        <f t="shared" si="1"/>
        <v>470.923</v>
      </c>
    </row>
    <row r="58" spans="1:9">
      <c r="A58" t="s">
        <v>48</v>
      </c>
      <c r="B58" t="s">
        <v>56</v>
      </c>
      <c r="C58">
        <v>32</v>
      </c>
      <c r="D58" t="s">
        <v>6</v>
      </c>
      <c r="E58">
        <v>96.6</v>
      </c>
      <c r="F58">
        <v>100</v>
      </c>
      <c r="G58">
        <v>0.59019999999999995</v>
      </c>
      <c r="H58">
        <v>0</v>
      </c>
      <c r="I58">
        <f t="shared" si="1"/>
        <v>0</v>
      </c>
    </row>
    <row r="59" spans="1:9">
      <c r="A59" t="s">
        <v>0</v>
      </c>
      <c r="B59" t="s">
        <v>10</v>
      </c>
      <c r="C59">
        <v>21</v>
      </c>
      <c r="D59" t="s">
        <v>4</v>
      </c>
      <c r="E59">
        <v>95.4</v>
      </c>
      <c r="F59">
        <v>100</v>
      </c>
      <c r="G59">
        <v>0.59375</v>
      </c>
      <c r="H59">
        <v>0</v>
      </c>
      <c r="I59">
        <f t="shared" si="1"/>
        <v>0</v>
      </c>
    </row>
    <row r="60" spans="1:9">
      <c r="A60" t="s">
        <v>26</v>
      </c>
      <c r="B60" t="s">
        <v>31</v>
      </c>
      <c r="C60">
        <v>17</v>
      </c>
      <c r="D60" t="s">
        <v>4</v>
      </c>
      <c r="E60">
        <v>81.400000000000006</v>
      </c>
      <c r="F60">
        <v>82.5</v>
      </c>
      <c r="G60">
        <v>0.65024999999999999</v>
      </c>
      <c r="H60">
        <v>717.5</v>
      </c>
      <c r="I60">
        <f t="shared" si="1"/>
        <v>466.55437499999999</v>
      </c>
    </row>
    <row r="61" spans="1:9">
      <c r="A61" t="s">
        <v>48</v>
      </c>
      <c r="B61" t="s">
        <v>62</v>
      </c>
      <c r="C61">
        <v>35</v>
      </c>
      <c r="D61" t="s">
        <v>6</v>
      </c>
      <c r="E61">
        <v>118.6</v>
      </c>
      <c r="F61">
        <v>125</v>
      </c>
      <c r="G61">
        <v>0.5524</v>
      </c>
      <c r="H61">
        <v>295</v>
      </c>
      <c r="I61">
        <f t="shared" si="1"/>
        <v>162.958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5"/>
  <sheetViews>
    <sheetView workbookViewId="0">
      <selection activeCell="M21" sqref="M21"/>
    </sheetView>
  </sheetViews>
  <sheetFormatPr defaultRowHeight="15"/>
  <cols>
    <col min="1" max="1" width="2.28515625" bestFit="1" customWidth="1"/>
    <col min="2" max="2" width="21.5703125" bestFit="1" customWidth="1"/>
  </cols>
  <sheetData>
    <row r="1" spans="1:33" ht="39" thickBot="1">
      <c r="A1" s="5" t="s">
        <v>95</v>
      </c>
      <c r="B1" s="6" t="s">
        <v>87</v>
      </c>
      <c r="C1" s="7" t="s">
        <v>88</v>
      </c>
      <c r="D1" s="8" t="s">
        <v>96</v>
      </c>
      <c r="E1" s="8" t="str">
        <f ca="1">setup!J6</f>
        <v>BWt (Kg)</v>
      </c>
      <c r="F1" s="8" t="str">
        <f>IF(E1="BWt (Kg)","WtCls (Kg)","WtCls (Lb)")</f>
        <v>WtCls (Kg)</v>
      </c>
      <c r="G1" s="8" t="s">
        <v>97</v>
      </c>
      <c r="H1" s="7" t="s">
        <v>98</v>
      </c>
      <c r="I1" s="9" t="s">
        <v>99</v>
      </c>
      <c r="J1" s="9" t="s">
        <v>100</v>
      </c>
      <c r="K1" s="9" t="s">
        <v>101</v>
      </c>
      <c r="L1" s="9" t="s">
        <v>102</v>
      </c>
      <c r="M1" s="8" t="s">
        <v>103</v>
      </c>
      <c r="N1" s="10" t="s">
        <v>104</v>
      </c>
      <c r="O1" s="9" t="s">
        <v>105</v>
      </c>
      <c r="P1" s="9" t="s">
        <v>106</v>
      </c>
      <c r="Q1" s="9" t="s">
        <v>107</v>
      </c>
      <c r="R1" s="9" t="s">
        <v>108</v>
      </c>
      <c r="S1" s="8" t="s">
        <v>109</v>
      </c>
      <c r="T1" s="8" t="s">
        <v>110</v>
      </c>
      <c r="U1" s="9" t="s">
        <v>111</v>
      </c>
      <c r="V1" s="9" t="s">
        <v>112</v>
      </c>
      <c r="W1" s="9" t="s">
        <v>113</v>
      </c>
      <c r="X1" s="9" t="s">
        <v>114</v>
      </c>
      <c r="Y1" s="9" t="s">
        <v>115</v>
      </c>
      <c r="Z1" s="11"/>
      <c r="AA1" s="8"/>
      <c r="AB1" s="8"/>
      <c r="AC1" s="8"/>
      <c r="AD1" s="8"/>
      <c r="AE1" s="8"/>
      <c r="AF1" s="12"/>
      <c r="AG1" s="12"/>
    </row>
    <row r="2" spans="1:33">
      <c r="A2" s="1" t="s">
        <v>48</v>
      </c>
      <c r="B2" s="2" t="s">
        <v>55</v>
      </c>
      <c r="C2" s="1">
        <v>30</v>
      </c>
      <c r="D2" s="1" t="s">
        <v>6</v>
      </c>
      <c r="E2" s="1">
        <v>115.4</v>
      </c>
      <c r="F2" s="3">
        <f>IF(OR(D2="",E2=""),"",IF(LEFT(D2,1)="M",VLOOKUP(E2,[1]Setup!$J$9:$K$23,2,TRUE),VLOOKUP(E2,[1]Setup!$L$9:$M$23,2,TRUE)))</f>
        <v>125</v>
      </c>
      <c r="G2" s="1">
        <v>2</v>
      </c>
      <c r="H2" s="1" t="s">
        <v>135</v>
      </c>
      <c r="I2" s="13">
        <v>-422.5</v>
      </c>
      <c r="J2" s="21">
        <v>422.5</v>
      </c>
      <c r="K2" s="13">
        <v>-440</v>
      </c>
      <c r="L2" s="13"/>
      <c r="M2" s="14">
        <f t="shared" ref="M2:M33" si="0">IF(MAX(CI2:CK2)&gt;0,MAX(ABS(I2)*CI2,ABS(J2)*CJ2,CK2*ABS(K2)),0)</f>
        <v>0</v>
      </c>
      <c r="N2" s="15"/>
      <c r="O2" s="21">
        <v>62.5</v>
      </c>
      <c r="P2" s="13"/>
      <c r="Q2" s="13"/>
      <c r="R2" s="13"/>
      <c r="S2" s="14">
        <f t="shared" ref="S2:S33" si="1">IF(MAX(CO2:CQ2)&gt;0,MAX(ABS(O2)*CO2,ABS(P2)*CP2,CQ2*ABS(Q2)),0)</f>
        <v>0</v>
      </c>
      <c r="T2" s="16">
        <f t="shared" ref="T2:T33" si="2">IF(OR(M2=0,S2=0),0,M2+S2)</f>
        <v>0</v>
      </c>
      <c r="U2" s="21">
        <v>125</v>
      </c>
      <c r="V2" s="13"/>
      <c r="W2" s="13"/>
      <c r="X2" s="13"/>
      <c r="Y2" s="14">
        <f t="shared" ref="Y2:Y33" si="3">IF(MAX(CU2:CW2)&gt;0,MAX(ABS(U2)*CU2,ABS(V2)*CV2,CW2*ABS(W2)),0)</f>
        <v>0</v>
      </c>
      <c r="Z2" s="16"/>
      <c r="AA2" s="17"/>
      <c r="AB2" s="17"/>
      <c r="AC2" s="18"/>
      <c r="AD2" s="14"/>
      <c r="AE2" s="3"/>
      <c r="AF2" s="19"/>
      <c r="AG2" s="20"/>
    </row>
    <row r="3" spans="1:33">
      <c r="A3" s="1" t="s">
        <v>0</v>
      </c>
      <c r="B3" s="2" t="s">
        <v>17</v>
      </c>
      <c r="C3" s="1">
        <v>23</v>
      </c>
      <c r="D3" s="1" t="s">
        <v>4</v>
      </c>
      <c r="E3" s="1">
        <v>111.2</v>
      </c>
      <c r="F3" s="3">
        <f>IF(OR(D3="",E3=""),"",IF(LEFT(D3,1)="M",VLOOKUP(E3,[1]Setup!$J$9:$K$23,2,TRUE),VLOOKUP(E3,[1]Setup!$L$9:$M$23,2,TRUE)))</f>
        <v>125</v>
      </c>
      <c r="G3" s="1">
        <v>3</v>
      </c>
      <c r="H3" s="1" t="s">
        <v>118</v>
      </c>
      <c r="I3" s="21">
        <v>260</v>
      </c>
      <c r="J3" s="21">
        <v>270</v>
      </c>
      <c r="K3" s="21">
        <v>275</v>
      </c>
      <c r="L3" s="13"/>
      <c r="M3" s="14">
        <f t="shared" si="0"/>
        <v>0</v>
      </c>
      <c r="N3" s="15"/>
      <c r="O3" s="21">
        <v>120</v>
      </c>
      <c r="P3" s="13">
        <v>-127.5</v>
      </c>
      <c r="Q3" s="13">
        <v>-127.5</v>
      </c>
      <c r="R3" s="13"/>
      <c r="S3" s="14">
        <f t="shared" si="1"/>
        <v>0</v>
      </c>
      <c r="T3" s="16">
        <f t="shared" si="2"/>
        <v>0</v>
      </c>
      <c r="U3" s="21">
        <v>260</v>
      </c>
      <c r="V3" s="21">
        <v>272.5</v>
      </c>
      <c r="W3" s="21">
        <v>295</v>
      </c>
      <c r="X3" s="13"/>
      <c r="Y3" s="14">
        <f t="shared" si="3"/>
        <v>0</v>
      </c>
      <c r="Z3" s="16"/>
      <c r="AA3" s="17"/>
      <c r="AB3" s="17"/>
      <c r="AC3" s="18"/>
      <c r="AD3" s="14"/>
      <c r="AE3" s="3"/>
      <c r="AF3" s="19"/>
      <c r="AG3" s="20"/>
    </row>
    <row r="4" spans="1:33">
      <c r="A4" s="1" t="s">
        <v>26</v>
      </c>
      <c r="B4" s="2" t="s">
        <v>33</v>
      </c>
      <c r="C4" s="1">
        <v>21</v>
      </c>
      <c r="D4" s="1" t="s">
        <v>4</v>
      </c>
      <c r="E4" s="1">
        <v>155</v>
      </c>
      <c r="F4" s="3" t="str">
        <f>IF(OR(D4="",E4=""),"",IF(LEFT(D4,1)="M",VLOOKUP(E4,[1]Setup!$J$9:$K$23,2,TRUE),VLOOKUP(E4,[1]Setup!$L$9:$M$23,2,TRUE)))</f>
        <v>SHW</v>
      </c>
      <c r="G4" s="1">
        <v>4</v>
      </c>
      <c r="H4" s="1" t="s">
        <v>134</v>
      </c>
      <c r="I4" s="21">
        <v>290</v>
      </c>
      <c r="J4" s="21">
        <v>382.5</v>
      </c>
      <c r="K4" s="13">
        <v>-395</v>
      </c>
      <c r="L4" s="13"/>
      <c r="M4" s="14">
        <f t="shared" si="0"/>
        <v>0</v>
      </c>
      <c r="N4" s="15"/>
      <c r="O4" s="13">
        <v>-265</v>
      </c>
      <c r="P4" s="21">
        <v>265</v>
      </c>
      <c r="Q4" s="13"/>
      <c r="R4" s="13"/>
      <c r="S4" s="14">
        <f t="shared" si="1"/>
        <v>0</v>
      </c>
      <c r="T4" s="16">
        <f t="shared" si="2"/>
        <v>0</v>
      </c>
      <c r="U4" s="21">
        <v>245</v>
      </c>
      <c r="V4" s="21">
        <v>275</v>
      </c>
      <c r="W4" s="21">
        <v>280</v>
      </c>
      <c r="X4" s="13"/>
      <c r="Y4" s="14">
        <f t="shared" si="3"/>
        <v>0</v>
      </c>
      <c r="Z4" s="16"/>
      <c r="AA4" s="17"/>
      <c r="AB4" s="17"/>
      <c r="AC4" s="18"/>
      <c r="AD4" s="14"/>
      <c r="AE4" s="3"/>
      <c r="AF4" s="19"/>
      <c r="AG4" s="20"/>
    </row>
    <row r="5" spans="1:33">
      <c r="A5" s="1" t="s">
        <v>0</v>
      </c>
      <c r="B5" s="2" t="s">
        <v>22</v>
      </c>
      <c r="C5" s="1">
        <v>17</v>
      </c>
      <c r="D5" s="1" t="s">
        <v>2</v>
      </c>
      <c r="E5" s="1">
        <v>59.8</v>
      </c>
      <c r="F5" s="3">
        <f>IF(OR(D5="",E5=""),"",IF(LEFT(D5,1)="M",VLOOKUP(E5,[1]Setup!$J$9:$K$23,2,TRUE),VLOOKUP(E5,[1]Setup!$L$9:$M$23,2,TRUE)))</f>
        <v>60</v>
      </c>
      <c r="G5" s="1">
        <v>5</v>
      </c>
      <c r="H5" s="1"/>
      <c r="I5" s="13"/>
      <c r="J5" s="13"/>
      <c r="K5" s="13"/>
      <c r="L5" s="13"/>
      <c r="M5" s="14">
        <f t="shared" si="0"/>
        <v>0</v>
      </c>
      <c r="N5" s="15"/>
      <c r="O5" s="13">
        <v>-82.5</v>
      </c>
      <c r="P5" s="13">
        <v>-82.5</v>
      </c>
      <c r="Q5" s="13">
        <v>-82.5</v>
      </c>
      <c r="R5" s="13"/>
      <c r="S5" s="14">
        <f t="shared" si="1"/>
        <v>0</v>
      </c>
      <c r="T5" s="16">
        <f t="shared" si="2"/>
        <v>0</v>
      </c>
      <c r="U5" s="13"/>
      <c r="V5" s="13"/>
      <c r="W5" s="13"/>
      <c r="X5" s="13"/>
      <c r="Y5" s="14">
        <f t="shared" si="3"/>
        <v>0</v>
      </c>
      <c r="Z5" s="16"/>
      <c r="AA5" s="17"/>
      <c r="AB5" s="17"/>
      <c r="AC5" s="18"/>
      <c r="AD5" s="14"/>
      <c r="AE5" s="3"/>
      <c r="AF5" s="19"/>
      <c r="AG5" s="20"/>
    </row>
    <row r="6" spans="1:33">
      <c r="A6" s="1" t="s">
        <v>48</v>
      </c>
      <c r="B6" s="2" t="s">
        <v>50</v>
      </c>
      <c r="C6" s="1">
        <v>25</v>
      </c>
      <c r="D6" s="1" t="s">
        <v>6</v>
      </c>
      <c r="E6" s="1">
        <v>135</v>
      </c>
      <c r="F6" s="3">
        <f>IF(OR(D6="",E6=""),"",IF(LEFT(D6,1)="M",VLOOKUP(E6,[1]Setup!$J$9:$K$23,2,TRUE),VLOOKUP(E6,[1]Setup!$L$9:$M$23,2,TRUE)))</f>
        <v>140</v>
      </c>
      <c r="G6" s="1">
        <v>6</v>
      </c>
      <c r="H6" s="1" t="s">
        <v>136</v>
      </c>
      <c r="I6" s="21">
        <v>350</v>
      </c>
      <c r="J6" s="21">
        <v>372.5</v>
      </c>
      <c r="K6" s="21">
        <v>395</v>
      </c>
      <c r="L6" s="13"/>
      <c r="M6" s="14">
        <f t="shared" si="0"/>
        <v>0</v>
      </c>
      <c r="N6" s="15"/>
      <c r="O6" s="21">
        <v>250</v>
      </c>
      <c r="P6" s="13">
        <v>-272.5</v>
      </c>
      <c r="Q6" s="21">
        <v>272.5</v>
      </c>
      <c r="R6" s="13"/>
      <c r="S6" s="14">
        <f t="shared" si="1"/>
        <v>0</v>
      </c>
      <c r="T6" s="16">
        <f t="shared" si="2"/>
        <v>0</v>
      </c>
      <c r="U6" s="21">
        <v>260</v>
      </c>
      <c r="V6" s="13">
        <v>-287.5</v>
      </c>
      <c r="W6" s="13">
        <v>-287.5</v>
      </c>
      <c r="X6" s="13"/>
      <c r="Y6" s="14">
        <f t="shared" si="3"/>
        <v>0</v>
      </c>
      <c r="Z6" s="16"/>
      <c r="AA6" s="17"/>
      <c r="AB6" s="17"/>
      <c r="AC6" s="18"/>
      <c r="AD6" s="14"/>
      <c r="AE6" s="3"/>
      <c r="AF6" s="19"/>
      <c r="AG6" s="20"/>
    </row>
    <row r="7" spans="1:33">
      <c r="A7" s="1" t="s">
        <v>0</v>
      </c>
      <c r="B7" s="2" t="s">
        <v>21</v>
      </c>
      <c r="C7" s="1">
        <v>43</v>
      </c>
      <c r="D7" s="1" t="s">
        <v>8</v>
      </c>
      <c r="E7" s="1">
        <v>99.4</v>
      </c>
      <c r="F7" s="3">
        <f>IF(OR(D7="",E7=""),"",IF(LEFT(D7,1)="M",VLOOKUP(E7,[1]Setup!$J$9:$K$23,2,TRUE),VLOOKUP(E7,[1]Setup!$L$9:$M$23,2,TRUE)))</f>
        <v>100</v>
      </c>
      <c r="G7" s="1">
        <v>7</v>
      </c>
      <c r="H7" s="1" t="s">
        <v>118</v>
      </c>
      <c r="I7" s="21">
        <v>235</v>
      </c>
      <c r="J7" s="13">
        <v>-242.5</v>
      </c>
      <c r="K7" s="13">
        <v>-242.5</v>
      </c>
      <c r="L7" s="13"/>
      <c r="M7" s="14">
        <f t="shared" si="0"/>
        <v>0</v>
      </c>
      <c r="N7" s="15"/>
      <c r="O7" s="13">
        <v>-160</v>
      </c>
      <c r="P7" s="13">
        <v>-160</v>
      </c>
      <c r="Q7" s="13">
        <v>-160</v>
      </c>
      <c r="R7" s="13"/>
      <c r="S7" s="14">
        <f t="shared" si="1"/>
        <v>0</v>
      </c>
      <c r="T7" s="16">
        <f t="shared" si="2"/>
        <v>0</v>
      </c>
      <c r="U7" s="13"/>
      <c r="V7" s="13"/>
      <c r="W7" s="13"/>
      <c r="X7" s="13"/>
      <c r="Y7" s="14">
        <f t="shared" si="3"/>
        <v>0</v>
      </c>
      <c r="Z7" s="16"/>
      <c r="AA7" s="17"/>
      <c r="AB7" s="17"/>
      <c r="AC7" s="18"/>
      <c r="AD7" s="14"/>
      <c r="AE7" s="3"/>
      <c r="AF7" s="19"/>
      <c r="AG7" s="20"/>
    </row>
    <row r="8" spans="1:33">
      <c r="A8" s="1" t="s">
        <v>48</v>
      </c>
      <c r="B8" s="2" t="s">
        <v>57</v>
      </c>
      <c r="C8" s="1">
        <v>28</v>
      </c>
      <c r="D8" s="1" t="s">
        <v>6</v>
      </c>
      <c r="E8" s="1">
        <v>123.2</v>
      </c>
      <c r="F8" s="3">
        <f>IF(OR(D8="",E8=""),"",IF(LEFT(D8,1)="M",VLOOKUP(E8,[1]Setup!$J$9:$K$23,2,TRUE),VLOOKUP(E8,[1]Setup!$L$9:$M$23,2,TRUE)))</f>
        <v>125</v>
      </c>
      <c r="G8" s="1">
        <v>8</v>
      </c>
      <c r="H8" s="1"/>
      <c r="I8" s="13">
        <v>-487.5</v>
      </c>
      <c r="J8" s="13">
        <v>-505</v>
      </c>
      <c r="K8" s="13"/>
      <c r="L8" s="13"/>
      <c r="M8" s="14">
        <f t="shared" si="0"/>
        <v>0</v>
      </c>
      <c r="N8" s="15"/>
      <c r="O8" s="13"/>
      <c r="P8" s="13"/>
      <c r="Q8" s="13"/>
      <c r="R8" s="13"/>
      <c r="S8" s="14">
        <f t="shared" si="1"/>
        <v>0</v>
      </c>
      <c r="T8" s="16">
        <f t="shared" si="2"/>
        <v>0</v>
      </c>
      <c r="U8" s="13"/>
      <c r="V8" s="13"/>
      <c r="W8" s="13"/>
      <c r="X8" s="13"/>
      <c r="Y8" s="14">
        <f t="shared" si="3"/>
        <v>0</v>
      </c>
      <c r="Z8" s="16"/>
      <c r="AA8" s="17"/>
      <c r="AB8" s="17"/>
      <c r="AC8" s="18"/>
      <c r="AD8" s="14"/>
      <c r="AE8" s="3"/>
      <c r="AF8" s="19"/>
      <c r="AG8" s="20"/>
    </row>
    <row r="9" spans="1:33">
      <c r="A9" s="1" t="s">
        <v>26</v>
      </c>
      <c r="B9" s="2" t="s">
        <v>45</v>
      </c>
      <c r="C9" s="1">
        <v>48</v>
      </c>
      <c r="D9" s="1" t="s">
        <v>8</v>
      </c>
      <c r="E9" s="1">
        <v>109</v>
      </c>
      <c r="F9" s="3">
        <f>IF(OR(D9="",E9=""),"",IF(LEFT(D9,1)="M",VLOOKUP(E9,[1]Setup!$J$9:$K$23,2,TRUE),VLOOKUP(E9,[1]Setup!$L$9:$M$23,2,TRUE)))</f>
        <v>110</v>
      </c>
      <c r="G9" s="1">
        <v>9</v>
      </c>
      <c r="H9" s="1"/>
      <c r="I9" s="13"/>
      <c r="J9" s="13"/>
      <c r="K9" s="13"/>
      <c r="L9" s="13"/>
      <c r="M9" s="14">
        <f t="shared" si="0"/>
        <v>0</v>
      </c>
      <c r="N9" s="15"/>
      <c r="O9" s="13">
        <v>-227.5</v>
      </c>
      <c r="P9" s="13">
        <v>-227.5</v>
      </c>
      <c r="Q9" s="13">
        <v>-227.5</v>
      </c>
      <c r="R9" s="13"/>
      <c r="S9" s="14">
        <f t="shared" si="1"/>
        <v>0</v>
      </c>
      <c r="T9" s="16">
        <f t="shared" si="2"/>
        <v>0</v>
      </c>
      <c r="U9" s="13"/>
      <c r="V9" s="13"/>
      <c r="W9" s="13"/>
      <c r="X9" s="13"/>
      <c r="Y9" s="14">
        <f t="shared" si="3"/>
        <v>0</v>
      </c>
      <c r="Z9" s="16"/>
      <c r="AA9" s="17"/>
      <c r="AB9" s="17"/>
      <c r="AC9" s="18"/>
      <c r="AD9" s="14"/>
      <c r="AE9" s="3"/>
      <c r="AF9" s="19"/>
      <c r="AG9" s="20"/>
    </row>
    <row r="10" spans="1:33">
      <c r="A10" s="1" t="s">
        <v>0</v>
      </c>
      <c r="B10" s="2" t="s">
        <v>12</v>
      </c>
      <c r="C10" s="1">
        <v>30</v>
      </c>
      <c r="D10" s="1" t="s">
        <v>6</v>
      </c>
      <c r="E10" s="1">
        <v>98.8</v>
      </c>
      <c r="F10" s="3">
        <f>IF(OR(D10="",E10=""),"",IF(LEFT(D10,1)="M",VLOOKUP(E10,[1]Setup!$J$9:$K$23,2,TRUE),VLOOKUP(E10,[1]Setup!$L$9:$M$23,2,TRUE)))</f>
        <v>100</v>
      </c>
      <c r="G10" s="1">
        <v>10</v>
      </c>
      <c r="H10" s="1"/>
      <c r="I10" s="13"/>
      <c r="J10" s="13"/>
      <c r="K10" s="13"/>
      <c r="L10" s="13"/>
      <c r="M10" s="14">
        <f t="shared" si="0"/>
        <v>0</v>
      </c>
      <c r="N10" s="15"/>
      <c r="O10" s="21">
        <v>165</v>
      </c>
      <c r="P10" s="13">
        <v>-172.5</v>
      </c>
      <c r="Q10" s="13">
        <v>-172.5</v>
      </c>
      <c r="R10" s="13"/>
      <c r="S10" s="14">
        <f t="shared" si="1"/>
        <v>0</v>
      </c>
      <c r="T10" s="16">
        <f t="shared" si="2"/>
        <v>0</v>
      </c>
      <c r="U10" s="21">
        <v>227.5</v>
      </c>
      <c r="V10" s="21">
        <v>245</v>
      </c>
      <c r="W10" s="21">
        <v>260</v>
      </c>
      <c r="X10" s="13"/>
      <c r="Y10" s="14">
        <f t="shared" si="3"/>
        <v>0</v>
      </c>
      <c r="Z10" s="16"/>
      <c r="AA10" s="17"/>
      <c r="AB10" s="17"/>
      <c r="AC10" s="18"/>
      <c r="AD10" s="14"/>
      <c r="AE10" s="3"/>
      <c r="AF10" s="19"/>
      <c r="AG10" s="20"/>
    </row>
    <row r="11" spans="1:33">
      <c r="A11" s="1" t="s">
        <v>0</v>
      </c>
      <c r="B11" s="2" t="s">
        <v>15</v>
      </c>
      <c r="C11" s="1">
        <v>19</v>
      </c>
      <c r="D11" s="1" t="s">
        <v>6</v>
      </c>
      <c r="E11" s="1">
        <v>89.4</v>
      </c>
      <c r="F11" s="3">
        <f>IF(OR(D11="",E11=""),"",IF(LEFT(D11,1)="M",VLOOKUP(E11,[1]Setup!$J$9:$K$23,2,TRUE),VLOOKUP(E11,[1]Setup!$L$9:$M$23,2,TRUE)))</f>
        <v>90</v>
      </c>
      <c r="G11" s="1">
        <v>11</v>
      </c>
      <c r="H11" s="1"/>
      <c r="I11" s="13"/>
      <c r="J11" s="13"/>
      <c r="K11" s="13"/>
      <c r="L11" s="13"/>
      <c r="M11" s="14">
        <f t="shared" si="0"/>
        <v>0</v>
      </c>
      <c r="N11" s="15"/>
      <c r="O11" s="21">
        <v>130</v>
      </c>
      <c r="P11" s="21">
        <v>137.5</v>
      </c>
      <c r="Q11" s="13">
        <v>-142.5</v>
      </c>
      <c r="R11" s="13"/>
      <c r="S11" s="14">
        <f t="shared" si="1"/>
        <v>0</v>
      </c>
      <c r="T11" s="16">
        <f t="shared" si="2"/>
        <v>0</v>
      </c>
      <c r="U11" s="21">
        <v>250</v>
      </c>
      <c r="V11" s="13">
        <v>-265</v>
      </c>
      <c r="W11" s="13">
        <v>-265</v>
      </c>
      <c r="X11" s="13"/>
      <c r="Y11" s="14">
        <f t="shared" si="3"/>
        <v>0</v>
      </c>
      <c r="Z11" s="16"/>
      <c r="AA11" s="17"/>
      <c r="AB11" s="17"/>
      <c r="AC11" s="18"/>
      <c r="AD11" s="14"/>
      <c r="AE11" s="3"/>
      <c r="AF11" s="19"/>
      <c r="AG11" s="20"/>
    </row>
    <row r="12" spans="1:33">
      <c r="A12" s="1" t="s">
        <v>26</v>
      </c>
      <c r="B12" s="2" t="s">
        <v>44</v>
      </c>
      <c r="C12" s="1">
        <v>43</v>
      </c>
      <c r="D12" s="1" t="s">
        <v>8</v>
      </c>
      <c r="E12" s="1">
        <v>100</v>
      </c>
      <c r="F12" s="3">
        <f>IF(OR(D12="",E12=""),"",IF(LEFT(D12,1)="M",VLOOKUP(E12,[1]Setup!$J$9:$K$23,2,TRUE),VLOOKUP(E12,[1]Setup!$L$9:$M$23,2,TRUE)))</f>
        <v>100</v>
      </c>
      <c r="G12" s="1">
        <v>12</v>
      </c>
      <c r="H12" s="1"/>
      <c r="I12" s="13"/>
      <c r="J12" s="13"/>
      <c r="K12" s="13"/>
      <c r="L12" s="13"/>
      <c r="M12" s="14">
        <f t="shared" si="0"/>
        <v>0</v>
      </c>
      <c r="N12" s="15"/>
      <c r="O12" s="13">
        <v>-227.5</v>
      </c>
      <c r="P12" s="13">
        <v>-227.5</v>
      </c>
      <c r="Q12" s="13">
        <v>-227.5</v>
      </c>
      <c r="R12" s="13"/>
      <c r="S12" s="14">
        <f t="shared" si="1"/>
        <v>0</v>
      </c>
      <c r="T12" s="16">
        <f t="shared" si="2"/>
        <v>0</v>
      </c>
      <c r="U12" s="13"/>
      <c r="V12" s="13"/>
      <c r="W12" s="13"/>
      <c r="X12" s="13"/>
      <c r="Y12" s="14">
        <f t="shared" si="3"/>
        <v>0</v>
      </c>
      <c r="Z12" s="16"/>
      <c r="AA12" s="17"/>
      <c r="AB12" s="17"/>
      <c r="AC12" s="18"/>
      <c r="AD12" s="14"/>
      <c r="AE12" s="3"/>
      <c r="AF12" s="19"/>
      <c r="AG12" s="20"/>
    </row>
    <row r="13" spans="1:33">
      <c r="A13" s="1" t="s">
        <v>26</v>
      </c>
      <c r="B13" s="2" t="s">
        <v>35</v>
      </c>
      <c r="C13" s="1">
        <v>27</v>
      </c>
      <c r="D13" s="1" t="s">
        <v>6</v>
      </c>
      <c r="E13" s="1">
        <v>95.4</v>
      </c>
      <c r="F13" s="3">
        <f>IF(OR(D13="",E13=""),"",IF(LEFT(D13,1)="M",VLOOKUP(E13,[1]Setup!$J$9:$K$23,2,TRUE),VLOOKUP(E13,[1]Setup!$L$9:$M$23,2,TRUE)))</f>
        <v>100</v>
      </c>
      <c r="G13" s="1">
        <v>13</v>
      </c>
      <c r="H13" s="1" t="s">
        <v>131</v>
      </c>
      <c r="I13" s="13">
        <v>-315</v>
      </c>
      <c r="J13" s="13">
        <v>-315</v>
      </c>
      <c r="K13" s="21">
        <v>315</v>
      </c>
      <c r="L13" s="13"/>
      <c r="M13" s="14">
        <f t="shared" si="0"/>
        <v>0</v>
      </c>
      <c r="N13" s="15"/>
      <c r="O13" s="21">
        <v>195</v>
      </c>
      <c r="P13" s="21">
        <v>202.5</v>
      </c>
      <c r="Q13" s="13">
        <v>-207.5</v>
      </c>
      <c r="R13" s="13"/>
      <c r="S13" s="14">
        <f t="shared" si="1"/>
        <v>0</v>
      </c>
      <c r="T13" s="16">
        <f t="shared" si="2"/>
        <v>0</v>
      </c>
      <c r="U13" s="21">
        <v>247.5</v>
      </c>
      <c r="V13" s="21">
        <v>257.5</v>
      </c>
      <c r="W13" s="13">
        <v>-265</v>
      </c>
      <c r="X13" s="13"/>
      <c r="Y13" s="14">
        <f t="shared" si="3"/>
        <v>0</v>
      </c>
      <c r="Z13" s="16"/>
      <c r="AA13" s="17"/>
      <c r="AB13" s="17"/>
      <c r="AC13" s="18"/>
      <c r="AD13" s="14"/>
      <c r="AE13" s="3"/>
      <c r="AF13" s="19"/>
      <c r="AG13" s="20"/>
    </row>
    <row r="14" spans="1:33">
      <c r="A14" s="1" t="s">
        <v>48</v>
      </c>
      <c r="B14" s="2" t="s">
        <v>61</v>
      </c>
      <c r="C14" s="1">
        <v>21</v>
      </c>
      <c r="D14" s="1" t="s">
        <v>6</v>
      </c>
      <c r="E14" s="1">
        <v>88.8</v>
      </c>
      <c r="F14" s="3">
        <f>IF(OR(D14="",E14=""),"",IF(LEFT(D14,1)="M",VLOOKUP(E14,[1]Setup!$J$9:$K$23,2,TRUE),VLOOKUP(E14,[1]Setup!$L$9:$M$23,2,TRUE)))</f>
        <v>90</v>
      </c>
      <c r="G14" s="1">
        <v>14</v>
      </c>
      <c r="H14" s="1"/>
      <c r="I14" s="13"/>
      <c r="J14" s="13"/>
      <c r="K14" s="13"/>
      <c r="L14" s="13"/>
      <c r="M14" s="14">
        <f t="shared" si="0"/>
        <v>0</v>
      </c>
      <c r="N14" s="15"/>
      <c r="O14" s="13">
        <v>-282.5</v>
      </c>
      <c r="P14" s="13">
        <v>-282.5</v>
      </c>
      <c r="Q14" s="13">
        <v>-292.5</v>
      </c>
      <c r="R14" s="13"/>
      <c r="S14" s="14">
        <f t="shared" si="1"/>
        <v>0</v>
      </c>
      <c r="T14" s="16">
        <f t="shared" si="2"/>
        <v>0</v>
      </c>
      <c r="U14" s="13"/>
      <c r="V14" s="13"/>
      <c r="W14" s="13"/>
      <c r="X14" s="13"/>
      <c r="Y14" s="14">
        <f t="shared" si="3"/>
        <v>0</v>
      </c>
      <c r="Z14" s="16"/>
      <c r="AA14" s="17"/>
      <c r="AB14" s="17"/>
      <c r="AC14" s="18"/>
      <c r="AD14" s="14"/>
      <c r="AE14" s="3"/>
      <c r="AF14" s="19"/>
      <c r="AG14" s="20"/>
    </row>
    <row r="15" spans="1:33">
      <c r="A15" s="1" t="s">
        <v>26</v>
      </c>
      <c r="B15" s="2" t="s">
        <v>38</v>
      </c>
      <c r="C15" s="1">
        <v>32</v>
      </c>
      <c r="D15" s="1" t="s">
        <v>6</v>
      </c>
      <c r="E15" s="1">
        <v>131</v>
      </c>
      <c r="F15" s="3">
        <f>IF(OR(D15="",E15=""),"",IF(LEFT(D15,1)="M",VLOOKUP(E15,[1]Setup!$J$9:$K$23,2,TRUE),VLOOKUP(E15,[1]Setup!$L$9:$M$23,2,TRUE)))</f>
        <v>140</v>
      </c>
      <c r="G15" s="1">
        <v>15</v>
      </c>
      <c r="H15" s="1" t="s">
        <v>117</v>
      </c>
      <c r="I15" s="13">
        <v>-287.5</v>
      </c>
      <c r="J15" s="13">
        <v>-287.5</v>
      </c>
      <c r="K15" s="13">
        <v>-287.5</v>
      </c>
      <c r="L15" s="13"/>
      <c r="M15" s="14">
        <f t="shared" si="0"/>
        <v>0</v>
      </c>
      <c r="N15" s="15"/>
      <c r="O15" s="13">
        <v>-222.5</v>
      </c>
      <c r="P15" s="21">
        <v>222.5</v>
      </c>
      <c r="Q15" s="13">
        <v>-235</v>
      </c>
      <c r="R15" s="13"/>
      <c r="S15" s="14">
        <f t="shared" si="1"/>
        <v>0</v>
      </c>
      <c r="T15" s="16">
        <f t="shared" si="2"/>
        <v>0</v>
      </c>
      <c r="U15" s="13"/>
      <c r="V15" s="13"/>
      <c r="W15" s="13"/>
      <c r="X15" s="13"/>
      <c r="Y15" s="14">
        <f t="shared" si="3"/>
        <v>0</v>
      </c>
      <c r="Z15" s="16"/>
      <c r="AA15" s="17"/>
      <c r="AB15" s="17"/>
      <c r="AC15" s="18"/>
      <c r="AD15" s="14"/>
      <c r="AE15" s="3"/>
      <c r="AF15" s="19"/>
      <c r="AG15" s="20"/>
    </row>
    <row r="16" spans="1:33">
      <c r="A16" s="1" t="s">
        <v>0</v>
      </c>
      <c r="B16" s="2" t="s">
        <v>5</v>
      </c>
      <c r="C16" s="1">
        <v>51</v>
      </c>
      <c r="D16" s="1" t="s">
        <v>6</v>
      </c>
      <c r="E16" s="1">
        <v>88.8</v>
      </c>
      <c r="F16" s="3">
        <f>IF(OR(D16="",E16=""),"",IF(LEFT(D16,1)="M",VLOOKUP(E16,[1]Setup!$J$9:$K$23,2,TRUE),VLOOKUP(E16,[1]Setup!$L$9:$M$23,2,TRUE)))</f>
        <v>90</v>
      </c>
      <c r="G16" s="1">
        <v>16</v>
      </c>
      <c r="H16" s="1"/>
      <c r="I16" s="13"/>
      <c r="J16" s="13"/>
      <c r="K16" s="13"/>
      <c r="L16" s="13"/>
      <c r="M16" s="14">
        <f t="shared" si="0"/>
        <v>0</v>
      </c>
      <c r="N16" s="15"/>
      <c r="O16" s="21">
        <v>125</v>
      </c>
      <c r="P16" s="13">
        <v>-137.5</v>
      </c>
      <c r="Q16" s="13">
        <v>-137.5</v>
      </c>
      <c r="R16" s="13"/>
      <c r="S16" s="14">
        <f t="shared" si="1"/>
        <v>0</v>
      </c>
      <c r="T16" s="16">
        <f t="shared" si="2"/>
        <v>0</v>
      </c>
      <c r="U16" s="21">
        <v>197.5</v>
      </c>
      <c r="V16" s="21">
        <v>210</v>
      </c>
      <c r="W16" s="21">
        <v>220</v>
      </c>
      <c r="X16" s="13"/>
      <c r="Y16" s="14">
        <f t="shared" si="3"/>
        <v>0</v>
      </c>
      <c r="Z16" s="16"/>
      <c r="AA16" s="17"/>
      <c r="AB16" s="17"/>
      <c r="AC16" s="18"/>
      <c r="AD16" s="14"/>
      <c r="AE16" s="3"/>
      <c r="AF16" s="19"/>
      <c r="AG16" s="20"/>
    </row>
    <row r="17" spans="1:33">
      <c r="A17" s="1" t="s">
        <v>26</v>
      </c>
      <c r="B17" s="2" t="s">
        <v>41</v>
      </c>
      <c r="C17" s="1">
        <v>57</v>
      </c>
      <c r="D17" s="1" t="s">
        <v>8</v>
      </c>
      <c r="E17" s="1">
        <v>108</v>
      </c>
      <c r="F17" s="3">
        <f>IF(OR(D17="",E17=""),"",IF(LEFT(D17,1)="M",VLOOKUP(E17,[1]Setup!$J$9:$K$23,2,TRUE),VLOOKUP(E17,[1]Setup!$L$9:$M$23,2,TRUE)))</f>
        <v>110</v>
      </c>
      <c r="G17" s="1">
        <v>17</v>
      </c>
      <c r="H17" s="1"/>
      <c r="I17" s="13">
        <v>-282.5</v>
      </c>
      <c r="J17" s="13">
        <v>-312.5</v>
      </c>
      <c r="K17" s="13">
        <v>-327.5</v>
      </c>
      <c r="L17" s="13"/>
      <c r="M17" s="14">
        <f t="shared" si="0"/>
        <v>0</v>
      </c>
      <c r="N17" s="15"/>
      <c r="O17" s="13">
        <v>-192.5</v>
      </c>
      <c r="P17" s="13">
        <v>-192.5</v>
      </c>
      <c r="Q17" s="13">
        <v>-205</v>
      </c>
      <c r="R17" s="13"/>
      <c r="S17" s="14">
        <f t="shared" si="1"/>
        <v>0</v>
      </c>
      <c r="T17" s="16">
        <f t="shared" si="2"/>
        <v>0</v>
      </c>
      <c r="U17" s="13"/>
      <c r="V17" s="13"/>
      <c r="W17" s="13"/>
      <c r="X17" s="13"/>
      <c r="Y17" s="14">
        <f t="shared" si="3"/>
        <v>0</v>
      </c>
      <c r="Z17" s="16"/>
      <c r="AA17" s="17"/>
      <c r="AB17" s="17"/>
      <c r="AC17" s="18"/>
      <c r="AD17" s="14"/>
      <c r="AE17" s="3"/>
      <c r="AF17" s="19"/>
      <c r="AG17" s="20"/>
    </row>
    <row r="18" spans="1:33">
      <c r="A18" s="1" t="s">
        <v>48</v>
      </c>
      <c r="B18" s="2" t="s">
        <v>60</v>
      </c>
      <c r="C18" s="1">
        <v>22</v>
      </c>
      <c r="D18" s="1" t="s">
        <v>4</v>
      </c>
      <c r="E18" s="1">
        <v>96.8</v>
      </c>
      <c r="F18" s="3">
        <f>IF(OR(D18="",E18=""),"",IF(LEFT(D18,1)="M",VLOOKUP(E18,[1]Setup!$J$9:$K$23,2,TRUE),VLOOKUP(E18,[1]Setup!$L$9:$M$23,2,TRUE)))</f>
        <v>100</v>
      </c>
      <c r="G18" s="1">
        <v>17</v>
      </c>
      <c r="H18" s="1" t="s">
        <v>138</v>
      </c>
      <c r="I18" s="13">
        <v>-352.5</v>
      </c>
      <c r="J18" s="21">
        <v>-352.5</v>
      </c>
      <c r="K18" s="13">
        <v>-352.5</v>
      </c>
      <c r="L18" s="13"/>
      <c r="M18" s="14">
        <f t="shared" si="0"/>
        <v>0</v>
      </c>
      <c r="N18" s="15"/>
      <c r="O18" s="13"/>
      <c r="P18" s="13"/>
      <c r="Q18" s="13"/>
      <c r="R18" s="13"/>
      <c r="S18" s="14">
        <f t="shared" si="1"/>
        <v>0</v>
      </c>
      <c r="T18" s="16">
        <f t="shared" si="2"/>
        <v>0</v>
      </c>
      <c r="U18" s="13"/>
      <c r="V18" s="13"/>
      <c r="W18" s="13"/>
      <c r="X18" s="13"/>
      <c r="Y18" s="14">
        <f t="shared" si="3"/>
        <v>0</v>
      </c>
      <c r="Z18" s="16"/>
      <c r="AA18" s="17"/>
      <c r="AB18" s="17"/>
      <c r="AC18" s="18"/>
      <c r="AD18" s="14"/>
      <c r="AE18" s="3"/>
      <c r="AF18" s="19"/>
      <c r="AG18" s="20"/>
    </row>
    <row r="19" spans="1:33">
      <c r="A19" s="1" t="s">
        <v>0</v>
      </c>
      <c r="B19" s="2" t="s">
        <v>14</v>
      </c>
      <c r="C19" s="1">
        <v>19</v>
      </c>
      <c r="D19" s="1" t="s">
        <v>4</v>
      </c>
      <c r="E19" s="1">
        <v>81.400000000000006</v>
      </c>
      <c r="F19" s="3">
        <f>IF(OR(D19="",E19=""),"",IF(LEFT(D19,1)="M",VLOOKUP(E19,[1]Setup!$J$9:$K$23,2,TRUE),VLOOKUP(E19,[1]Setup!$L$9:$M$23,2,TRUE)))</f>
        <v>82.5</v>
      </c>
      <c r="G19" s="1">
        <v>19</v>
      </c>
      <c r="H19" s="1" t="s">
        <v>116</v>
      </c>
      <c r="I19" s="21">
        <v>265</v>
      </c>
      <c r="J19" s="21">
        <v>285</v>
      </c>
      <c r="K19" s="13">
        <v>-297.5</v>
      </c>
      <c r="L19" s="13"/>
      <c r="M19" s="14">
        <f t="shared" si="0"/>
        <v>0</v>
      </c>
      <c r="N19" s="15"/>
      <c r="O19" s="21">
        <v>122.5</v>
      </c>
      <c r="P19" s="13">
        <v>-130</v>
      </c>
      <c r="Q19" s="13">
        <v>-130</v>
      </c>
      <c r="R19" s="13"/>
      <c r="S19" s="14">
        <f t="shared" si="1"/>
        <v>0</v>
      </c>
      <c r="T19" s="16">
        <f t="shared" si="2"/>
        <v>0</v>
      </c>
      <c r="U19" s="21">
        <v>235</v>
      </c>
      <c r="V19" s="13">
        <v>-245</v>
      </c>
      <c r="W19" s="13">
        <v>-245</v>
      </c>
      <c r="X19" s="13"/>
      <c r="Y19" s="14">
        <f t="shared" si="3"/>
        <v>0</v>
      </c>
      <c r="Z19" s="16"/>
      <c r="AA19" s="17"/>
      <c r="AB19" s="17"/>
      <c r="AC19" s="18"/>
      <c r="AD19" s="14"/>
      <c r="AE19" s="3"/>
      <c r="AF19" s="19"/>
      <c r="AG19" s="20"/>
    </row>
    <row r="20" spans="1:33">
      <c r="A20" s="1" t="s">
        <v>26</v>
      </c>
      <c r="B20" s="2" t="s">
        <v>43</v>
      </c>
      <c r="C20" s="1">
        <v>41</v>
      </c>
      <c r="D20" s="1" t="s">
        <v>8</v>
      </c>
      <c r="E20" s="1">
        <v>124.4</v>
      </c>
      <c r="F20" s="3">
        <f>IF(OR(D20="",E20=""),"",IF(LEFT(D20,1)="M",VLOOKUP(E20,[1]Setup!$J$9:$K$23,2,TRUE),VLOOKUP(E20,[1]Setup!$L$9:$M$23,2,TRUE)))</f>
        <v>125</v>
      </c>
      <c r="G20" s="1">
        <v>20</v>
      </c>
      <c r="H20" s="1"/>
      <c r="I20" s="13"/>
      <c r="J20" s="13"/>
      <c r="K20" s="13"/>
      <c r="L20" s="13"/>
      <c r="M20" s="14">
        <f t="shared" si="0"/>
        <v>0</v>
      </c>
      <c r="N20" s="15"/>
      <c r="O20" s="21">
        <v>215</v>
      </c>
      <c r="P20" s="13">
        <v>-227.5</v>
      </c>
      <c r="Q20" s="13">
        <v>-227.5</v>
      </c>
      <c r="R20" s="13"/>
      <c r="S20" s="14">
        <f t="shared" si="1"/>
        <v>0</v>
      </c>
      <c r="T20" s="16">
        <f t="shared" si="2"/>
        <v>0</v>
      </c>
      <c r="U20" s="13"/>
      <c r="V20" s="13"/>
      <c r="W20" s="13"/>
      <c r="X20" s="13"/>
      <c r="Y20" s="14">
        <f t="shared" si="3"/>
        <v>0</v>
      </c>
      <c r="Z20" s="16"/>
      <c r="AA20" s="17"/>
      <c r="AB20" s="17"/>
      <c r="AC20" s="18"/>
      <c r="AD20" s="14"/>
      <c r="AE20" s="3"/>
      <c r="AF20" s="19"/>
      <c r="AG20" s="20"/>
    </row>
    <row r="21" spans="1:33">
      <c r="A21" s="1" t="s">
        <v>48</v>
      </c>
      <c r="B21" s="2" t="s">
        <v>52</v>
      </c>
      <c r="C21" s="1">
        <v>30</v>
      </c>
      <c r="D21" s="1" t="s">
        <v>6</v>
      </c>
      <c r="E21" s="1">
        <v>109.6</v>
      </c>
      <c r="F21" s="3">
        <f>IF(OR(D21="",E21=""),"",IF(LEFT(D21,1)="M",VLOOKUP(E21,[1]Setup!$J$9:$K$23,2,TRUE),VLOOKUP(E21,[1]Setup!$L$9:$M$23,2,TRUE)))</f>
        <v>110</v>
      </c>
      <c r="G21" s="1">
        <v>21</v>
      </c>
      <c r="H21" s="1" t="s">
        <v>138</v>
      </c>
      <c r="I21" s="13">
        <v>-385</v>
      </c>
      <c r="J21" s="13">
        <v>-385</v>
      </c>
      <c r="K21" s="13">
        <v>-390</v>
      </c>
      <c r="L21" s="13"/>
      <c r="M21" s="14">
        <f t="shared" si="0"/>
        <v>0</v>
      </c>
      <c r="N21" s="15"/>
      <c r="O21" s="21">
        <v>320</v>
      </c>
      <c r="P21" s="13">
        <v>-327.5</v>
      </c>
      <c r="Q21" s="13">
        <v>-327.5</v>
      </c>
      <c r="R21" s="13"/>
      <c r="S21" s="14">
        <f t="shared" si="1"/>
        <v>0</v>
      </c>
      <c r="T21" s="16">
        <f t="shared" si="2"/>
        <v>0</v>
      </c>
      <c r="U21" s="21">
        <v>305</v>
      </c>
      <c r="V21" s="13">
        <v>-320</v>
      </c>
      <c r="W21" s="13">
        <v>-320</v>
      </c>
      <c r="X21" s="13"/>
      <c r="Y21" s="14">
        <f t="shared" si="3"/>
        <v>0</v>
      </c>
      <c r="Z21" s="16"/>
      <c r="AA21" s="17"/>
      <c r="AB21" s="17"/>
      <c r="AC21" s="18"/>
      <c r="AD21" s="14"/>
      <c r="AE21" s="3"/>
      <c r="AF21" s="19"/>
      <c r="AG21" s="20"/>
    </row>
    <row r="22" spans="1:33">
      <c r="A22" s="1" t="s">
        <v>48</v>
      </c>
      <c r="B22" s="2" t="s">
        <v>65</v>
      </c>
      <c r="C22" s="1">
        <v>33</v>
      </c>
      <c r="D22" s="1" t="s">
        <v>6</v>
      </c>
      <c r="E22" s="1">
        <v>106.8</v>
      </c>
      <c r="F22" s="3">
        <f>IF(OR(D22="",E22=""),"",IF(LEFT(D22,1)="M",VLOOKUP(E22,[1]Setup!$J$9:$K$23,2,TRUE),VLOOKUP(E22,[1]Setup!$L$9:$M$23,2,TRUE)))</f>
        <v>110</v>
      </c>
      <c r="G22" s="1">
        <v>22</v>
      </c>
      <c r="H22" s="1"/>
      <c r="I22" s="13"/>
      <c r="J22" s="13"/>
      <c r="K22" s="13"/>
      <c r="L22" s="13"/>
      <c r="M22" s="14">
        <f t="shared" si="0"/>
        <v>0</v>
      </c>
      <c r="N22" s="15"/>
      <c r="O22" s="13">
        <v>-390</v>
      </c>
      <c r="P22" s="13">
        <v>-390</v>
      </c>
      <c r="Q22" s="13">
        <v>-390</v>
      </c>
      <c r="R22" s="13"/>
      <c r="S22" s="14">
        <f t="shared" si="1"/>
        <v>0</v>
      </c>
      <c r="T22" s="16">
        <f t="shared" si="2"/>
        <v>0</v>
      </c>
      <c r="U22" s="13"/>
      <c r="V22" s="13"/>
      <c r="W22" s="13"/>
      <c r="X22" s="13"/>
      <c r="Y22" s="14">
        <f t="shared" si="3"/>
        <v>0</v>
      </c>
      <c r="Z22" s="16"/>
      <c r="AA22" s="17"/>
      <c r="AB22" s="17"/>
      <c r="AC22" s="18"/>
      <c r="AD22" s="14"/>
      <c r="AE22" s="3"/>
      <c r="AF22" s="19"/>
      <c r="AG22" s="20"/>
    </row>
    <row r="23" spans="1:33">
      <c r="A23" s="1" t="s">
        <v>26</v>
      </c>
      <c r="B23" s="2" t="s">
        <v>42</v>
      </c>
      <c r="C23" s="1">
        <v>24</v>
      </c>
      <c r="D23" s="1" t="s">
        <v>6</v>
      </c>
      <c r="E23" s="1">
        <v>87.4</v>
      </c>
      <c r="F23" s="3">
        <f>IF(OR(D23="",E23=""),"",IF(LEFT(D23,1)="M",VLOOKUP(E23,[1]Setup!$J$9:$K$23,2,TRUE),VLOOKUP(E23,[1]Setup!$L$9:$M$23,2,TRUE)))</f>
        <v>90</v>
      </c>
      <c r="G23" s="1">
        <v>23</v>
      </c>
      <c r="H23" s="1"/>
      <c r="I23" s="13"/>
      <c r="J23" s="13"/>
      <c r="K23" s="13"/>
      <c r="L23" s="13"/>
      <c r="M23" s="14">
        <f t="shared" si="0"/>
        <v>0</v>
      </c>
      <c r="N23" s="15"/>
      <c r="O23" s="13">
        <v>-210</v>
      </c>
      <c r="P23" s="13">
        <v>-210</v>
      </c>
      <c r="Q23" s="13">
        <v>-210</v>
      </c>
      <c r="R23" s="13"/>
      <c r="S23" s="14">
        <f t="shared" si="1"/>
        <v>0</v>
      </c>
      <c r="T23" s="16">
        <f t="shared" si="2"/>
        <v>0</v>
      </c>
      <c r="U23" s="13"/>
      <c r="V23" s="13"/>
      <c r="W23" s="13"/>
      <c r="X23" s="13"/>
      <c r="Y23" s="14">
        <f t="shared" si="3"/>
        <v>0</v>
      </c>
      <c r="Z23" s="16"/>
      <c r="AA23" s="17"/>
      <c r="AB23" s="17"/>
      <c r="AC23" s="18"/>
      <c r="AD23" s="14"/>
      <c r="AE23" s="3"/>
      <c r="AF23" s="19"/>
      <c r="AG23" s="20"/>
    </row>
    <row r="24" spans="1:33">
      <c r="A24" s="1" t="s">
        <v>26</v>
      </c>
      <c r="B24" s="2" t="s">
        <v>27</v>
      </c>
      <c r="C24" s="1">
        <v>32</v>
      </c>
      <c r="D24" s="1" t="s">
        <v>6</v>
      </c>
      <c r="E24" s="1">
        <v>136.80000000000001</v>
      </c>
      <c r="F24" s="3">
        <f>IF(OR(D24="",E24=""),"",IF(LEFT(D24,1)="M",VLOOKUP(E24,[1]Setup!$J$9:$K$23,2,TRUE),VLOOKUP(E24,[1]Setup!$L$9:$M$23,2,TRUE)))</f>
        <v>140</v>
      </c>
      <c r="G24" s="1">
        <v>24</v>
      </c>
      <c r="H24" s="1"/>
      <c r="I24" s="13"/>
      <c r="J24" s="13"/>
      <c r="K24" s="13"/>
      <c r="L24" s="13"/>
      <c r="M24" s="14">
        <f t="shared" si="0"/>
        <v>0</v>
      </c>
      <c r="N24" s="15"/>
      <c r="O24" s="21">
        <v>190</v>
      </c>
      <c r="P24" s="13">
        <v>-202.5</v>
      </c>
      <c r="Q24" s="21">
        <v>202.5</v>
      </c>
      <c r="R24" s="13"/>
      <c r="S24" s="14">
        <f t="shared" si="1"/>
        <v>0</v>
      </c>
      <c r="T24" s="16">
        <f t="shared" si="2"/>
        <v>0</v>
      </c>
      <c r="U24" s="21">
        <v>215</v>
      </c>
      <c r="V24" s="21">
        <v>227.5</v>
      </c>
      <c r="W24" s="21">
        <v>237.5</v>
      </c>
      <c r="X24" s="13"/>
      <c r="Y24" s="14">
        <f t="shared" si="3"/>
        <v>0</v>
      </c>
      <c r="Z24" s="16"/>
      <c r="AA24" s="17"/>
      <c r="AB24" s="17"/>
      <c r="AC24" s="18"/>
      <c r="AD24" s="14"/>
      <c r="AE24" s="3"/>
      <c r="AF24" s="19"/>
      <c r="AG24" s="20"/>
    </row>
    <row r="25" spans="1:33">
      <c r="A25" s="1" t="s">
        <v>26</v>
      </c>
      <c r="B25" s="2" t="s">
        <v>40</v>
      </c>
      <c r="C25" s="1">
        <v>31</v>
      </c>
      <c r="D25" s="1" t="s">
        <v>6</v>
      </c>
      <c r="E25" s="1">
        <v>109.2</v>
      </c>
      <c r="F25" s="3">
        <f>IF(OR(D25="",E25=""),"",IF(LEFT(D25,1)="M",VLOOKUP(E25,[1]Setup!$J$9:$K$23,2,TRUE),VLOOKUP(E25,[1]Setup!$L$9:$M$23,2,TRUE)))</f>
        <v>110</v>
      </c>
      <c r="G25" s="1">
        <v>25</v>
      </c>
      <c r="H25" s="1"/>
      <c r="I25" s="13"/>
      <c r="J25" s="13"/>
      <c r="K25" s="13"/>
      <c r="L25" s="13"/>
      <c r="M25" s="14">
        <f t="shared" si="0"/>
        <v>0</v>
      </c>
      <c r="N25" s="15"/>
      <c r="O25" s="13">
        <v>-250</v>
      </c>
      <c r="P25" s="13">
        <v>-250</v>
      </c>
      <c r="Q25" s="13">
        <v>-250</v>
      </c>
      <c r="R25" s="13"/>
      <c r="S25" s="14">
        <f t="shared" si="1"/>
        <v>0</v>
      </c>
      <c r="T25" s="16">
        <f t="shared" si="2"/>
        <v>0</v>
      </c>
      <c r="U25" s="13"/>
      <c r="V25" s="13"/>
      <c r="W25" s="13"/>
      <c r="X25" s="13"/>
      <c r="Y25" s="14">
        <f t="shared" si="3"/>
        <v>0</v>
      </c>
      <c r="Z25" s="16"/>
      <c r="AA25" s="17"/>
      <c r="AB25" s="17"/>
      <c r="AC25" s="18"/>
      <c r="AD25" s="14"/>
      <c r="AE25" s="3"/>
      <c r="AF25" s="19"/>
      <c r="AG25" s="20"/>
    </row>
    <row r="26" spans="1:33">
      <c r="A26" s="1" t="s">
        <v>0</v>
      </c>
      <c r="B26" s="2" t="s">
        <v>11</v>
      </c>
      <c r="C26" s="1">
        <v>30</v>
      </c>
      <c r="D26" s="1" t="s">
        <v>6</v>
      </c>
      <c r="E26" s="1">
        <v>109.4</v>
      </c>
      <c r="F26" s="3">
        <f>IF(OR(D26="",E26=""),"",IF(LEFT(D26,1)="M",VLOOKUP(E26,[1]Setup!$J$9:$K$23,2,TRUE),VLOOKUP(E26,[1]Setup!$L$9:$M$23,2,TRUE)))</f>
        <v>110</v>
      </c>
      <c r="G26" s="1">
        <v>26</v>
      </c>
      <c r="H26" s="1" t="s">
        <v>117</v>
      </c>
      <c r="I26" s="13">
        <v>-197.5</v>
      </c>
      <c r="J26" s="21">
        <v>197.5</v>
      </c>
      <c r="K26" s="21">
        <v>217.5</v>
      </c>
      <c r="L26" s="13"/>
      <c r="M26" s="14">
        <f t="shared" si="0"/>
        <v>0</v>
      </c>
      <c r="N26" s="15"/>
      <c r="O26" s="13">
        <v>-147.5</v>
      </c>
      <c r="P26" s="13">
        <v>-155</v>
      </c>
      <c r="Q26" s="13">
        <v>-155</v>
      </c>
      <c r="R26" s="13"/>
      <c r="S26" s="14">
        <f t="shared" si="1"/>
        <v>0</v>
      </c>
      <c r="T26" s="16">
        <f t="shared" si="2"/>
        <v>0</v>
      </c>
      <c r="U26" s="21">
        <v>210</v>
      </c>
      <c r="V26" s="21">
        <v>220</v>
      </c>
      <c r="W26" s="21">
        <v>232.5</v>
      </c>
      <c r="X26" s="13"/>
      <c r="Y26" s="14">
        <f t="shared" si="3"/>
        <v>0</v>
      </c>
      <c r="Z26" s="16"/>
      <c r="AA26" s="17"/>
      <c r="AB26" s="17"/>
      <c r="AC26" s="18"/>
      <c r="AD26" s="14"/>
      <c r="AE26" s="3"/>
      <c r="AF26" s="19"/>
      <c r="AG26" s="20"/>
    </row>
    <row r="27" spans="1:33">
      <c r="A27" s="1" t="s">
        <v>0</v>
      </c>
      <c r="B27" s="2" t="s">
        <v>25</v>
      </c>
      <c r="C27" s="1">
        <v>54</v>
      </c>
      <c r="D27" s="1" t="s">
        <v>8</v>
      </c>
      <c r="E27" s="1">
        <v>111.8</v>
      </c>
      <c r="F27" s="3">
        <f>IF(OR(D27="",E27=""),"",IF(LEFT(D27,1)="M",VLOOKUP(E27,[1]Setup!$J$9:$K$23,2,TRUE),VLOOKUP(E27,[1]Setup!$L$9:$M$23,2,TRUE)))</f>
        <v>125</v>
      </c>
      <c r="G27" s="1">
        <v>27</v>
      </c>
      <c r="H27" s="1"/>
      <c r="I27" s="13"/>
      <c r="J27" s="13"/>
      <c r="K27" s="13"/>
      <c r="L27" s="13"/>
      <c r="M27" s="14">
        <f t="shared" si="0"/>
        <v>0</v>
      </c>
      <c r="N27" s="15"/>
      <c r="O27" s="21">
        <v>182.5</v>
      </c>
      <c r="P27" s="13">
        <v>-192.5</v>
      </c>
      <c r="Q27" s="21">
        <v>192.5</v>
      </c>
      <c r="R27" s="13"/>
      <c r="S27" s="14">
        <f t="shared" si="1"/>
        <v>0</v>
      </c>
      <c r="T27" s="16">
        <f t="shared" si="2"/>
        <v>0</v>
      </c>
      <c r="U27" s="13"/>
      <c r="V27" s="13"/>
      <c r="W27" s="13"/>
      <c r="X27" s="13"/>
      <c r="Y27" s="14">
        <f t="shared" si="3"/>
        <v>0</v>
      </c>
      <c r="Z27" s="16"/>
      <c r="AA27" s="17"/>
      <c r="AB27" s="17"/>
      <c r="AC27" s="18"/>
      <c r="AD27" s="14"/>
      <c r="AE27" s="3"/>
      <c r="AF27" s="19"/>
      <c r="AG27" s="20"/>
    </row>
    <row r="28" spans="1:33">
      <c r="A28" s="1" t="s">
        <v>0</v>
      </c>
      <c r="B28" s="2" t="s">
        <v>16</v>
      </c>
      <c r="C28" s="1">
        <v>24</v>
      </c>
      <c r="D28" s="1" t="s">
        <v>6</v>
      </c>
      <c r="E28" s="1">
        <v>96</v>
      </c>
      <c r="F28" s="3">
        <f>IF(OR(D28="",E28=""),"",IF(LEFT(D28,1)="M",VLOOKUP(E28,[1]Setup!$J$9:$K$23,2,TRUE),VLOOKUP(E28,[1]Setup!$L$9:$M$23,2,TRUE)))</f>
        <v>100</v>
      </c>
      <c r="G28" s="1">
        <v>28</v>
      </c>
      <c r="H28" s="1" t="s">
        <v>119</v>
      </c>
      <c r="I28" s="21">
        <v>250</v>
      </c>
      <c r="J28" s="21">
        <v>267.5</v>
      </c>
      <c r="K28" s="13">
        <v>-282.5</v>
      </c>
      <c r="L28" s="13"/>
      <c r="M28" s="14">
        <f t="shared" si="0"/>
        <v>0</v>
      </c>
      <c r="N28" s="15"/>
      <c r="O28" s="21">
        <v>125</v>
      </c>
      <c r="P28" s="13">
        <v>-227.5</v>
      </c>
      <c r="Q28" s="13">
        <v>-227.5</v>
      </c>
      <c r="R28" s="13"/>
      <c r="S28" s="14">
        <f t="shared" si="1"/>
        <v>0</v>
      </c>
      <c r="T28" s="16">
        <f t="shared" si="2"/>
        <v>0</v>
      </c>
      <c r="U28" s="21">
        <v>250</v>
      </c>
      <c r="V28" s="21">
        <v>272.5</v>
      </c>
      <c r="W28" s="21">
        <v>287.5</v>
      </c>
      <c r="X28" s="13"/>
      <c r="Y28" s="14">
        <f t="shared" si="3"/>
        <v>0</v>
      </c>
      <c r="Z28" s="16"/>
      <c r="AA28" s="17"/>
      <c r="AB28" s="17"/>
      <c r="AC28" s="18"/>
      <c r="AD28" s="14"/>
      <c r="AE28" s="3"/>
      <c r="AF28" s="19"/>
      <c r="AG28" s="20"/>
    </row>
    <row r="29" spans="1:33">
      <c r="A29" s="1" t="s">
        <v>0</v>
      </c>
      <c r="B29" s="2" t="s">
        <v>7</v>
      </c>
      <c r="C29" s="1">
        <v>50</v>
      </c>
      <c r="D29" s="1" t="s">
        <v>8</v>
      </c>
      <c r="E29" s="1">
        <v>81.8</v>
      </c>
      <c r="F29" s="3">
        <f>IF(OR(D29="",E29=""),"",IF(LEFT(D29,1)="M",VLOOKUP(E29,[1]Setup!$J$9:$K$23,2,TRUE),VLOOKUP(E29,[1]Setup!$L$9:$M$23,2,TRUE)))</f>
        <v>82.5</v>
      </c>
      <c r="G29" s="1">
        <v>29</v>
      </c>
      <c r="H29" s="1" t="s">
        <v>127</v>
      </c>
      <c r="I29" s="13">
        <v>-250</v>
      </c>
      <c r="J29" s="21">
        <v>250</v>
      </c>
      <c r="K29" s="21">
        <v>265</v>
      </c>
      <c r="L29" s="13"/>
      <c r="M29" s="14">
        <f t="shared" si="0"/>
        <v>0</v>
      </c>
      <c r="N29" s="15"/>
      <c r="O29" s="13">
        <v>-210</v>
      </c>
      <c r="P29" s="13">
        <v>-210</v>
      </c>
      <c r="Q29" s="21">
        <v>210</v>
      </c>
      <c r="R29" s="13"/>
      <c r="S29" s="14">
        <f t="shared" si="1"/>
        <v>0</v>
      </c>
      <c r="T29" s="16">
        <f t="shared" si="2"/>
        <v>0</v>
      </c>
      <c r="U29" s="21">
        <v>197.5</v>
      </c>
      <c r="V29" s="21">
        <v>207.5</v>
      </c>
      <c r="W29" s="13">
        <v>-212.5</v>
      </c>
      <c r="X29" s="13"/>
      <c r="Y29" s="14">
        <f t="shared" si="3"/>
        <v>0</v>
      </c>
      <c r="Z29" s="16"/>
      <c r="AA29" s="17"/>
      <c r="AB29" s="17"/>
      <c r="AC29" s="18"/>
      <c r="AD29" s="14"/>
      <c r="AE29" s="3"/>
      <c r="AF29" s="19"/>
      <c r="AG29" s="20"/>
    </row>
    <row r="30" spans="1:33">
      <c r="A30" s="1" t="s">
        <v>48</v>
      </c>
      <c r="B30" s="2" t="s">
        <v>49</v>
      </c>
      <c r="C30" s="1">
        <v>42</v>
      </c>
      <c r="D30" s="1" t="s">
        <v>8</v>
      </c>
      <c r="E30" s="1">
        <v>106.6</v>
      </c>
      <c r="F30" s="3">
        <f>IF(OR(D30="",E30=""),"",IF(LEFT(D30,1)="M",VLOOKUP(E30,[1]Setup!$J$9:$K$23,2,TRUE),VLOOKUP(E30,[1]Setup!$L$9:$M$23,2,TRUE)))</f>
        <v>110</v>
      </c>
      <c r="G30" s="1">
        <v>31</v>
      </c>
      <c r="H30" s="1" t="s">
        <v>137</v>
      </c>
      <c r="I30" s="21">
        <v>350</v>
      </c>
      <c r="J30" s="21">
        <v>370</v>
      </c>
      <c r="K30" s="13"/>
      <c r="L30" s="13"/>
      <c r="M30" s="14">
        <f t="shared" si="0"/>
        <v>0</v>
      </c>
      <c r="N30" s="15"/>
      <c r="O30" s="13">
        <v>-272.5</v>
      </c>
      <c r="P30" s="21">
        <v>272.5</v>
      </c>
      <c r="Q30" s="21">
        <v>290</v>
      </c>
      <c r="R30" s="13"/>
      <c r="S30" s="14">
        <f t="shared" si="1"/>
        <v>0</v>
      </c>
      <c r="T30" s="16">
        <f t="shared" si="2"/>
        <v>0</v>
      </c>
      <c r="U30" s="21">
        <v>245</v>
      </c>
      <c r="V30" s="21">
        <v>260</v>
      </c>
      <c r="W30" s="13">
        <v>-272.5</v>
      </c>
      <c r="X30" s="13"/>
      <c r="Y30" s="14">
        <f t="shared" si="3"/>
        <v>0</v>
      </c>
      <c r="Z30" s="16"/>
      <c r="AA30" s="17"/>
      <c r="AB30" s="17"/>
      <c r="AC30" s="18"/>
      <c r="AD30" s="14"/>
      <c r="AE30" s="3"/>
      <c r="AF30" s="19"/>
      <c r="AG30" s="20"/>
    </row>
    <row r="31" spans="1:33">
      <c r="A31" s="1" t="s">
        <v>26</v>
      </c>
      <c r="B31" s="2" t="s">
        <v>46</v>
      </c>
      <c r="C31" s="1">
        <v>21</v>
      </c>
      <c r="D31" s="1" t="s">
        <v>6</v>
      </c>
      <c r="E31" s="1">
        <v>129.6</v>
      </c>
      <c r="F31" s="3">
        <f>IF(OR(D31="",E31=""),"",IF(LEFT(D31,1)="M",VLOOKUP(E31,[1]Setup!$J$9:$K$23,2,TRUE),VLOOKUP(E31,[1]Setup!$L$9:$M$23,2,TRUE)))</f>
        <v>140</v>
      </c>
      <c r="G31" s="1">
        <v>32</v>
      </c>
      <c r="H31" s="1"/>
      <c r="I31" s="13"/>
      <c r="J31" s="13"/>
      <c r="K31" s="13"/>
      <c r="L31" s="13"/>
      <c r="M31" s="14">
        <f t="shared" si="0"/>
        <v>0</v>
      </c>
      <c r="N31" s="15"/>
      <c r="O31" s="21">
        <v>250</v>
      </c>
      <c r="P31" s="13">
        <v>-265</v>
      </c>
      <c r="Q31" s="21">
        <v>265</v>
      </c>
      <c r="R31" s="13"/>
      <c r="S31" s="14">
        <f t="shared" si="1"/>
        <v>0</v>
      </c>
      <c r="T31" s="16">
        <f t="shared" si="2"/>
        <v>0</v>
      </c>
      <c r="U31" s="13"/>
      <c r="V31" s="13"/>
      <c r="W31" s="13"/>
      <c r="X31" s="13"/>
      <c r="Y31" s="14">
        <f t="shared" si="3"/>
        <v>0</v>
      </c>
      <c r="Z31" s="16"/>
      <c r="AA31" s="17"/>
      <c r="AB31" s="17"/>
      <c r="AC31" s="18"/>
      <c r="AD31" s="14"/>
      <c r="AE31" s="3"/>
      <c r="AF31" s="19"/>
      <c r="AG31" s="20"/>
    </row>
    <row r="32" spans="1:33">
      <c r="A32" s="1" t="s">
        <v>26</v>
      </c>
      <c r="B32" s="2" t="s">
        <v>28</v>
      </c>
      <c r="C32" s="1">
        <v>33</v>
      </c>
      <c r="D32" s="1" t="s">
        <v>6</v>
      </c>
      <c r="E32" s="1">
        <v>80.400000000000006</v>
      </c>
      <c r="F32" s="3">
        <f>IF(OR(D32="",E32=""),"",IF(LEFT(D32,1)="M",VLOOKUP(E32,[1]Setup!$J$9:$K$23,2,TRUE),VLOOKUP(E32,[1]Setup!$L$9:$M$23,2,TRUE)))</f>
        <v>82.5</v>
      </c>
      <c r="G32" s="1">
        <v>33</v>
      </c>
      <c r="H32" s="1"/>
      <c r="I32" s="21">
        <v>285</v>
      </c>
      <c r="J32" s="21">
        <v>300</v>
      </c>
      <c r="K32" s="13">
        <v>-310</v>
      </c>
      <c r="L32" s="13"/>
      <c r="M32" s="14">
        <f t="shared" si="0"/>
        <v>0</v>
      </c>
      <c r="N32" s="15"/>
      <c r="O32" s="13">
        <v>-160</v>
      </c>
      <c r="P32" s="13">
        <v>-160</v>
      </c>
      <c r="Q32" s="13">
        <v>-160</v>
      </c>
      <c r="R32" s="13"/>
      <c r="S32" s="14">
        <f t="shared" si="1"/>
        <v>0</v>
      </c>
      <c r="T32" s="16">
        <f t="shared" si="2"/>
        <v>0</v>
      </c>
      <c r="U32" s="21">
        <v>217.5</v>
      </c>
      <c r="V32" s="13">
        <v>-227.5</v>
      </c>
      <c r="W32" s="13"/>
      <c r="X32" s="13"/>
      <c r="Y32" s="14">
        <f t="shared" si="3"/>
        <v>0</v>
      </c>
      <c r="Z32" s="16"/>
      <c r="AA32" s="17"/>
      <c r="AB32" s="17"/>
      <c r="AC32" s="18"/>
      <c r="AD32" s="14"/>
      <c r="AE32" s="3"/>
      <c r="AF32" s="19"/>
      <c r="AG32" s="20"/>
    </row>
    <row r="33" spans="1:33">
      <c r="A33" s="1" t="s">
        <v>0</v>
      </c>
      <c r="B33" s="2" t="s">
        <v>20</v>
      </c>
      <c r="C33" s="1">
        <v>34</v>
      </c>
      <c r="D33" s="1" t="s">
        <v>6</v>
      </c>
      <c r="E33" s="1">
        <v>106.8</v>
      </c>
      <c r="F33" s="3">
        <f>IF(OR(D33="",E33=""),"",IF(LEFT(D33,1)="M",VLOOKUP(E33,[1]Setup!$J$9:$K$23,2,TRUE),VLOOKUP(E33,[1]Setup!$L$9:$M$23,2,TRUE)))</f>
        <v>110</v>
      </c>
      <c r="G33" s="1">
        <v>34</v>
      </c>
      <c r="H33" s="1" t="s">
        <v>121</v>
      </c>
      <c r="I33" s="13">
        <v>-145</v>
      </c>
      <c r="J33" s="13">
        <v>-145</v>
      </c>
      <c r="K33" s="13">
        <v>-145</v>
      </c>
      <c r="L33" s="13"/>
      <c r="M33" s="14">
        <f t="shared" si="0"/>
        <v>0</v>
      </c>
      <c r="N33" s="15"/>
      <c r="O33" s="13">
        <v>-142.5</v>
      </c>
      <c r="P33" s="13">
        <v>-142.5</v>
      </c>
      <c r="Q33" s="13">
        <v>-142.5</v>
      </c>
      <c r="R33" s="13"/>
      <c r="S33" s="14">
        <f t="shared" si="1"/>
        <v>0</v>
      </c>
      <c r="T33" s="16">
        <f t="shared" si="2"/>
        <v>0</v>
      </c>
      <c r="U33" s="13"/>
      <c r="V33" s="13"/>
      <c r="W33" s="13"/>
      <c r="X33" s="13"/>
      <c r="Y33" s="14">
        <f t="shared" si="3"/>
        <v>0</v>
      </c>
      <c r="Z33" s="16"/>
      <c r="AA33" s="17"/>
      <c r="AB33" s="17"/>
      <c r="AC33" s="18"/>
      <c r="AD33" s="14"/>
      <c r="AE33" s="3"/>
      <c r="AF33" s="19"/>
      <c r="AG33" s="20"/>
    </row>
    <row r="34" spans="1:33">
      <c r="A34" s="1" t="s">
        <v>26</v>
      </c>
      <c r="B34" s="2" t="s">
        <v>29</v>
      </c>
      <c r="C34" s="1">
        <v>24</v>
      </c>
      <c r="D34" s="1" t="s">
        <v>6</v>
      </c>
      <c r="E34" s="1">
        <v>108.8</v>
      </c>
      <c r="F34" s="3">
        <f>IF(OR(D34="",E34=""),"",IF(LEFT(D34,1)="M",VLOOKUP(E34,[1]Setup!$J$9:$K$23,2,TRUE),VLOOKUP(E34,[1]Setup!$L$9:$M$23,2,TRUE)))</f>
        <v>110</v>
      </c>
      <c r="G34" s="1">
        <v>35</v>
      </c>
      <c r="H34" s="1" t="s">
        <v>129</v>
      </c>
      <c r="I34" s="21">
        <v>330</v>
      </c>
      <c r="J34" s="21">
        <v>345</v>
      </c>
      <c r="K34" s="21">
        <v>-357.5</v>
      </c>
      <c r="L34" s="13"/>
      <c r="M34" s="14">
        <f t="shared" ref="M34:M62" si="4">IF(MAX(CI34:CK34)&gt;0,MAX(ABS(I34)*CI34,ABS(J34)*CJ34,CK34*ABS(K34)),0)</f>
        <v>0</v>
      </c>
      <c r="N34" s="15"/>
      <c r="O34" s="21">
        <v>160</v>
      </c>
      <c r="P34" s="21">
        <v>182.5</v>
      </c>
      <c r="Q34" s="13">
        <v>-195</v>
      </c>
      <c r="R34" s="13"/>
      <c r="S34" s="14">
        <f t="shared" ref="S34:S62" si="5">IF(MAX(CO34:CQ34)&gt;0,MAX(ABS(O34)*CO34,ABS(P34)*CP34,CQ34*ABS(Q34)),0)</f>
        <v>0</v>
      </c>
      <c r="T34" s="16">
        <f t="shared" ref="T34:T62" si="6">IF(OR(M34=0,S34=0),0,M34+S34)</f>
        <v>0</v>
      </c>
      <c r="U34" s="21">
        <v>227.5</v>
      </c>
      <c r="V34" s="21">
        <v>242.5</v>
      </c>
      <c r="W34" s="21">
        <v>260</v>
      </c>
      <c r="X34" s="13"/>
      <c r="Y34" s="14">
        <f t="shared" ref="Y34:Y62" si="7">IF(MAX(CU34:CW34)&gt;0,MAX(ABS(U34)*CU34,ABS(V34)*CV34,CW34*ABS(W34)),0)</f>
        <v>0</v>
      </c>
      <c r="Z34" s="16"/>
      <c r="AA34" s="17"/>
      <c r="AB34" s="17"/>
      <c r="AC34" s="18"/>
      <c r="AD34" s="14"/>
      <c r="AE34" s="3"/>
      <c r="AF34" s="19"/>
      <c r="AG34" s="20"/>
    </row>
    <row r="35" spans="1:33">
      <c r="A35" s="1" t="s">
        <v>0</v>
      </c>
      <c r="B35" s="2" t="s">
        <v>24</v>
      </c>
      <c r="C35" s="1">
        <v>25</v>
      </c>
      <c r="D35" s="1" t="s">
        <v>2</v>
      </c>
      <c r="E35" s="1">
        <v>81.400000000000006</v>
      </c>
      <c r="F35" s="3">
        <f>IF(OR(D35="",E35=""),"",IF(LEFT(D35,1)="M",VLOOKUP(E35,[1]Setup!$J$9:$K$23,2,TRUE),VLOOKUP(E35,[1]Setup!$L$9:$M$23,2,TRUE)))</f>
        <v>82.5</v>
      </c>
      <c r="G35" s="1">
        <v>36</v>
      </c>
      <c r="H35" s="1" t="s">
        <v>123</v>
      </c>
      <c r="I35" s="13">
        <v>-265</v>
      </c>
      <c r="J35" s="13">
        <v>-265</v>
      </c>
      <c r="K35" s="13">
        <v>-265</v>
      </c>
      <c r="L35" s="13"/>
      <c r="M35" s="14">
        <f t="shared" si="4"/>
        <v>0</v>
      </c>
      <c r="N35" s="15"/>
      <c r="O35" s="21">
        <v>167.5</v>
      </c>
      <c r="P35" s="21">
        <v>177.5</v>
      </c>
      <c r="Q35" s="13">
        <v>-182.5</v>
      </c>
      <c r="R35" s="13"/>
      <c r="S35" s="14">
        <f t="shared" si="5"/>
        <v>0</v>
      </c>
      <c r="T35" s="16">
        <f t="shared" si="6"/>
        <v>0</v>
      </c>
      <c r="U35" s="13"/>
      <c r="V35" s="13"/>
      <c r="W35" s="13"/>
      <c r="X35" s="13"/>
      <c r="Y35" s="14">
        <f t="shared" si="7"/>
        <v>0</v>
      </c>
      <c r="Z35" s="16"/>
      <c r="AA35" s="17"/>
      <c r="AB35" s="17"/>
      <c r="AC35" s="18"/>
      <c r="AD35" s="14"/>
      <c r="AE35" s="3"/>
      <c r="AF35" s="19"/>
      <c r="AG35" s="20"/>
    </row>
    <row r="36" spans="1:33">
      <c r="A36" s="1" t="s">
        <v>48</v>
      </c>
      <c r="B36" s="2" t="s">
        <v>51</v>
      </c>
      <c r="C36" s="1">
        <v>21</v>
      </c>
      <c r="D36" s="1" t="s">
        <v>6</v>
      </c>
      <c r="E36" s="1">
        <v>154.19999999999999</v>
      </c>
      <c r="F36" s="3" t="str">
        <f>IF(OR(D36="",E36=""),"",IF(LEFT(D36,1)="M",VLOOKUP(E36,[1]Setup!$J$9:$K$23,2,TRUE),VLOOKUP(E36,[1]Setup!$L$9:$M$23,2,TRUE)))</f>
        <v>SHW</v>
      </c>
      <c r="G36" s="1">
        <v>37</v>
      </c>
      <c r="H36" s="1" t="s">
        <v>139</v>
      </c>
      <c r="I36" s="21">
        <v>432.5</v>
      </c>
      <c r="J36" s="13">
        <v>-455</v>
      </c>
      <c r="K36" s="13">
        <v>455</v>
      </c>
      <c r="L36" s="13"/>
      <c r="M36" s="14">
        <f t="shared" si="4"/>
        <v>0</v>
      </c>
      <c r="N36" s="15"/>
      <c r="O36" s="13">
        <v>-345</v>
      </c>
      <c r="P36" s="21">
        <v>345</v>
      </c>
      <c r="Q36" s="21">
        <v>365</v>
      </c>
      <c r="R36" s="13"/>
      <c r="S36" s="14">
        <f t="shared" si="5"/>
        <v>0</v>
      </c>
      <c r="T36" s="16">
        <f t="shared" si="6"/>
        <v>0</v>
      </c>
      <c r="U36" s="21">
        <v>287.5</v>
      </c>
      <c r="V36" s="21">
        <v>310</v>
      </c>
      <c r="W36" s="13">
        <v>-320</v>
      </c>
      <c r="X36" s="13"/>
      <c r="Y36" s="14">
        <f t="shared" si="7"/>
        <v>0</v>
      </c>
      <c r="Z36" s="16"/>
      <c r="AA36" s="17"/>
      <c r="AB36" s="17"/>
      <c r="AC36" s="18"/>
      <c r="AD36" s="14"/>
      <c r="AE36" s="3"/>
      <c r="AF36" s="19"/>
      <c r="AG36" s="20"/>
    </row>
    <row r="37" spans="1:33">
      <c r="A37" s="1" t="s">
        <v>26</v>
      </c>
      <c r="B37" s="2" t="s">
        <v>37</v>
      </c>
      <c r="C37" s="1">
        <v>33</v>
      </c>
      <c r="D37" s="1" t="s">
        <v>6</v>
      </c>
      <c r="E37" s="1">
        <v>109.4</v>
      </c>
      <c r="F37" s="3">
        <f>IF(OR(D37="",E37=""),"",IF(LEFT(D37,1)="M",VLOOKUP(E37,[1]Setup!$J$9:$K$23,2,TRUE),VLOOKUP(E37,[1]Setup!$L$9:$M$23,2,TRUE)))</f>
        <v>110</v>
      </c>
      <c r="G37" s="1">
        <v>38</v>
      </c>
      <c r="H37" s="1" t="s">
        <v>133</v>
      </c>
      <c r="I37" s="21">
        <v>342.5</v>
      </c>
      <c r="J37" s="13">
        <v>-350</v>
      </c>
      <c r="K37" s="21">
        <v>-350</v>
      </c>
      <c r="L37" s="13"/>
      <c r="M37" s="14">
        <f t="shared" si="4"/>
        <v>0</v>
      </c>
      <c r="N37" s="15"/>
      <c r="O37" s="21">
        <v>237.5</v>
      </c>
      <c r="P37" s="13">
        <v>-250</v>
      </c>
      <c r="Q37" s="13">
        <v>-250</v>
      </c>
      <c r="R37" s="13"/>
      <c r="S37" s="14">
        <f t="shared" si="5"/>
        <v>0</v>
      </c>
      <c r="T37" s="16">
        <f t="shared" si="6"/>
        <v>0</v>
      </c>
      <c r="U37" s="21">
        <v>290</v>
      </c>
      <c r="V37" s="21">
        <v>315</v>
      </c>
      <c r="W37" s="13">
        <v>-327.5</v>
      </c>
      <c r="X37" s="13"/>
      <c r="Y37" s="14">
        <f t="shared" si="7"/>
        <v>0</v>
      </c>
      <c r="Z37" s="16"/>
      <c r="AA37" s="17"/>
      <c r="AB37" s="17"/>
      <c r="AC37" s="18"/>
      <c r="AD37" s="14"/>
      <c r="AE37" s="3"/>
      <c r="AF37" s="19"/>
      <c r="AG37" s="20"/>
    </row>
    <row r="38" spans="1:33">
      <c r="A38" s="1" t="s">
        <v>0</v>
      </c>
      <c r="B38" s="2" t="s">
        <v>9</v>
      </c>
      <c r="C38" s="1">
        <v>25</v>
      </c>
      <c r="D38" s="1" t="s">
        <v>6</v>
      </c>
      <c r="E38" s="1">
        <v>98.2</v>
      </c>
      <c r="F38" s="3">
        <f>IF(OR(D38="",E38=""),"",IF(LEFT(D38,1)="M",VLOOKUP(E38,[1]Setup!$J$9:$K$23,2,TRUE),VLOOKUP(E38,[1]Setup!$L$9:$M$23,2,TRUE)))</f>
        <v>100</v>
      </c>
      <c r="G38" s="1">
        <v>39</v>
      </c>
      <c r="H38" s="1" t="s">
        <v>122</v>
      </c>
      <c r="I38" s="13">
        <v>-205</v>
      </c>
      <c r="J38" s="13">
        <v>-215</v>
      </c>
      <c r="K38" s="21">
        <v>227.5</v>
      </c>
      <c r="L38" s="13"/>
      <c r="M38" s="14">
        <f t="shared" si="4"/>
        <v>0</v>
      </c>
      <c r="N38" s="15"/>
      <c r="O38" s="21">
        <v>150</v>
      </c>
      <c r="P38" s="13">
        <v>-162</v>
      </c>
      <c r="Q38" s="13">
        <v>-162</v>
      </c>
      <c r="R38" s="13"/>
      <c r="S38" s="14">
        <f t="shared" si="5"/>
        <v>0</v>
      </c>
      <c r="T38" s="16">
        <f t="shared" si="6"/>
        <v>0</v>
      </c>
      <c r="U38" s="21">
        <v>205</v>
      </c>
      <c r="V38" s="21">
        <v>212.5</v>
      </c>
      <c r="W38" s="21">
        <v>220</v>
      </c>
      <c r="X38" s="13"/>
      <c r="Y38" s="14">
        <f t="shared" si="7"/>
        <v>0</v>
      </c>
      <c r="Z38" s="16"/>
      <c r="AA38" s="17"/>
      <c r="AB38" s="17"/>
      <c r="AC38" s="18"/>
      <c r="AD38" s="14"/>
      <c r="AE38" s="3"/>
      <c r="AF38" s="19"/>
      <c r="AG38" s="20"/>
    </row>
    <row r="39" spans="1:33">
      <c r="A39" s="1" t="s">
        <v>0</v>
      </c>
      <c r="B39" s="2" t="s">
        <v>18</v>
      </c>
      <c r="C39" s="1">
        <v>28</v>
      </c>
      <c r="D39" s="1" t="s">
        <v>6</v>
      </c>
      <c r="E39" s="1">
        <v>113.6</v>
      </c>
      <c r="F39" s="3">
        <f>IF(OR(D39="",E39=""),"",IF(LEFT(D39,1)="M",VLOOKUP(E39,[1]Setup!$J$9:$K$23,2,TRUE),VLOOKUP(E39,[1]Setup!$L$9:$M$23,2,TRUE)))</f>
        <v>125</v>
      </c>
      <c r="G39" s="1">
        <v>40</v>
      </c>
      <c r="H39" s="1" t="s">
        <v>125</v>
      </c>
      <c r="I39" s="21">
        <v>237.5</v>
      </c>
      <c r="J39" s="21">
        <v>265</v>
      </c>
      <c r="K39" s="13">
        <v>-272.5</v>
      </c>
      <c r="L39" s="13"/>
      <c r="M39" s="14">
        <f t="shared" si="4"/>
        <v>0</v>
      </c>
      <c r="N39" s="15"/>
      <c r="O39" s="21">
        <v>182.5</v>
      </c>
      <c r="P39" s="13">
        <v>-195</v>
      </c>
      <c r="Q39" s="13">
        <v>-195</v>
      </c>
      <c r="R39" s="13"/>
      <c r="S39" s="14">
        <f t="shared" si="5"/>
        <v>0</v>
      </c>
      <c r="T39" s="16">
        <f t="shared" si="6"/>
        <v>0</v>
      </c>
      <c r="U39" s="21">
        <v>322.5</v>
      </c>
      <c r="V39" s="21">
        <v>345</v>
      </c>
      <c r="W39" s="13">
        <v>-365</v>
      </c>
      <c r="X39" s="13"/>
      <c r="Y39" s="14">
        <f t="shared" si="7"/>
        <v>0</v>
      </c>
      <c r="Z39" s="16"/>
      <c r="AA39" s="17"/>
      <c r="AB39" s="17"/>
      <c r="AC39" s="18"/>
      <c r="AD39" s="14"/>
      <c r="AE39" s="3"/>
      <c r="AF39" s="19"/>
      <c r="AG39" s="20"/>
    </row>
    <row r="40" spans="1:33">
      <c r="A40" s="1" t="s">
        <v>48</v>
      </c>
      <c r="B40" s="2" t="s">
        <v>54</v>
      </c>
      <c r="C40" s="1">
        <v>34</v>
      </c>
      <c r="D40" s="1" t="s">
        <v>6</v>
      </c>
      <c r="E40" s="1">
        <v>90</v>
      </c>
      <c r="F40" s="3">
        <f>IF(OR(D40="",E40=""),"",IF(LEFT(D40,1)="M",VLOOKUP(E40,[1]Setup!$J$9:$K$23,2,TRUE),VLOOKUP(E40,[1]Setup!$L$9:$M$23,2,TRUE)))</f>
        <v>90</v>
      </c>
      <c r="G40" s="1">
        <v>41</v>
      </c>
      <c r="H40" s="1"/>
      <c r="I40" s="21">
        <v>410</v>
      </c>
      <c r="J40" s="13">
        <v>-432.5</v>
      </c>
      <c r="K40" s="13">
        <v>-432.5</v>
      </c>
      <c r="L40" s="13"/>
      <c r="M40" s="14">
        <f t="shared" si="4"/>
        <v>0</v>
      </c>
      <c r="N40" s="15"/>
      <c r="O40" s="13">
        <v>-320</v>
      </c>
      <c r="P40" s="13">
        <v>-320</v>
      </c>
      <c r="Q40" s="13">
        <v>-320</v>
      </c>
      <c r="R40" s="13"/>
      <c r="S40" s="14">
        <f t="shared" si="5"/>
        <v>0</v>
      </c>
      <c r="T40" s="16">
        <f t="shared" si="6"/>
        <v>0</v>
      </c>
      <c r="U40" s="21">
        <v>282.5</v>
      </c>
      <c r="V40" s="21">
        <v>295</v>
      </c>
      <c r="W40" s="13"/>
      <c r="X40" s="13"/>
      <c r="Y40" s="14">
        <f t="shared" si="7"/>
        <v>0</v>
      </c>
      <c r="Z40" s="16"/>
      <c r="AA40" s="17"/>
      <c r="AB40" s="17"/>
      <c r="AC40" s="18"/>
      <c r="AD40" s="14"/>
      <c r="AE40" s="3"/>
      <c r="AF40" s="19"/>
      <c r="AG40" s="20"/>
    </row>
    <row r="41" spans="1:33">
      <c r="A41" s="1" t="s">
        <v>26</v>
      </c>
      <c r="B41" s="2" t="s">
        <v>39</v>
      </c>
      <c r="C41" s="1">
        <v>24</v>
      </c>
      <c r="D41" s="1" t="s">
        <v>6</v>
      </c>
      <c r="E41" s="1">
        <v>81.400000000000006</v>
      </c>
      <c r="F41" s="3">
        <f>IF(OR(D41="",E41=""),"",IF(LEFT(D41,1)="M",VLOOKUP(E41,[1]Setup!$J$9:$K$23,2,TRUE),VLOOKUP(E41,[1]Setup!$L$9:$M$23,2,TRUE)))</f>
        <v>82.5</v>
      </c>
      <c r="G41" s="1">
        <v>42</v>
      </c>
      <c r="H41" s="1" t="s">
        <v>128</v>
      </c>
      <c r="I41" s="21">
        <v>332.5</v>
      </c>
      <c r="J41" s="21">
        <v>345</v>
      </c>
      <c r="K41" s="21">
        <v>-360</v>
      </c>
      <c r="L41" s="13"/>
      <c r="M41" s="14">
        <f t="shared" si="4"/>
        <v>0</v>
      </c>
      <c r="N41" s="15"/>
      <c r="O41" s="21">
        <v>62.5</v>
      </c>
      <c r="P41" s="13"/>
      <c r="Q41" s="13"/>
      <c r="R41" s="13"/>
      <c r="S41" s="14">
        <f t="shared" si="5"/>
        <v>0</v>
      </c>
      <c r="T41" s="16">
        <f t="shared" si="6"/>
        <v>0</v>
      </c>
      <c r="U41" s="13"/>
      <c r="V41" s="13"/>
      <c r="W41" s="13"/>
      <c r="X41" s="13"/>
      <c r="Y41" s="14">
        <f t="shared" si="7"/>
        <v>0</v>
      </c>
      <c r="Z41" s="16"/>
      <c r="AA41" s="17"/>
      <c r="AB41" s="17"/>
      <c r="AC41" s="18"/>
      <c r="AD41" s="14"/>
      <c r="AE41" s="3"/>
      <c r="AF41" s="19"/>
      <c r="AG41" s="20"/>
    </row>
    <row r="42" spans="1:33">
      <c r="A42" s="1" t="s">
        <v>26</v>
      </c>
      <c r="B42" s="2" t="s">
        <v>36</v>
      </c>
      <c r="C42" s="1">
        <v>48</v>
      </c>
      <c r="D42" s="1" t="s">
        <v>8</v>
      </c>
      <c r="E42" s="1">
        <v>108.6</v>
      </c>
      <c r="F42" s="3">
        <f>IF(OR(D42="",E42=""),"",IF(LEFT(D42,1)="M",VLOOKUP(E42,[1]Setup!$J$9:$K$23,2,TRUE),VLOOKUP(E42,[1]Setup!$L$9:$M$23,2,TRUE)))</f>
        <v>110</v>
      </c>
      <c r="G42" s="1">
        <v>43</v>
      </c>
      <c r="H42" s="1" t="s">
        <v>126</v>
      </c>
      <c r="I42" s="21">
        <v>357.5</v>
      </c>
      <c r="J42" s="21">
        <v>367.5</v>
      </c>
      <c r="K42" s="13"/>
      <c r="L42" s="13"/>
      <c r="M42" s="14">
        <f t="shared" si="4"/>
        <v>0</v>
      </c>
      <c r="N42" s="15"/>
      <c r="O42" s="21">
        <v>275</v>
      </c>
      <c r="P42" s="21">
        <v>282.5</v>
      </c>
      <c r="Q42" s="13"/>
      <c r="R42" s="13"/>
      <c r="S42" s="14">
        <f t="shared" si="5"/>
        <v>0</v>
      </c>
      <c r="T42" s="16">
        <f t="shared" si="6"/>
        <v>0</v>
      </c>
      <c r="U42" s="21">
        <v>277.5</v>
      </c>
      <c r="V42" s="21">
        <v>290</v>
      </c>
      <c r="W42" s="21">
        <v>295</v>
      </c>
      <c r="X42" s="13"/>
      <c r="Y42" s="14">
        <f t="shared" si="7"/>
        <v>0</v>
      </c>
      <c r="Z42" s="16"/>
      <c r="AA42" s="17"/>
      <c r="AB42" s="17"/>
      <c r="AC42" s="18"/>
      <c r="AD42" s="14"/>
      <c r="AE42" s="3"/>
      <c r="AF42" s="19"/>
      <c r="AG42" s="20"/>
    </row>
    <row r="43" spans="1:33">
      <c r="A43" s="1" t="s">
        <v>48</v>
      </c>
      <c r="B43" s="2" t="s">
        <v>59</v>
      </c>
      <c r="C43" s="1">
        <v>24</v>
      </c>
      <c r="D43" s="1" t="s">
        <v>6</v>
      </c>
      <c r="E43" s="1">
        <v>108</v>
      </c>
      <c r="F43" s="3">
        <f>IF(OR(D43="",E43=""),"",IF(LEFT(D43,1)="M",VLOOKUP(E43,[1]Setup!$J$9:$K$23,2,TRUE),VLOOKUP(E43,[1]Setup!$L$9:$M$23,2,TRUE)))</f>
        <v>110</v>
      </c>
      <c r="G43" s="1">
        <v>44</v>
      </c>
      <c r="H43" s="1" t="s">
        <v>140</v>
      </c>
      <c r="I43" s="13">
        <v>-387.5</v>
      </c>
      <c r="J43" s="13">
        <v>-387.5</v>
      </c>
      <c r="K43" s="13">
        <v>-415</v>
      </c>
      <c r="L43" s="13"/>
      <c r="M43" s="14">
        <f t="shared" si="4"/>
        <v>0</v>
      </c>
      <c r="N43" s="15"/>
      <c r="O43" s="13"/>
      <c r="P43" s="13"/>
      <c r="Q43" s="13"/>
      <c r="R43" s="13"/>
      <c r="S43" s="14">
        <f t="shared" si="5"/>
        <v>0</v>
      </c>
      <c r="T43" s="16">
        <f t="shared" si="6"/>
        <v>0</v>
      </c>
      <c r="U43" s="13"/>
      <c r="V43" s="13"/>
      <c r="W43" s="13"/>
      <c r="X43" s="13"/>
      <c r="Y43" s="14">
        <f t="shared" si="7"/>
        <v>0</v>
      </c>
      <c r="Z43" s="16"/>
      <c r="AA43" s="17"/>
      <c r="AB43" s="17"/>
      <c r="AC43" s="18"/>
      <c r="AD43" s="14"/>
      <c r="AE43" s="3"/>
      <c r="AF43" s="19"/>
      <c r="AG43" s="20"/>
    </row>
    <row r="44" spans="1:33">
      <c r="A44" s="1" t="s">
        <v>0</v>
      </c>
      <c r="B44" s="2" t="s">
        <v>23</v>
      </c>
      <c r="C44" s="1">
        <v>41</v>
      </c>
      <c r="D44" s="1" t="s">
        <v>8</v>
      </c>
      <c r="E44" s="1">
        <v>92.2</v>
      </c>
      <c r="F44" s="3">
        <f>IF(OR(D44="",E44=""),"",IF(LEFT(D44,1)="M",VLOOKUP(E44,[1]Setup!$J$9:$K$23,2,TRUE),VLOOKUP(E44,[1]Setup!$L$9:$M$23,2,TRUE)))</f>
        <v>100</v>
      </c>
      <c r="G44" s="1">
        <v>45</v>
      </c>
      <c r="H44" s="1"/>
      <c r="I44" s="13"/>
      <c r="J44" s="13"/>
      <c r="K44" s="13"/>
      <c r="L44" s="13"/>
      <c r="M44" s="14">
        <f t="shared" si="4"/>
        <v>0</v>
      </c>
      <c r="N44" s="15"/>
      <c r="O44" s="21">
        <v>155</v>
      </c>
      <c r="P44" s="21">
        <v>160</v>
      </c>
      <c r="Q44" s="13">
        <v>-162.5</v>
      </c>
      <c r="R44" s="13"/>
      <c r="S44" s="14">
        <f t="shared" si="5"/>
        <v>0</v>
      </c>
      <c r="T44" s="16">
        <f t="shared" si="6"/>
        <v>0</v>
      </c>
      <c r="U44" s="13"/>
      <c r="V44" s="13"/>
      <c r="W44" s="13"/>
      <c r="X44" s="13"/>
      <c r="Y44" s="14">
        <f t="shared" si="7"/>
        <v>0</v>
      </c>
      <c r="Z44" s="16"/>
      <c r="AA44" s="17"/>
      <c r="AB44" s="17"/>
      <c r="AC44" s="18"/>
      <c r="AD44" s="14"/>
      <c r="AE44" s="3"/>
      <c r="AF44" s="19"/>
      <c r="AG44" s="20"/>
    </row>
    <row r="45" spans="1:33">
      <c r="A45" s="1" t="s">
        <v>0</v>
      </c>
      <c r="B45" s="2" t="s">
        <v>3</v>
      </c>
      <c r="C45" s="1">
        <v>22</v>
      </c>
      <c r="D45" s="1" t="s">
        <v>4</v>
      </c>
      <c r="E45" s="1">
        <v>66</v>
      </c>
      <c r="F45" s="3">
        <f>IF(OR(D45="",E45=""),"",IF(LEFT(D45,1)="M",VLOOKUP(E45,[1]Setup!$J$9:$K$23,2,TRUE),VLOOKUP(E45,[1]Setup!$L$9:$M$23,2,TRUE)))</f>
        <v>67.5</v>
      </c>
      <c r="G45" s="1">
        <v>46</v>
      </c>
      <c r="H45" s="1" t="s">
        <v>117</v>
      </c>
      <c r="I45" s="21">
        <v>155</v>
      </c>
      <c r="J45" s="21">
        <v>165</v>
      </c>
      <c r="K45" s="13">
        <v>-182.5</v>
      </c>
      <c r="L45" s="13"/>
      <c r="M45" s="14">
        <f t="shared" si="4"/>
        <v>0</v>
      </c>
      <c r="N45" s="15"/>
      <c r="O45" s="13">
        <v>-92.5</v>
      </c>
      <c r="P45" s="13">
        <v>-92.5</v>
      </c>
      <c r="Q45" s="13">
        <v>-92.5</v>
      </c>
      <c r="R45" s="13"/>
      <c r="S45" s="14">
        <f t="shared" si="5"/>
        <v>0</v>
      </c>
      <c r="T45" s="16">
        <f t="shared" si="6"/>
        <v>0</v>
      </c>
      <c r="U45" s="21">
        <v>155</v>
      </c>
      <c r="V45" s="21">
        <v>170</v>
      </c>
      <c r="W45" s="13">
        <v>-182.5</v>
      </c>
      <c r="X45" s="13"/>
      <c r="Y45" s="14">
        <f t="shared" si="7"/>
        <v>0</v>
      </c>
      <c r="Z45" s="16"/>
      <c r="AA45" s="17"/>
      <c r="AB45" s="17"/>
      <c r="AC45" s="18"/>
      <c r="AD45" s="14"/>
      <c r="AE45" s="3"/>
      <c r="AF45" s="19"/>
      <c r="AG45" s="20"/>
    </row>
    <row r="46" spans="1:33">
      <c r="A46" s="1" t="s">
        <v>26</v>
      </c>
      <c r="B46" s="2" t="s">
        <v>30</v>
      </c>
      <c r="C46" s="1">
        <v>37</v>
      </c>
      <c r="D46" s="1" t="s">
        <v>6</v>
      </c>
      <c r="E46" s="1">
        <v>89.8</v>
      </c>
      <c r="F46" s="3">
        <f>IF(OR(D46="",E46=""),"",IF(LEFT(D46,1)="M",VLOOKUP(E46,[1]Setup!$J$9:$K$23,2,TRUE),VLOOKUP(E46,[1]Setup!$L$9:$M$23,2,TRUE)))</f>
        <v>90</v>
      </c>
      <c r="G46" s="1">
        <v>47</v>
      </c>
      <c r="H46" s="1" t="s">
        <v>130</v>
      </c>
      <c r="I46" s="13">
        <v>-275</v>
      </c>
      <c r="J46" s="21">
        <v>275</v>
      </c>
      <c r="K46" s="13"/>
      <c r="L46" s="13"/>
      <c r="M46" s="14">
        <f t="shared" si="4"/>
        <v>0</v>
      </c>
      <c r="N46" s="15"/>
      <c r="O46" s="21">
        <v>167.5</v>
      </c>
      <c r="P46" s="21">
        <v>185</v>
      </c>
      <c r="Q46" s="13">
        <v>-192.5</v>
      </c>
      <c r="R46" s="13"/>
      <c r="S46" s="14">
        <f t="shared" si="5"/>
        <v>0</v>
      </c>
      <c r="T46" s="16">
        <f t="shared" si="6"/>
        <v>0</v>
      </c>
      <c r="U46" s="21">
        <v>230</v>
      </c>
      <c r="V46" s="21">
        <v>252.5</v>
      </c>
      <c r="W46" s="13">
        <v>-272.5</v>
      </c>
      <c r="X46" s="13"/>
      <c r="Y46" s="14">
        <f t="shared" si="7"/>
        <v>0</v>
      </c>
      <c r="Z46" s="16"/>
      <c r="AA46" s="17"/>
      <c r="AB46" s="17"/>
      <c r="AC46" s="18"/>
      <c r="AD46" s="14"/>
      <c r="AE46" s="3"/>
      <c r="AF46" s="19"/>
      <c r="AG46" s="20"/>
    </row>
    <row r="47" spans="1:33">
      <c r="A47" s="1" t="s">
        <v>0</v>
      </c>
      <c r="B47" s="2" t="s">
        <v>1</v>
      </c>
      <c r="C47" s="1">
        <v>57</v>
      </c>
      <c r="D47" s="1" t="s">
        <v>2</v>
      </c>
      <c r="E47" s="1">
        <v>59.8</v>
      </c>
      <c r="F47" s="3">
        <f>IF(OR(D47="",E47=""),"",IF(LEFT(D47,1)="M",VLOOKUP(E47,[1]Setup!$J$9:$K$23,2,TRUE),VLOOKUP(E47,[1]Setup!$L$9:$M$23,2,TRUE)))</f>
        <v>60</v>
      </c>
      <c r="G47" s="1">
        <v>48</v>
      </c>
      <c r="H47" s="1" t="s">
        <v>116</v>
      </c>
      <c r="I47" s="21">
        <v>142.5</v>
      </c>
      <c r="J47" s="21">
        <v>155</v>
      </c>
      <c r="K47" s="13">
        <v>-160</v>
      </c>
      <c r="L47" s="13"/>
      <c r="M47" s="14">
        <f t="shared" si="4"/>
        <v>0</v>
      </c>
      <c r="N47" s="15"/>
      <c r="O47" s="21">
        <v>57.5</v>
      </c>
      <c r="P47" s="13">
        <v>-57.5</v>
      </c>
      <c r="Q47" s="13">
        <v>-57.5</v>
      </c>
      <c r="R47" s="13"/>
      <c r="S47" s="14">
        <f t="shared" si="5"/>
        <v>0</v>
      </c>
      <c r="T47" s="16">
        <f t="shared" si="6"/>
        <v>0</v>
      </c>
      <c r="U47" s="21">
        <v>142.5</v>
      </c>
      <c r="V47" s="21">
        <v>150</v>
      </c>
      <c r="W47" s="21">
        <v>155</v>
      </c>
      <c r="X47" s="13"/>
      <c r="Y47" s="14">
        <f t="shared" si="7"/>
        <v>0</v>
      </c>
      <c r="Z47" s="16"/>
      <c r="AA47" s="17"/>
      <c r="AB47" s="17"/>
      <c r="AC47" s="18"/>
      <c r="AD47" s="14"/>
      <c r="AE47" s="3"/>
      <c r="AF47" s="19"/>
      <c r="AG47" s="20"/>
    </row>
    <row r="48" spans="1:33">
      <c r="A48" s="1" t="s">
        <v>48</v>
      </c>
      <c r="B48" s="2" t="s">
        <v>66</v>
      </c>
      <c r="C48" s="1">
        <v>35</v>
      </c>
      <c r="D48" s="1" t="s">
        <v>6</v>
      </c>
      <c r="E48" s="1">
        <v>124.8</v>
      </c>
      <c r="F48" s="3">
        <f>IF(OR(D48="",E48=""),"",IF(LEFT(D48,1)="M",VLOOKUP(E48,[1]Setup!$J$9:$K$23,2,TRUE),VLOOKUP(E48,[1]Setup!$L$9:$M$23,2,TRUE)))</f>
        <v>125</v>
      </c>
      <c r="G48" s="1">
        <v>49</v>
      </c>
      <c r="H48" s="1"/>
      <c r="I48" s="13"/>
      <c r="J48" s="13"/>
      <c r="K48" s="13"/>
      <c r="L48" s="13"/>
      <c r="M48" s="14">
        <f t="shared" si="4"/>
        <v>0</v>
      </c>
      <c r="N48" s="15"/>
      <c r="O48" s="13">
        <v>-437.5</v>
      </c>
      <c r="P48" s="13">
        <v>-437.5</v>
      </c>
      <c r="Q48" s="13">
        <v>-455</v>
      </c>
      <c r="R48" s="13"/>
      <c r="S48" s="14">
        <f t="shared" si="5"/>
        <v>0</v>
      </c>
      <c r="T48" s="16">
        <f t="shared" si="6"/>
        <v>0</v>
      </c>
      <c r="U48" s="13"/>
      <c r="V48" s="13"/>
      <c r="W48" s="13"/>
      <c r="X48" s="13"/>
      <c r="Y48" s="14">
        <f t="shared" si="7"/>
        <v>0</v>
      </c>
      <c r="Z48" s="16"/>
      <c r="AA48" s="17"/>
      <c r="AB48" s="17"/>
      <c r="AC48" s="18"/>
      <c r="AD48" s="14"/>
      <c r="AE48" s="3"/>
      <c r="AF48" s="19"/>
      <c r="AG48" s="20"/>
    </row>
    <row r="49" spans="1:33">
      <c r="A49" s="1" t="s">
        <v>0</v>
      </c>
      <c r="B49" s="2" t="s">
        <v>19</v>
      </c>
      <c r="C49" s="1">
        <v>47</v>
      </c>
      <c r="D49" s="1" t="s">
        <v>8</v>
      </c>
      <c r="E49" s="1">
        <v>100</v>
      </c>
      <c r="F49" s="3">
        <f>IF(OR(D49="",E49=""),"",IF(LEFT(D49,1)="M",VLOOKUP(E49,[1]Setup!$J$9:$K$23,2,TRUE),VLOOKUP(E49,[1]Setup!$L$9:$M$23,2,TRUE)))</f>
        <v>100</v>
      </c>
      <c r="G49" s="1">
        <v>50</v>
      </c>
      <c r="H49" s="1" t="s">
        <v>126</v>
      </c>
      <c r="I49" s="21">
        <v>242.5</v>
      </c>
      <c r="J49" s="13">
        <v>-257.5</v>
      </c>
      <c r="K49" s="13">
        <v>-257.5</v>
      </c>
      <c r="L49" s="13"/>
      <c r="M49" s="14">
        <f t="shared" si="4"/>
        <v>0</v>
      </c>
      <c r="N49" s="15"/>
      <c r="O49" s="13">
        <v>-205</v>
      </c>
      <c r="P49" s="13">
        <v>-205</v>
      </c>
      <c r="Q49" s="13">
        <v>-210</v>
      </c>
      <c r="R49" s="13"/>
      <c r="S49" s="14">
        <f t="shared" si="5"/>
        <v>0</v>
      </c>
      <c r="T49" s="16">
        <f t="shared" si="6"/>
        <v>0</v>
      </c>
      <c r="U49" s="13"/>
      <c r="V49" s="13"/>
      <c r="W49" s="13"/>
      <c r="X49" s="13"/>
      <c r="Y49" s="14">
        <f t="shared" si="7"/>
        <v>0</v>
      </c>
      <c r="Z49" s="16"/>
      <c r="AA49" s="17"/>
      <c r="AB49" s="17"/>
      <c r="AC49" s="18"/>
      <c r="AD49" s="14"/>
      <c r="AE49" s="3"/>
      <c r="AF49" s="19"/>
      <c r="AG49" s="20"/>
    </row>
    <row r="50" spans="1:33">
      <c r="A50" s="1" t="s">
        <v>48</v>
      </c>
      <c r="B50" s="2" t="s">
        <v>64</v>
      </c>
      <c r="C50" s="1">
        <v>54</v>
      </c>
      <c r="D50" s="1" t="s">
        <v>8</v>
      </c>
      <c r="E50" s="1">
        <v>134.4</v>
      </c>
      <c r="F50" s="3">
        <f>IF(OR(D50="",E50=""),"",IF(LEFT(D50,1)="M",VLOOKUP(E50,[1]Setup!$J$9:$K$23,2,TRUE),VLOOKUP(E50,[1]Setup!$L$9:$M$23,2,TRUE)))</f>
        <v>140</v>
      </c>
      <c r="G50" s="1">
        <v>51</v>
      </c>
      <c r="H50" s="1"/>
      <c r="I50" s="13"/>
      <c r="J50" s="13"/>
      <c r="K50" s="13"/>
      <c r="L50" s="13"/>
      <c r="M50" s="14">
        <f t="shared" si="4"/>
        <v>0</v>
      </c>
      <c r="N50" s="15"/>
      <c r="O50" s="13">
        <v>-345</v>
      </c>
      <c r="P50" s="13">
        <v>-365</v>
      </c>
      <c r="Q50" s="13">
        <v>-365</v>
      </c>
      <c r="R50" s="13"/>
      <c r="S50" s="14">
        <f t="shared" si="5"/>
        <v>0</v>
      </c>
      <c r="T50" s="16">
        <f t="shared" si="6"/>
        <v>0</v>
      </c>
      <c r="U50" s="13"/>
      <c r="V50" s="13"/>
      <c r="W50" s="13"/>
      <c r="X50" s="13"/>
      <c r="Y50" s="14">
        <f t="shared" si="7"/>
        <v>0</v>
      </c>
      <c r="Z50" s="16"/>
      <c r="AA50" s="17"/>
      <c r="AB50" s="17"/>
      <c r="AC50" s="18"/>
      <c r="AD50" s="14"/>
      <c r="AE50" s="3"/>
      <c r="AF50" s="19"/>
      <c r="AG50" s="20"/>
    </row>
    <row r="51" spans="1:33">
      <c r="A51" s="1" t="s">
        <v>26</v>
      </c>
      <c r="B51" s="2" t="s">
        <v>47</v>
      </c>
      <c r="C51" s="1">
        <v>42</v>
      </c>
      <c r="D51" s="1" t="s">
        <v>8</v>
      </c>
      <c r="E51" s="1">
        <v>165.6</v>
      </c>
      <c r="F51" s="3" t="str">
        <f>IF(OR(D51="",E51=""),"",IF(LEFT(D51,1)="M",VLOOKUP(E51,[1]Setup!$J$9:$K$23,2,TRUE),VLOOKUP(E51,[1]Setup!$L$9:$M$23,2,TRUE)))</f>
        <v>SHW</v>
      </c>
      <c r="G51" s="1">
        <v>52</v>
      </c>
      <c r="H51" s="1"/>
      <c r="I51" s="13"/>
      <c r="J51" s="13"/>
      <c r="K51" s="13"/>
      <c r="L51" s="13"/>
      <c r="M51" s="14">
        <f t="shared" si="4"/>
        <v>0</v>
      </c>
      <c r="N51" s="15"/>
      <c r="O51" s="21">
        <v>252.5</v>
      </c>
      <c r="P51" s="13"/>
      <c r="Q51" s="13"/>
      <c r="R51" s="13"/>
      <c r="S51" s="14">
        <f t="shared" si="5"/>
        <v>0</v>
      </c>
      <c r="T51" s="16">
        <f t="shared" si="6"/>
        <v>0</v>
      </c>
      <c r="U51" s="13"/>
      <c r="V51" s="13"/>
      <c r="W51" s="13"/>
      <c r="X51" s="13"/>
      <c r="Y51" s="14">
        <f t="shared" si="7"/>
        <v>0</v>
      </c>
      <c r="Z51" s="16"/>
      <c r="AA51" s="17"/>
      <c r="AB51" s="17"/>
      <c r="AC51" s="18"/>
      <c r="AD51" s="14"/>
      <c r="AE51" s="3"/>
      <c r="AF51" s="19"/>
      <c r="AG51" s="20"/>
    </row>
    <row r="52" spans="1:33">
      <c r="A52" s="1" t="s">
        <v>26</v>
      </c>
      <c r="B52" s="2" t="s">
        <v>32</v>
      </c>
      <c r="C52" s="1">
        <v>21</v>
      </c>
      <c r="D52" s="1" t="s">
        <v>6</v>
      </c>
      <c r="E52" s="1">
        <v>108.2</v>
      </c>
      <c r="F52" s="3">
        <f>IF(OR(D52="",E52=""),"",IF(LEFT(D52,1)="M",VLOOKUP(E52,[1]Setup!$J$9:$K$23,2,TRUE),VLOOKUP(E52,[1]Setup!$L$9:$M$23,2,TRUE)))</f>
        <v>110</v>
      </c>
      <c r="G52" s="1">
        <v>53</v>
      </c>
      <c r="H52" s="1" t="s">
        <v>127</v>
      </c>
      <c r="I52" s="21">
        <v>322.5</v>
      </c>
      <c r="J52" s="13">
        <v>-335</v>
      </c>
      <c r="K52" s="13">
        <v>-335</v>
      </c>
      <c r="L52" s="13"/>
      <c r="M52" s="14">
        <f t="shared" si="4"/>
        <v>0</v>
      </c>
      <c r="N52" s="15"/>
      <c r="O52" s="13">
        <v>-222.5</v>
      </c>
      <c r="P52" s="13">
        <v>-222.5</v>
      </c>
      <c r="Q52" s="21">
        <v>222.5</v>
      </c>
      <c r="R52" s="13"/>
      <c r="S52" s="14">
        <f t="shared" si="5"/>
        <v>0</v>
      </c>
      <c r="T52" s="16">
        <f t="shared" si="6"/>
        <v>0</v>
      </c>
      <c r="U52" s="21">
        <v>242.5</v>
      </c>
      <c r="V52" s="21">
        <v>255</v>
      </c>
      <c r="W52" s="13">
        <v>-267.5</v>
      </c>
      <c r="X52" s="13"/>
      <c r="Y52" s="14">
        <f t="shared" si="7"/>
        <v>0</v>
      </c>
      <c r="Z52" s="16"/>
      <c r="AA52" s="17"/>
      <c r="AB52" s="17"/>
      <c r="AC52" s="18"/>
      <c r="AD52" s="14"/>
      <c r="AE52" s="3"/>
      <c r="AF52" s="19"/>
      <c r="AG52" s="20"/>
    </row>
    <row r="53" spans="1:33">
      <c r="A53" s="1" t="s">
        <v>48</v>
      </c>
      <c r="B53" s="2" t="s">
        <v>58</v>
      </c>
      <c r="C53" s="1">
        <v>32</v>
      </c>
      <c r="D53" s="1" t="s">
        <v>6</v>
      </c>
      <c r="E53" s="1">
        <v>98.2</v>
      </c>
      <c r="F53" s="3">
        <f>IF(OR(D53="",E53=""),"",IF(LEFT(D53,1)="M",VLOOKUP(E53,[1]Setup!$J$9:$K$23,2,TRUE),VLOOKUP(E53,[1]Setup!$L$9:$M$23,2,TRUE)))</f>
        <v>100</v>
      </c>
      <c r="G53" s="1">
        <v>54</v>
      </c>
      <c r="H53" s="1"/>
      <c r="I53" s="21">
        <v>440</v>
      </c>
      <c r="J53" s="13"/>
      <c r="K53" s="13"/>
      <c r="L53" s="13"/>
      <c r="M53" s="14">
        <f t="shared" si="4"/>
        <v>0</v>
      </c>
      <c r="N53" s="15"/>
      <c r="O53" s="13"/>
      <c r="P53" s="13"/>
      <c r="Q53" s="13"/>
      <c r="R53" s="13"/>
      <c r="S53" s="14">
        <f t="shared" si="5"/>
        <v>0</v>
      </c>
      <c r="T53" s="16">
        <f t="shared" si="6"/>
        <v>0</v>
      </c>
      <c r="U53" s="13"/>
      <c r="V53" s="13"/>
      <c r="W53" s="13"/>
      <c r="X53" s="13"/>
      <c r="Y53" s="14">
        <f t="shared" si="7"/>
        <v>0</v>
      </c>
      <c r="Z53" s="16"/>
      <c r="AA53" s="17"/>
      <c r="AB53" s="17"/>
      <c r="AC53" s="18"/>
      <c r="AD53" s="14"/>
      <c r="AE53" s="3"/>
      <c r="AF53" s="19"/>
      <c r="AG53" s="20"/>
    </row>
    <row r="54" spans="1:33">
      <c r="A54" s="1" t="s">
        <v>48</v>
      </c>
      <c r="B54" s="2" t="s">
        <v>63</v>
      </c>
      <c r="C54" s="1">
        <v>41</v>
      </c>
      <c r="D54" s="1" t="s">
        <v>8</v>
      </c>
      <c r="E54" s="1">
        <v>99</v>
      </c>
      <c r="F54" s="3">
        <f>IF(OR(D54="",E54=""),"",IF(LEFT(D54,1)="M",VLOOKUP(E54,[1]Setup!$J$9:$K$23,2,TRUE),VLOOKUP(E54,[1]Setup!$L$9:$M$23,2,TRUE)))</f>
        <v>100</v>
      </c>
      <c r="G54" s="1">
        <v>55</v>
      </c>
      <c r="H54" s="1"/>
      <c r="I54" s="13"/>
      <c r="J54" s="13"/>
      <c r="K54" s="13"/>
      <c r="L54" s="13"/>
      <c r="M54" s="14">
        <f t="shared" si="4"/>
        <v>0</v>
      </c>
      <c r="N54" s="15"/>
      <c r="O54" s="13">
        <v>-305</v>
      </c>
      <c r="P54" s="21">
        <v>305</v>
      </c>
      <c r="Q54" s="13">
        <v>-320</v>
      </c>
      <c r="R54" s="13"/>
      <c r="S54" s="14">
        <f t="shared" si="5"/>
        <v>0</v>
      </c>
      <c r="T54" s="16">
        <f t="shared" si="6"/>
        <v>0</v>
      </c>
      <c r="U54" s="13"/>
      <c r="V54" s="13"/>
      <c r="W54" s="13"/>
      <c r="X54" s="13"/>
      <c r="Y54" s="14">
        <f t="shared" si="7"/>
        <v>0</v>
      </c>
      <c r="Z54" s="16"/>
      <c r="AA54" s="17"/>
      <c r="AB54" s="17"/>
      <c r="AC54" s="18"/>
      <c r="AD54" s="14"/>
      <c r="AE54" s="3"/>
      <c r="AF54" s="19"/>
      <c r="AG54" s="20"/>
    </row>
    <row r="55" spans="1:33">
      <c r="A55" s="1" t="s">
        <v>48</v>
      </c>
      <c r="B55" s="2" t="s">
        <v>53</v>
      </c>
      <c r="C55" s="1">
        <v>23</v>
      </c>
      <c r="D55" s="1" t="s">
        <v>6</v>
      </c>
      <c r="E55" s="1">
        <v>109</v>
      </c>
      <c r="F55" s="3">
        <f>IF(OR(D55="",E55=""),"",IF(LEFT(D55,1)="M",VLOOKUP(E55,[1]Setup!$J$9:$K$23,2,TRUE),VLOOKUP(E55,[1]Setup!$L$9:$M$23,2,TRUE)))</f>
        <v>110</v>
      </c>
      <c r="G55" s="1">
        <v>56</v>
      </c>
      <c r="H55" s="1" t="s">
        <v>135</v>
      </c>
      <c r="I55" s="13">
        <v>-345</v>
      </c>
      <c r="J55" s="13">
        <v>-345</v>
      </c>
      <c r="K55" s="21">
        <v>345</v>
      </c>
      <c r="L55" s="13"/>
      <c r="M55" s="14">
        <f t="shared" si="4"/>
        <v>0</v>
      </c>
      <c r="N55" s="15"/>
      <c r="O55" s="21">
        <v>245</v>
      </c>
      <c r="P55" s="21">
        <v>265</v>
      </c>
      <c r="Q55" s="21">
        <v>282.5</v>
      </c>
      <c r="R55" s="13"/>
      <c r="S55" s="14">
        <f t="shared" si="5"/>
        <v>0</v>
      </c>
      <c r="T55" s="16">
        <f t="shared" si="6"/>
        <v>0</v>
      </c>
      <c r="U55" s="13">
        <v>-285</v>
      </c>
      <c r="V55" s="21">
        <v>285</v>
      </c>
      <c r="W55" s="13">
        <v>-327.5</v>
      </c>
      <c r="X55" s="13"/>
      <c r="Y55" s="14">
        <f t="shared" si="7"/>
        <v>0</v>
      </c>
      <c r="Z55" s="16"/>
      <c r="AA55" s="17"/>
      <c r="AB55" s="17"/>
      <c r="AC55" s="18"/>
      <c r="AD55" s="14"/>
      <c r="AE55" s="3"/>
      <c r="AF55" s="19"/>
      <c r="AG55" s="20"/>
    </row>
    <row r="56" spans="1:33">
      <c r="A56" s="1" t="s">
        <v>26</v>
      </c>
      <c r="B56" s="2" t="s">
        <v>34</v>
      </c>
      <c r="C56" s="1">
        <v>27</v>
      </c>
      <c r="D56" s="1" t="s">
        <v>6</v>
      </c>
      <c r="E56" s="1">
        <v>81.8</v>
      </c>
      <c r="F56" s="3">
        <f>IF(OR(D56="",E56=""),"",IF(LEFT(D56,1)="M",VLOOKUP(E56,[1]Setup!$J$9:$K$23,2,TRUE),VLOOKUP(E56,[1]Setup!$L$9:$M$23,2,TRUE)))</f>
        <v>82.5</v>
      </c>
      <c r="G56" s="1">
        <v>57</v>
      </c>
      <c r="H56" s="1" t="s">
        <v>132</v>
      </c>
      <c r="I56" s="21">
        <v>332.5</v>
      </c>
      <c r="J56" s="21">
        <v>362.5</v>
      </c>
      <c r="K56" s="21">
        <v>-377.5</v>
      </c>
      <c r="L56" s="13"/>
      <c r="M56" s="14">
        <f t="shared" si="4"/>
        <v>0</v>
      </c>
      <c r="N56" s="15"/>
      <c r="O56" s="21">
        <v>205</v>
      </c>
      <c r="P56" s="13">
        <v>-227.5</v>
      </c>
      <c r="Q56" s="13">
        <v>-227.5</v>
      </c>
      <c r="R56" s="13"/>
      <c r="S56" s="14">
        <f t="shared" si="5"/>
        <v>0</v>
      </c>
      <c r="T56" s="16">
        <f t="shared" si="6"/>
        <v>0</v>
      </c>
      <c r="U56" s="21">
        <v>245</v>
      </c>
      <c r="V56" s="21">
        <v>267.5</v>
      </c>
      <c r="W56" s="13">
        <v>-277.5</v>
      </c>
      <c r="X56" s="13"/>
      <c r="Y56" s="14">
        <f t="shared" si="7"/>
        <v>0</v>
      </c>
      <c r="Z56" s="16"/>
      <c r="AA56" s="17"/>
      <c r="AB56" s="17"/>
      <c r="AC56" s="18"/>
      <c r="AD56" s="14"/>
      <c r="AE56" s="3"/>
      <c r="AF56" s="19"/>
      <c r="AG56" s="20"/>
    </row>
    <row r="57" spans="1:33">
      <c r="A57" s="1" t="s">
        <v>0</v>
      </c>
      <c r="B57" s="2" t="s">
        <v>13</v>
      </c>
      <c r="C57" s="1">
        <v>44</v>
      </c>
      <c r="D57" s="1" t="s">
        <v>8</v>
      </c>
      <c r="E57" s="1">
        <v>82.4</v>
      </c>
      <c r="F57" s="3">
        <f>IF(OR(D57="",E57=""),"",IF(LEFT(D57,1)="M",VLOOKUP(E57,[1]Setup!$J$9:$K$23,2,TRUE),VLOOKUP(E57,[1]Setup!$L$9:$M$23,2,TRUE)))</f>
        <v>82.5</v>
      </c>
      <c r="G57" s="1">
        <v>58</v>
      </c>
      <c r="H57" s="1" t="s">
        <v>124</v>
      </c>
      <c r="I57" s="21">
        <v>272.5</v>
      </c>
      <c r="J57" s="21">
        <v>290</v>
      </c>
      <c r="K57" s="21">
        <v>300</v>
      </c>
      <c r="L57" s="13"/>
      <c r="M57" s="14">
        <f t="shared" si="4"/>
        <v>0</v>
      </c>
      <c r="N57" s="15"/>
      <c r="O57" s="13">
        <v>-175</v>
      </c>
      <c r="P57" s="13">
        <v>-175</v>
      </c>
      <c r="Q57" s="21">
        <v>175</v>
      </c>
      <c r="R57" s="13"/>
      <c r="S57" s="14">
        <f t="shared" si="5"/>
        <v>0</v>
      </c>
      <c r="T57" s="16">
        <f t="shared" si="6"/>
        <v>0</v>
      </c>
      <c r="U57" s="21">
        <v>227.5</v>
      </c>
      <c r="V57" s="21">
        <v>247.5</v>
      </c>
      <c r="W57" s="21">
        <v>255</v>
      </c>
      <c r="X57" s="13"/>
      <c r="Y57" s="14">
        <f t="shared" si="7"/>
        <v>0</v>
      </c>
      <c r="Z57" s="16"/>
      <c r="AA57" s="17"/>
      <c r="AB57" s="17"/>
      <c r="AC57" s="18"/>
      <c r="AD57" s="14"/>
      <c r="AE57" s="3"/>
      <c r="AF57" s="19"/>
      <c r="AG57" s="20"/>
    </row>
    <row r="58" spans="1:33">
      <c r="A58" s="1" t="s">
        <v>48</v>
      </c>
      <c r="B58" s="2" t="s">
        <v>56</v>
      </c>
      <c r="C58" s="1">
        <v>32</v>
      </c>
      <c r="D58" s="1" t="s">
        <v>6</v>
      </c>
      <c r="E58" s="1">
        <v>96.6</v>
      </c>
      <c r="F58" s="3">
        <f>IF(OR(D58="",E58=""),"",IF(LEFT(D58,1)="M",VLOOKUP(E58,[1]Setup!$J$9:$K$23,2,TRUE),VLOOKUP(E58,[1]Setup!$L$9:$M$23,2,TRUE)))</f>
        <v>100</v>
      </c>
      <c r="G58" s="1">
        <v>59</v>
      </c>
      <c r="H58" s="1"/>
      <c r="I58" s="21">
        <v>350</v>
      </c>
      <c r="J58" s="21">
        <v>-365</v>
      </c>
      <c r="K58" s="13"/>
      <c r="L58" s="13"/>
      <c r="M58" s="14">
        <f t="shared" si="4"/>
        <v>0</v>
      </c>
      <c r="N58" s="15"/>
      <c r="O58" s="13">
        <v>-292.5</v>
      </c>
      <c r="P58" s="13">
        <v>-292.5</v>
      </c>
      <c r="Q58" s="13">
        <v>-292.5</v>
      </c>
      <c r="R58" s="13"/>
      <c r="S58" s="14">
        <f t="shared" si="5"/>
        <v>0</v>
      </c>
      <c r="T58" s="16">
        <f t="shared" si="6"/>
        <v>0</v>
      </c>
      <c r="U58" s="13"/>
      <c r="V58" s="13"/>
      <c r="W58" s="13"/>
      <c r="X58" s="13"/>
      <c r="Y58" s="14">
        <f t="shared" si="7"/>
        <v>0</v>
      </c>
      <c r="Z58" s="16"/>
      <c r="AA58" s="17"/>
      <c r="AB58" s="17"/>
      <c r="AC58" s="18"/>
      <c r="AD58" s="14"/>
      <c r="AE58" s="3"/>
      <c r="AF58" s="19"/>
      <c r="AG58" s="20"/>
    </row>
    <row r="59" spans="1:33">
      <c r="A59" s="1" t="s">
        <v>0</v>
      </c>
      <c r="B59" s="2" t="s">
        <v>10</v>
      </c>
      <c r="C59" s="1">
        <v>21</v>
      </c>
      <c r="D59" s="1" t="s">
        <v>4</v>
      </c>
      <c r="E59" s="1">
        <v>95.4</v>
      </c>
      <c r="F59" s="3">
        <f>IF(OR(D59="",E59=""),"",IF(LEFT(D59,1)="M",VLOOKUP(E59,[1]Setup!$J$9:$K$23,2,TRUE),VLOOKUP(E59,[1]Setup!$L$9:$M$23,2,TRUE)))</f>
        <v>100</v>
      </c>
      <c r="G59" s="1">
        <v>60</v>
      </c>
      <c r="H59" s="1" t="s">
        <v>120</v>
      </c>
      <c r="I59" s="13">
        <v>-227.5</v>
      </c>
      <c r="J59" s="13">
        <v>-227.5</v>
      </c>
      <c r="K59" s="13">
        <v>-227.5</v>
      </c>
      <c r="L59" s="13"/>
      <c r="M59" s="14">
        <f t="shared" si="4"/>
        <v>0</v>
      </c>
      <c r="N59" s="15"/>
      <c r="O59" s="21">
        <v>132.5</v>
      </c>
      <c r="P59" s="13">
        <v>-142.5</v>
      </c>
      <c r="Q59" s="13">
        <v>-147.5</v>
      </c>
      <c r="R59" s="13"/>
      <c r="S59" s="14">
        <f t="shared" si="5"/>
        <v>0</v>
      </c>
      <c r="T59" s="16">
        <f t="shared" si="6"/>
        <v>0</v>
      </c>
      <c r="U59" s="21">
        <v>207.5</v>
      </c>
      <c r="V59" s="13">
        <v>-222.5</v>
      </c>
      <c r="W59" s="21">
        <v>222.5</v>
      </c>
      <c r="X59" s="13"/>
      <c r="Y59" s="14">
        <f t="shared" si="7"/>
        <v>0</v>
      </c>
      <c r="Z59" s="16"/>
      <c r="AA59" s="17"/>
      <c r="AB59" s="17"/>
      <c r="AC59" s="18"/>
      <c r="AD59" s="14"/>
      <c r="AE59" s="3"/>
      <c r="AF59" s="19"/>
      <c r="AG59" s="20"/>
    </row>
    <row r="60" spans="1:33">
      <c r="A60" s="1" t="s">
        <v>26</v>
      </c>
      <c r="B60" s="2" t="s">
        <v>31</v>
      </c>
      <c r="C60" s="1">
        <v>17</v>
      </c>
      <c r="D60" s="1" t="s">
        <v>4</v>
      </c>
      <c r="E60" s="1">
        <v>81.400000000000006</v>
      </c>
      <c r="F60" s="3">
        <f>IF(OR(D60="",E60=""),"",IF(LEFT(D60,1)="M",VLOOKUP(E60,[1]Setup!$J$9:$K$23,2,TRUE),VLOOKUP(E60,[1]Setup!$L$9:$M$23,2,TRUE)))</f>
        <v>82.5</v>
      </c>
      <c r="G60" s="1">
        <v>61</v>
      </c>
      <c r="H60" s="1"/>
      <c r="I60" s="21">
        <v>295</v>
      </c>
      <c r="J60" s="13">
        <v>-320</v>
      </c>
      <c r="K60" s="21">
        <v>320</v>
      </c>
      <c r="L60" s="13"/>
      <c r="M60" s="14">
        <f t="shared" si="4"/>
        <v>0</v>
      </c>
      <c r="N60" s="15"/>
      <c r="O60" s="13">
        <v>-160</v>
      </c>
      <c r="P60" s="21">
        <v>160</v>
      </c>
      <c r="Q60" s="13">
        <v>-175</v>
      </c>
      <c r="R60" s="13"/>
      <c r="S60" s="14">
        <f t="shared" si="5"/>
        <v>0</v>
      </c>
      <c r="T60" s="16">
        <f t="shared" si="6"/>
        <v>0</v>
      </c>
      <c r="U60" s="13">
        <v>-237.5</v>
      </c>
      <c r="V60" s="13">
        <v>-237.5</v>
      </c>
      <c r="W60" s="21">
        <v>237.5</v>
      </c>
      <c r="X60" s="13"/>
      <c r="Y60" s="14">
        <f t="shared" si="7"/>
        <v>0</v>
      </c>
      <c r="Z60" s="16"/>
      <c r="AA60" s="17"/>
      <c r="AB60" s="17"/>
      <c r="AC60" s="18"/>
      <c r="AD60" s="14"/>
      <c r="AE60" s="3"/>
      <c r="AF60" s="19"/>
      <c r="AG60" s="20"/>
    </row>
    <row r="61" spans="1:33">
      <c r="A61" s="1" t="s">
        <v>48</v>
      </c>
      <c r="B61" s="2" t="s">
        <v>62</v>
      </c>
      <c r="C61" s="1">
        <v>35</v>
      </c>
      <c r="D61" s="1" t="s">
        <v>6</v>
      </c>
      <c r="E61" s="1">
        <v>118.6</v>
      </c>
      <c r="F61" s="3">
        <f>IF(OR(D61="",E61=""),"",IF(LEFT(D61,1)="M",VLOOKUP(E61,[1]Setup!$J$9:$K$23,2,TRUE),VLOOKUP(E61,[1]Setup!$L$9:$M$23,2,TRUE)))</f>
        <v>125</v>
      </c>
      <c r="G61" s="1">
        <v>62</v>
      </c>
      <c r="H61" s="1"/>
      <c r="I61" s="13"/>
      <c r="J61" s="13"/>
      <c r="K61" s="13"/>
      <c r="L61" s="13"/>
      <c r="M61" s="14">
        <f t="shared" si="4"/>
        <v>0</v>
      </c>
      <c r="N61" s="15"/>
      <c r="O61" s="21">
        <v>295</v>
      </c>
      <c r="P61" s="13">
        <v>-312.5</v>
      </c>
      <c r="Q61" s="13">
        <v>-312.5</v>
      </c>
      <c r="R61" s="13"/>
      <c r="S61" s="14">
        <f t="shared" si="5"/>
        <v>0</v>
      </c>
      <c r="T61" s="16">
        <f t="shared" si="6"/>
        <v>0</v>
      </c>
      <c r="U61" s="13"/>
      <c r="V61" s="13"/>
      <c r="W61" s="13"/>
      <c r="X61" s="13"/>
      <c r="Y61" s="14">
        <f t="shared" si="7"/>
        <v>0</v>
      </c>
      <c r="Z61" s="16"/>
      <c r="AA61" s="17"/>
      <c r="AB61" s="17"/>
      <c r="AC61" s="18"/>
      <c r="AD61" s="14"/>
      <c r="AE61" s="3"/>
      <c r="AF61" s="19"/>
      <c r="AG61" s="20"/>
    </row>
    <row r="62" spans="1:33">
      <c r="A62" s="1"/>
      <c r="B62" s="2"/>
      <c r="C62" s="1"/>
      <c r="D62" s="1"/>
      <c r="E62" s="1"/>
      <c r="F62" s="3" t="str">
        <f>IF(OR(D62="",E62=""),"",IF(LEFT(D62,1)="M",VLOOKUP(E62,[1]Setup!$J$9:$K$23,2,TRUE),VLOOKUP(E62,[1]Setup!$L$9:$M$23,2,TRUE)))</f>
        <v/>
      </c>
      <c r="G62" s="1"/>
      <c r="H62" s="1"/>
      <c r="I62" s="13"/>
      <c r="J62" s="13"/>
      <c r="K62" s="13"/>
      <c r="L62" s="13"/>
      <c r="M62" s="14">
        <f t="shared" si="4"/>
        <v>0</v>
      </c>
      <c r="N62" s="15"/>
      <c r="O62" s="13"/>
      <c r="P62" s="13"/>
      <c r="Q62" s="13"/>
      <c r="R62" s="13"/>
      <c r="S62" s="14">
        <f t="shared" si="5"/>
        <v>0</v>
      </c>
      <c r="T62" s="16">
        <f t="shared" si="6"/>
        <v>0</v>
      </c>
      <c r="U62" s="13"/>
      <c r="V62" s="13"/>
      <c r="W62" s="13"/>
      <c r="X62" s="13"/>
      <c r="Y62" s="14">
        <f t="shared" si="7"/>
        <v>0</v>
      </c>
      <c r="Z62" s="16"/>
      <c r="AA62" s="17"/>
      <c r="AB62" s="17"/>
      <c r="AC62" s="18"/>
      <c r="AD62" s="14"/>
      <c r="AE62" s="3"/>
      <c r="AF62" s="19"/>
      <c r="AG62" s="20"/>
    </row>
    <row r="63" spans="1:33">
      <c r="A63" s="22"/>
      <c r="B63" s="22"/>
      <c r="C63" s="22"/>
      <c r="D63" s="22"/>
      <c r="E63" s="22"/>
      <c r="F63" s="22"/>
      <c r="G63" s="22"/>
      <c r="H63" s="23"/>
      <c r="I63" s="22"/>
      <c r="J63" s="22"/>
      <c r="K63" s="22"/>
      <c r="L63" s="22"/>
      <c r="M63" s="22"/>
      <c r="N63" s="24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5"/>
      <c r="AF63" s="26"/>
      <c r="AG63" s="27"/>
    </row>
    <row r="64" spans="1:33">
      <c r="A64" s="22"/>
      <c r="B64" s="22"/>
      <c r="C64" s="22"/>
      <c r="D64" s="22"/>
      <c r="E64" s="22"/>
      <c r="F64" s="22"/>
      <c r="G64" s="22"/>
      <c r="H64" s="23"/>
      <c r="I64" s="22"/>
      <c r="J64" s="22"/>
      <c r="K64" s="22"/>
      <c r="L64" s="22"/>
      <c r="M64" s="22"/>
      <c r="N64" s="24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5"/>
      <c r="AF64" s="26"/>
      <c r="AG64" s="27"/>
    </row>
    <row r="65" spans="1:33">
      <c r="A65" s="22"/>
      <c r="B65" s="22"/>
      <c r="C65" s="22"/>
      <c r="D65" s="22"/>
      <c r="E65" s="22"/>
      <c r="F65" s="22"/>
      <c r="G65" s="22"/>
      <c r="H65" s="23"/>
      <c r="I65" s="22"/>
      <c r="J65" s="22"/>
      <c r="K65" s="22"/>
      <c r="L65" s="22"/>
      <c r="M65" s="22"/>
      <c r="N65" s="24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5"/>
      <c r="AF65" s="26"/>
      <c r="AG65" s="27"/>
    </row>
  </sheetData>
  <phoneticPr fontId="0" type="noConversion"/>
  <conditionalFormatting sqref="A1:A62">
    <cfRule type="expression" dxfId="33" priority="41" stopIfTrue="1">
      <formula>AND($B1&lt;&gt;RIGHT($B$8,1))</formula>
    </cfRule>
  </conditionalFormatting>
  <conditionalFormatting sqref="B1:B62">
    <cfRule type="cellIs" dxfId="32" priority="39" stopIfTrue="1" operator="equal">
      <formula>$B$2</formula>
    </cfRule>
    <cfRule type="expression" dxfId="31" priority="40" stopIfTrue="1">
      <formula>AND($B1&lt;&gt;RIGHT($B$8,1))</formula>
    </cfRule>
  </conditionalFormatting>
  <conditionalFormatting sqref="C1:E62 G2:H62">
    <cfRule type="expression" dxfId="30" priority="37" stopIfTrue="1">
      <formula>AND(ROW(C1)=$A$4)</formula>
    </cfRule>
    <cfRule type="expression" dxfId="29" priority="38" stopIfTrue="1">
      <formula>AND($B1&lt;&gt;RIGHT($B$8,1))</formula>
    </cfRule>
  </conditionalFormatting>
  <conditionalFormatting sqref="F1:F62">
    <cfRule type="expression" dxfId="28" priority="36" stopIfTrue="1">
      <formula>AND(ROW(F1)=$A$4)</formula>
    </cfRule>
  </conditionalFormatting>
  <conditionalFormatting sqref="U2:X62 O2:R62 I2:L62">
    <cfRule type="expression" dxfId="27" priority="30" stopIfTrue="1">
      <formula>AND(COLUMN(I2)=$A$3,ROW(I2)=$A$4)</formula>
    </cfRule>
    <cfRule type="cellIs" dxfId="26" priority="31" stopIfTrue="1" operator="lessThan">
      <formula>0</formula>
    </cfRule>
    <cfRule type="expression" dxfId="25" priority="32" stopIfTrue="1">
      <formula>OR(AND(ROW(I2)=$A$4,COLUMN(I2)&lt;$A$3,CI2=1),AND(ROW(I2)&lt;$A$4,COLUMN(I2)=$A$3,CI2=1))</formula>
    </cfRule>
  </conditionalFormatting>
  <conditionalFormatting sqref="S2:S62 M2:N62">
    <cfRule type="expression" dxfId="24" priority="27" stopIfTrue="1">
      <formula>AND(ROW(I2)=$A$4,COLUMN(I2)&lt;$A$3)</formula>
    </cfRule>
  </conditionalFormatting>
  <conditionalFormatting sqref="T2:T62">
    <cfRule type="expression" dxfId="23" priority="26" stopIfTrue="1">
      <formula>AND(ROW(P2)=$A$4,COLUMN(P2)&lt;$A$3)</formula>
    </cfRule>
  </conditionalFormatting>
  <conditionalFormatting sqref="Y2:Y62">
    <cfRule type="expression" dxfId="22" priority="25" stopIfTrue="1">
      <formula>AND(ROW(U2)=$A$4,$A$3&gt;21)</formula>
    </cfRule>
  </conditionalFormatting>
  <conditionalFormatting sqref="I1:L1 O1:R1 U1:X1">
    <cfRule type="cellIs" dxfId="21" priority="24" stopIfTrue="1" operator="equal">
      <formula>$B$3</formula>
    </cfRule>
  </conditionalFormatting>
  <conditionalFormatting sqref="Z2:Z62">
    <cfRule type="expression" dxfId="20" priority="21" stopIfTrue="1">
      <formula>AND(ROW(V2)=$A$4)</formula>
    </cfRule>
    <cfRule type="expression" dxfId="19" priority="22" stopIfTrue="1">
      <formula>AND(AC2=1)</formula>
    </cfRule>
  </conditionalFormatting>
  <conditionalFormatting sqref="AA2:AA62">
    <cfRule type="expression" dxfId="18" priority="20" stopIfTrue="1">
      <formula>AND(AC2=2)</formula>
    </cfRule>
  </conditionalFormatting>
  <conditionalFormatting sqref="AB2:AB62">
    <cfRule type="expression" dxfId="17" priority="19" stopIfTrue="1">
      <formula>AND(AC2=3)</formula>
    </cfRule>
  </conditionalFormatting>
  <conditionalFormatting sqref="M3:M62">
    <cfRule type="expression" dxfId="16" priority="18" stopIfTrue="1">
      <formula>AND(ROW(I3)=$A$4,COLUMN(I3)&lt;$A$3)</formula>
    </cfRule>
  </conditionalFormatting>
  <conditionalFormatting sqref="AB2:AB62">
    <cfRule type="expression" dxfId="15" priority="1" stopIfTrue="1">
      <formula>AND(AC2=3)</formula>
    </cfRule>
  </conditionalFormatting>
  <conditionalFormatting sqref="A2:A62">
    <cfRule type="expression" dxfId="14" priority="17" stopIfTrue="1">
      <formula>AND($B2&lt;&gt;RIGHT($B$8,1))</formula>
    </cfRule>
  </conditionalFormatting>
  <conditionalFormatting sqref="B2:B62">
    <cfRule type="cellIs" dxfId="13" priority="15" stopIfTrue="1" operator="equal">
      <formula>$B$2</formula>
    </cfRule>
    <cfRule type="expression" dxfId="12" priority="16" stopIfTrue="1">
      <formula>AND($B2&lt;&gt;RIGHT($B$8,1))</formula>
    </cfRule>
  </conditionalFormatting>
  <conditionalFormatting sqref="U2:X62 O2:R62 I2:L62">
    <cfRule type="expression" dxfId="11" priority="12" stopIfTrue="1">
      <formula>AND(COLUMN(I2)=$A$3,ROW(I2)=$A$4)</formula>
    </cfRule>
    <cfRule type="cellIs" dxfId="10" priority="13" stopIfTrue="1" operator="lessThan">
      <formula>0</formula>
    </cfRule>
    <cfRule type="expression" dxfId="9" priority="14" stopIfTrue="1">
      <formula>OR(AND(ROW(I2)=$A$4,COLUMN(I2)&lt;$A$3,CI2=1),AND(ROW(I2)&lt;$A$4,COLUMN(I2)=$A$3,CI2=1))</formula>
    </cfRule>
  </conditionalFormatting>
  <conditionalFormatting sqref="C2:E62 G2:H62">
    <cfRule type="expression" dxfId="8" priority="10" stopIfTrue="1">
      <formula>AND(ROW(C2)=$A$4)</formula>
    </cfRule>
    <cfRule type="expression" dxfId="7" priority="11" stopIfTrue="1">
      <formula>AND($B2&lt;&gt;RIGHT($B$8,1))</formula>
    </cfRule>
  </conditionalFormatting>
  <conditionalFormatting sqref="S2:S62 M2:N62">
    <cfRule type="expression" dxfId="6" priority="9" stopIfTrue="1">
      <formula>AND(ROW(I2)=$A$4,COLUMN(I2)&lt;$A$3)</formula>
    </cfRule>
  </conditionalFormatting>
  <conditionalFormatting sqref="T2:T62">
    <cfRule type="expression" dxfId="5" priority="8" stopIfTrue="1">
      <formula>AND(ROW(P2)=$A$4,COLUMN(P2)&lt;$A$3)</formula>
    </cfRule>
  </conditionalFormatting>
  <conditionalFormatting sqref="Y2:Y62">
    <cfRule type="expression" dxfId="4" priority="7" stopIfTrue="1">
      <formula>AND(ROW(U2)=$A$4,$A$3&gt;21)</formula>
    </cfRule>
  </conditionalFormatting>
  <conditionalFormatting sqref="I1:L1 O1:R1 U1:X1">
    <cfRule type="cellIs" dxfId="3" priority="6" stopIfTrue="1" operator="equal">
      <formula>$B$3</formula>
    </cfRule>
  </conditionalFormatting>
  <conditionalFormatting sqref="Z2:Z62">
    <cfRule type="expression" dxfId="2" priority="3" stopIfTrue="1">
      <formula>AND(ROW(V2)=$A$4)</formula>
    </cfRule>
    <cfRule type="expression" dxfId="1" priority="4" stopIfTrue="1">
      <formula>AND(AC2=1)</formula>
    </cfRule>
  </conditionalFormatting>
  <conditionalFormatting sqref="AA2:AA62">
    <cfRule type="expression" dxfId="0" priority="2" stopIfTrue="1">
      <formula>AND(AC2=2)</formula>
    </cfRule>
  </conditionalFormatting>
  <dataValidations count="9">
    <dataValidation allowBlank="1" showInputMessage="1" showErrorMessage="1" prompt="Don't enter anything here, these are calculated automatically." sqref="AE2:AE62 T2:T62 Z2:AB62 F2:F62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C2:AC62">
      <formula1>"1,2,3"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G2:AG62"/>
    <dataValidation type="list" allowBlank="1" showInputMessage="1" showErrorMessage="1" sqref="Z1">
      <formula1>"PL Total, Best Squat, Best Bench, Best Deadlift, Push Pull Total"</formula1>
    </dataValidation>
    <dataValidation type="custom" errorStyle="warning" allowBlank="1" showInputMessage="1" showErrorMessage="1" error="Must be a multiple of 2.5 unless record attempt" sqref="I2:I62 O2:O62 U2:U62">
      <formula1>AND(MOD(I2,2.5)=0)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J2:L62 P2:R62 V2:X62">
      <formula1>AND(MOD(J2,2.5)=0,J2&gt;=ABS(I2),J2&gt;I2)</formula1>
    </dataValidation>
    <dataValidation type="list" allowBlank="1" showInputMessage="1" showErrorMessage="1" prompt="1st Character must be M or F to designate male/female to compute Wilks Coef.  Examples:  M-O = open male, F-M1 = female master" sqref="D2:D62">
      <formula1>INDIRECT($AH$1)</formula1>
    </dataValidation>
    <dataValidation type="list" allowBlank="1" showInputMessage="1" showErrorMessage="1" sqref="A2:A62">
      <formula1>"A,B,C,D,E,F,G,H"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">
      <formula1>"Flt A,Flt B,Flt C,Flt D,Flt E,Flt F, Flt G,Flt H"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</vt:lpstr>
      <vt:lpstr>Winners</vt:lpstr>
      <vt:lpstr>Attempts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Caslow Family</dc:creator>
  <cp:lastModifiedBy>HP_Owner</cp:lastModifiedBy>
  <dcterms:created xsi:type="dcterms:W3CDTF">2010-02-07T01:37:45Z</dcterms:created>
  <dcterms:modified xsi:type="dcterms:W3CDTF">2010-02-25T19:04:34Z</dcterms:modified>
</cp:coreProperties>
</file>