
<file path=[Content_Types].xml><?xml version="1.0" encoding="utf-8"?>
<Types xmlns="http://schemas.openxmlformats.org/package/2006/content-types">
  <Default Extension="bin" ContentType="application/vnd.ms-office.vbaPro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my\Desktop\New folder\Desktop\ALL DOCUMENTS UP TO DATE\APF\State Chairman\Michigan\2017\"/>
    </mc:Choice>
  </mc:AlternateContent>
  <bookViews>
    <workbookView xWindow="0" yWindow="0" windowWidth="28800" windowHeight="12435" activeTab="1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3-Lift" sheetId="14601" r:id="rId7"/>
    <sheet name="Squat" sheetId="14603" r:id="rId8"/>
    <sheet name="Bench" sheetId="14604" r:id="rId9"/>
    <sheet name="Deadlift" sheetId="14605" r:id="rId10"/>
    <sheet name="DATA" sheetId="14584" state="hidden" r:id="rId11"/>
    <sheet name="Push-Pull" sheetId="14602" r:id="rId12"/>
    <sheet name="PrintSheet" sheetId="14607" r:id="rId13"/>
    <sheet name="Awards" sheetId="14600" r:id="rId14"/>
    <sheet name="Please read" sheetId="14585" r:id="rId15"/>
    <sheet name="Black &amp; White load sheet" sheetId="14606" r:id="rId16"/>
  </sheets>
  <definedNames>
    <definedName name="_xlnm.Print_Area" localSheetId="6">'3-Lift'!#REF!</definedName>
    <definedName name="_xlnm.Print_Area" localSheetId="8">Bench!#REF!</definedName>
    <definedName name="_xlnm.Print_Area" localSheetId="9">Deadlift!#REF!</definedName>
    <definedName name="_xlnm.Print_Area" localSheetId="12">PrintSheet!$A$1:$AI$26</definedName>
    <definedName name="_xlnm.Print_Area" localSheetId="11">'Push-Pull'!#REF!</definedName>
    <definedName name="_xlnm.Print_Area" localSheetId="7">Squat!#REF!</definedName>
    <definedName name="_xlnm.Print_Area" localSheetId="1">'Weigh-in'!$B$2:$AG$39</definedName>
    <definedName name="_xlnm.Print_Titles" localSheetId="15">'Black &amp; White load sheet'!$1:$2</definedName>
    <definedName name="_xlnm.Print_Titles" localSheetId="12">PrintSheet!$1:$2</definedName>
  </definedNames>
  <calcPr calcId="152511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2" l="1"/>
  <c r="AI1" i="2"/>
  <c r="AW10" i="2"/>
  <c r="AW9" i="2"/>
  <c r="AX10" i="2"/>
  <c r="AE9" i="2"/>
  <c r="AY9" i="2" s="1"/>
  <c r="AR9" i="2" s="1"/>
  <c r="AX9" i="2"/>
  <c r="AS7" i="2"/>
  <c r="AU7" i="2"/>
  <c r="AJ7" i="2"/>
  <c r="AJ10" i="2" s="1"/>
  <c r="AA10" i="2"/>
  <c r="AQ10" i="2"/>
  <c r="AO10" i="2"/>
  <c r="F8" i="2"/>
  <c r="AK10" i="2"/>
  <c r="AF5" i="9"/>
  <c r="AF4" i="9"/>
  <c r="AF3" i="9"/>
  <c r="A9" i="2"/>
  <c r="C7" i="9"/>
  <c r="AE5" i="9"/>
  <c r="AE4" i="9"/>
  <c r="AE3" i="9"/>
  <c r="AW1" i="6"/>
  <c r="B3" i="14610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/>
  <c r="A4" i="14608"/>
  <c r="C4" i="14608"/>
  <c r="J10" i="9"/>
  <c r="J11" i="9"/>
  <c r="J12" i="9"/>
  <c r="J13" i="9"/>
  <c r="J14" i="9"/>
  <c r="J15" i="9"/>
  <c r="J16" i="9"/>
  <c r="J17" i="9"/>
  <c r="J18" i="9"/>
  <c r="J19" i="9"/>
  <c r="J20" i="9"/>
  <c r="J21" i="9"/>
  <c r="J22" i="9" s="1"/>
  <c r="J23" i="9" s="1"/>
  <c r="L21" i="9"/>
  <c r="L22" i="9"/>
  <c r="L23" i="9" s="1"/>
  <c r="H8" i="2"/>
  <c r="G3" i="2"/>
  <c r="U9" i="2"/>
  <c r="O9" i="2"/>
  <c r="AA9" i="2"/>
  <c r="H9" i="2"/>
  <c r="AG1" i="2"/>
  <c r="K7" i="14600"/>
  <c r="B6" i="14600"/>
  <c r="J2" i="14600"/>
  <c r="B2" i="14606"/>
  <c r="C2" i="14606"/>
  <c r="D2" i="14606"/>
  <c r="E2" i="14606"/>
  <c r="F2" i="14606"/>
  <c r="G2" i="14606"/>
  <c r="H2" i="14606"/>
  <c r="L1" i="14606" s="1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L14" i="14606" s="1"/>
  <c r="M13" i="14606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E2" i="6"/>
  <c r="G4" i="2"/>
  <c r="J16" i="14608" s="1"/>
  <c r="J6" i="14608"/>
  <c r="AN9" i="2"/>
  <c r="V9" i="2"/>
  <c r="AM9" i="2"/>
  <c r="AJ9" i="2"/>
  <c r="AB9" i="2" s="1"/>
  <c r="AB2" i="14607"/>
  <c r="H2" i="14607"/>
  <c r="F2" i="14607"/>
  <c r="D1" i="14607"/>
  <c r="C1" i="14607"/>
  <c r="BQ1" i="2"/>
  <c r="BQ2" i="2"/>
  <c r="BQ3" i="2"/>
  <c r="BQ4" i="2" s="1"/>
  <c r="BQ5" i="2" s="1"/>
  <c r="BQ6" i="2" s="1"/>
  <c r="BQ7" i="2" s="1"/>
  <c r="BQ8" i="2" s="1"/>
  <c r="AY10" i="2"/>
  <c r="A1" i="2"/>
  <c r="AF6" i="2" l="1"/>
  <c r="A7" i="2"/>
  <c r="AR10" i="2"/>
  <c r="AG9" i="2"/>
  <c r="AQ9" i="2"/>
  <c r="AF9" i="2"/>
  <c r="AC9" i="2"/>
  <c r="AD9" i="2"/>
  <c r="AL10" i="2"/>
  <c r="G8" i="2"/>
  <c r="G2" i="14607" s="1"/>
  <c r="AL9" i="2"/>
  <c r="AT9" i="2"/>
  <c r="L15" i="14606"/>
  <c r="M14" i="14606"/>
  <c r="A14" i="14606" s="1"/>
  <c r="A6" i="14606"/>
  <c r="A4" i="14606"/>
  <c r="A5" i="14606"/>
  <c r="A11" i="14606"/>
  <c r="A9" i="14606"/>
  <c r="A13" i="14606"/>
  <c r="A7" i="14606"/>
  <c r="A8" i="14606"/>
  <c r="A12" i="14606"/>
  <c r="A10" i="14606"/>
  <c r="A6" i="14600"/>
  <c r="B9" i="14600"/>
  <c r="AS9" i="2"/>
  <c r="P9" i="14600" l="1"/>
  <c r="B14" i="14600"/>
  <c r="B12" i="14600"/>
  <c r="B7" i="14600"/>
  <c r="B10" i="14600"/>
  <c r="B11" i="14600"/>
  <c r="B13" i="14600"/>
  <c r="B12" i="14606"/>
  <c r="B6" i="14606"/>
  <c r="D6" i="14606" s="1"/>
  <c r="C6" i="14606"/>
  <c r="B8" i="14606"/>
  <c r="B14" i="14606"/>
  <c r="C14" i="14606"/>
  <c r="D14" i="14606" s="1"/>
  <c r="B13" i="14606"/>
  <c r="C13" i="14606" s="1"/>
  <c r="B9" i="14606"/>
  <c r="C9" i="14606"/>
  <c r="D9" i="14606" s="1"/>
  <c r="B11" i="14606"/>
  <c r="AT10" i="2"/>
  <c r="B7" i="14606"/>
  <c r="M15" i="14606"/>
  <c r="A15" i="14606" s="1"/>
  <c r="L16" i="14606"/>
  <c r="B5" i="14606"/>
  <c r="B10" i="14606"/>
  <c r="B4" i="14606"/>
  <c r="D4" i="14606" s="1"/>
  <c r="C4" i="14606"/>
  <c r="K12" i="14600"/>
  <c r="A2" i="2"/>
  <c r="K10" i="14600"/>
  <c r="AS10" i="2"/>
  <c r="K11" i="14600"/>
  <c r="A4" i="2"/>
  <c r="AU9" i="2"/>
  <c r="K13" i="14600"/>
  <c r="K14" i="14600"/>
  <c r="O14" i="14600" l="1"/>
  <c r="L14" i="14600"/>
  <c r="N14" i="14600"/>
  <c r="M14" i="14600"/>
  <c r="P14" i="14600"/>
  <c r="N13" i="14600"/>
  <c r="L13" i="14600"/>
  <c r="O13" i="14600"/>
  <c r="M13" i="14600"/>
  <c r="P13" i="14600"/>
  <c r="AV9" i="2"/>
  <c r="A5" i="2"/>
  <c r="N11" i="14600"/>
  <c r="M11" i="14600"/>
  <c r="L11" i="14600"/>
  <c r="O11" i="14600"/>
  <c r="P11" i="14600"/>
  <c r="O10" i="14600"/>
  <c r="M10" i="14600"/>
  <c r="N10" i="14600"/>
  <c r="L10" i="14600"/>
  <c r="P10" i="14600"/>
  <c r="J1" i="2"/>
  <c r="N12" i="14600"/>
  <c r="O12" i="14600"/>
  <c r="M12" i="14600"/>
  <c r="L12" i="14600"/>
  <c r="P12" i="14600"/>
  <c r="E14" i="14606"/>
  <c r="E4" i="14606"/>
  <c r="G4" i="14606" s="1"/>
  <c r="F4" i="14606"/>
  <c r="D8" i="14606"/>
  <c r="E6" i="14606"/>
  <c r="C5" i="14606"/>
  <c r="B15" i="14606"/>
  <c r="C15" i="14606"/>
  <c r="C11" i="14606"/>
  <c r="E11" i="14606" s="1"/>
  <c r="C8" i="14606"/>
  <c r="C12" i="14606"/>
  <c r="C7" i="14606"/>
  <c r="D7" i="14606" s="1"/>
  <c r="D11" i="14606"/>
  <c r="D5" i="14606"/>
  <c r="E13" i="14606"/>
  <c r="F13" i="14606" s="1"/>
  <c r="F14" i="14606"/>
  <c r="D10" i="14606"/>
  <c r="F5" i="14606"/>
  <c r="E9" i="14606"/>
  <c r="D13" i="14606"/>
  <c r="G13" i="14606" s="1"/>
  <c r="C10" i="14606"/>
  <c r="E5" i="14606"/>
  <c r="E8" i="14606"/>
  <c r="L17" i="14606"/>
  <c r="M16" i="14606"/>
  <c r="A16" i="14606" s="1"/>
  <c r="A3" i="14608"/>
  <c r="H2" i="2"/>
  <c r="D3" i="2"/>
  <c r="B4" i="2"/>
  <c r="F2" i="2"/>
  <c r="AU10" i="2"/>
  <c r="AV10" i="2" l="1"/>
  <c r="L4" i="14608"/>
  <c r="D7" i="9"/>
  <c r="A6" i="14608"/>
  <c r="G7" i="9"/>
  <c r="D4" i="2"/>
  <c r="A16" i="14608" s="1"/>
  <c r="H3" i="2"/>
  <c r="I3" i="2" s="1"/>
  <c r="H4" i="14608"/>
  <c r="I2" i="2"/>
  <c r="F11" i="14606"/>
  <c r="G11" i="14606" s="1"/>
  <c r="I13" i="14606"/>
  <c r="H13" i="14606"/>
  <c r="J13" i="14606" s="1"/>
  <c r="G8" i="14606"/>
  <c r="F8" i="14606"/>
  <c r="F6" i="14606"/>
  <c r="G5" i="14606"/>
  <c r="F12" i="14606"/>
  <c r="E7" i="14606"/>
  <c r="G14" i="14606"/>
  <c r="H14" i="14606" s="1"/>
  <c r="B16" i="14606"/>
  <c r="C16" i="14606" s="1"/>
  <c r="H4" i="14606"/>
  <c r="I4" i="14606" s="1"/>
  <c r="J4" i="14606" s="1"/>
  <c r="M17" i="14606"/>
  <c r="A17" i="14606" s="1"/>
  <c r="L18" i="14606"/>
  <c r="F9" i="14606"/>
  <c r="E12" i="14606"/>
  <c r="D15" i="14606"/>
  <c r="D12" i="14606"/>
  <c r="G12" i="14606" s="1"/>
  <c r="E10" i="14606"/>
  <c r="H11" i="14606" l="1"/>
  <c r="I11" i="14606" s="1"/>
  <c r="J11" i="14606" s="1"/>
  <c r="D16" i="14606"/>
  <c r="F7" i="14606"/>
  <c r="F10" i="14606"/>
  <c r="H10" i="9"/>
  <c r="H13" i="9"/>
  <c r="H11" i="9"/>
  <c r="H12" i="9"/>
  <c r="L5" i="14608" s="1"/>
  <c r="H14" i="9"/>
  <c r="H15" i="9"/>
  <c r="H19" i="9"/>
  <c r="H16" i="9"/>
  <c r="H20" i="9"/>
  <c r="H17" i="9"/>
  <c r="H18" i="9"/>
  <c r="H8" i="14606"/>
  <c r="I8" i="14606" s="1"/>
  <c r="J8" i="14606" s="1"/>
  <c r="E15" i="14606"/>
  <c r="I14" i="14606"/>
  <c r="J14" i="14606" s="1"/>
  <c r="G6" i="14606"/>
  <c r="M18" i="14606"/>
  <c r="A18" i="14606" s="1"/>
  <c r="L19" i="14606"/>
  <c r="H12" i="14606"/>
  <c r="I12" i="14606" s="1"/>
  <c r="N4" i="14606"/>
  <c r="G9" i="14606"/>
  <c r="E16" i="9"/>
  <c r="E17" i="9"/>
  <c r="E14" i="9"/>
  <c r="E15" i="9"/>
  <c r="E12" i="9"/>
  <c r="E20" i="9"/>
  <c r="E13" i="9"/>
  <c r="E18" i="9"/>
  <c r="E10" i="9"/>
  <c r="E19" i="9"/>
  <c r="E11" i="9"/>
  <c r="B17" i="14606"/>
  <c r="E17" i="14606" s="1"/>
  <c r="C17" i="14606"/>
  <c r="D17" i="14606"/>
  <c r="E16" i="14606"/>
  <c r="G10" i="14606"/>
  <c r="H10" i="14606" s="1"/>
  <c r="I10" i="14606" s="1"/>
  <c r="H5" i="14606"/>
  <c r="I5" i="14606" s="1"/>
  <c r="J5" i="14606" s="1"/>
  <c r="F15" i="14606" l="1"/>
  <c r="B18" i="14606"/>
  <c r="G17" i="14606"/>
  <c r="F16" i="14606"/>
  <c r="J12" i="14606"/>
  <c r="F17" i="14606"/>
  <c r="H17" i="14606" s="1"/>
  <c r="G16" i="14606"/>
  <c r="J10" i="14606"/>
  <c r="M19" i="14606"/>
  <c r="A19" i="14606" s="1"/>
  <c r="L20" i="14606"/>
  <c r="H9" i="14606"/>
  <c r="I9" i="14606" s="1"/>
  <c r="G7" i="14606"/>
  <c r="H6" i="14606"/>
  <c r="I6" i="14606" s="1"/>
  <c r="J9" i="14606" l="1"/>
  <c r="J6" i="14606"/>
  <c r="G15" i="14606"/>
  <c r="H15" i="14606" s="1"/>
  <c r="B19" i="14606"/>
  <c r="C19" i="14606"/>
  <c r="D19" i="14606" s="1"/>
  <c r="H7" i="14606"/>
  <c r="L21" i="14606"/>
  <c r="M20" i="14606"/>
  <c r="A20" i="14606" s="1"/>
  <c r="I17" i="14606"/>
  <c r="J17" i="14606" s="1"/>
  <c r="C18" i="14606"/>
  <c r="D18" i="14606" s="1"/>
  <c r="I16" i="14606"/>
  <c r="J16" i="14606" s="1"/>
  <c r="H16" i="14606"/>
  <c r="I15" i="14606" l="1"/>
  <c r="J15" i="14606" s="1"/>
  <c r="E19" i="14606"/>
  <c r="E18" i="14606"/>
  <c r="B20" i="14606"/>
  <c r="I7" i="14606"/>
  <c r="J7" i="14606" s="1"/>
  <c r="M21" i="14606"/>
  <c r="A21" i="14606" s="1"/>
  <c r="L22" i="14606"/>
  <c r="G18" i="14606" l="1"/>
  <c r="B21" i="14606"/>
  <c r="E21" i="14606" s="1"/>
  <c r="C21" i="14606"/>
  <c r="D21" i="14606"/>
  <c r="C20" i="14606"/>
  <c r="F19" i="14606"/>
  <c r="D20" i="14606"/>
  <c r="M22" i="14606"/>
  <c r="A22" i="14606" s="1"/>
  <c r="L23" i="14606"/>
  <c r="F18" i="14606"/>
  <c r="D22" i="14606" l="1"/>
  <c r="E22" i="14606"/>
  <c r="F22" i="14606"/>
  <c r="B22" i="14606"/>
  <c r="C22" i="14606"/>
  <c r="G22" i="14606" s="1"/>
  <c r="H18" i="14606"/>
  <c r="I18" i="14606" s="1"/>
  <c r="G19" i="14606"/>
  <c r="F21" i="14606"/>
  <c r="G21" i="14606" s="1"/>
  <c r="E20" i="14606"/>
  <c r="M23" i="14606"/>
  <c r="A23" i="14606" s="1"/>
  <c r="L24" i="14606"/>
  <c r="H21" i="14606" l="1"/>
  <c r="J21" i="14606" s="1"/>
  <c r="I21" i="14606"/>
  <c r="H22" i="14606"/>
  <c r="J22" i="14606" s="1"/>
  <c r="F20" i="14606"/>
  <c r="I22" i="14606"/>
  <c r="M24" i="14606"/>
  <c r="A24" i="14606" s="1"/>
  <c r="L25" i="14606"/>
  <c r="J18" i="14606"/>
  <c r="H19" i="14606"/>
  <c r="B23" i="14606"/>
  <c r="E23" i="14606" s="1"/>
  <c r="C23" i="14606"/>
  <c r="D23" i="14606"/>
  <c r="M25" i="14606" l="1"/>
  <c r="A25" i="14606" s="1"/>
  <c r="L26" i="14606"/>
  <c r="B24" i="14606"/>
  <c r="C24" i="14606"/>
  <c r="D24" i="14606"/>
  <c r="E24" i="14606"/>
  <c r="G20" i="14606"/>
  <c r="H23" i="14606"/>
  <c r="F23" i="14606"/>
  <c r="I19" i="14606"/>
  <c r="J19" i="14606" s="1"/>
  <c r="G23" i="14606"/>
  <c r="J23" i="14606" l="1"/>
  <c r="L27" i="14606"/>
  <c r="M26" i="14606"/>
  <c r="A26" i="14606" s="1"/>
  <c r="B25" i="14606"/>
  <c r="I23" i="14606"/>
  <c r="H20" i="14606"/>
  <c r="I20" i="14606" s="1"/>
  <c r="J20" i="14606" s="1"/>
  <c r="F24" i="14606"/>
  <c r="G24" i="14606" s="1"/>
  <c r="H24" i="14606" s="1"/>
  <c r="B26" i="14606" l="1"/>
  <c r="L28" i="14606"/>
  <c r="M27" i="14606"/>
  <c r="A27" i="14606" s="1"/>
  <c r="I24" i="14606"/>
  <c r="C25" i="14606"/>
  <c r="D25" i="14606" s="1"/>
  <c r="J24" i="14606"/>
  <c r="M28" i="14606" l="1"/>
  <c r="A28" i="14606" s="1"/>
  <c r="L29" i="14606"/>
  <c r="E25" i="14606"/>
  <c r="B27" i="14606"/>
  <c r="C26" i="14606"/>
  <c r="M29" i="14606" l="1"/>
  <c r="A29" i="14606" s="1"/>
  <c r="L30" i="14606"/>
  <c r="D26" i="14606"/>
  <c r="B28" i="14606"/>
  <c r="C28" i="14606"/>
  <c r="D28" i="14606" s="1"/>
  <c r="C27" i="14606"/>
  <c r="D27" i="14606" s="1"/>
  <c r="F25" i="14606"/>
  <c r="E28" i="14606" l="1"/>
  <c r="B29" i="14606"/>
  <c r="C29" i="14606" s="1"/>
  <c r="G25" i="14606"/>
  <c r="M30" i="14606"/>
  <c r="A30" i="14606" s="1"/>
  <c r="L31" i="14606"/>
  <c r="E26" i="14606"/>
  <c r="G26" i="14606" s="1"/>
  <c r="E27" i="14606"/>
  <c r="F26" i="14606"/>
  <c r="I25" i="14606" l="1"/>
  <c r="J25" i="14606" s="1"/>
  <c r="H26" i="14606"/>
  <c r="F28" i="14606"/>
  <c r="G28" i="14606" s="1"/>
  <c r="I28" i="14606"/>
  <c r="H25" i="14606"/>
  <c r="M31" i="14606"/>
  <c r="A31" i="14606" s="1"/>
  <c r="L32" i="14606"/>
  <c r="F27" i="14606"/>
  <c r="G27" i="14606" s="1"/>
  <c r="H27" i="14606" s="1"/>
  <c r="D29" i="14606"/>
  <c r="H28" i="14606"/>
  <c r="B30" i="14606"/>
  <c r="C30" i="14606"/>
  <c r="E29" i="14606" l="1"/>
  <c r="J27" i="14606"/>
  <c r="D30" i="14606"/>
  <c r="I27" i="14606"/>
  <c r="I26" i="14606"/>
  <c r="J26" i="14606" s="1"/>
  <c r="J28" i="14606"/>
  <c r="L33" i="14606"/>
  <c r="M32" i="14606"/>
  <c r="A32" i="14606" s="1"/>
  <c r="D31" i="14606"/>
  <c r="B31" i="14606"/>
  <c r="C31" i="14606"/>
  <c r="E31" i="14606" s="1"/>
  <c r="L34" i="14606" l="1"/>
  <c r="M33" i="14606"/>
  <c r="A33" i="14606" s="1"/>
  <c r="E30" i="14606"/>
  <c r="F29" i="14606"/>
  <c r="F31" i="14606"/>
  <c r="B32" i="14606"/>
  <c r="G31" i="14606" l="1"/>
  <c r="G29" i="14606"/>
  <c r="H29" i="14606"/>
  <c r="I29" i="14606" s="1"/>
  <c r="H31" i="14606"/>
  <c r="C32" i="14606"/>
  <c r="B33" i="14606"/>
  <c r="F30" i="14606"/>
  <c r="M34" i="14606"/>
  <c r="A34" i="14606" s="1"/>
  <c r="L35" i="14606"/>
  <c r="D33" i="14606" l="1"/>
  <c r="D32" i="14606"/>
  <c r="I31" i="14606"/>
  <c r="M35" i="14606"/>
  <c r="A35" i="14606" s="1"/>
  <c r="L36" i="14606"/>
  <c r="E33" i="14606"/>
  <c r="G33" i="14606" s="1"/>
  <c r="B34" i="14606"/>
  <c r="C33" i="14606"/>
  <c r="G30" i="14606"/>
  <c r="H30" i="14606" s="1"/>
  <c r="F33" i="14606"/>
  <c r="J29" i="14606"/>
  <c r="J31" i="14606"/>
  <c r="E32" i="14606" l="1"/>
  <c r="F32" i="14606" s="1"/>
  <c r="I30" i="14606"/>
  <c r="J30" i="14606" s="1"/>
  <c r="L37" i="14606"/>
  <c r="M36" i="14606"/>
  <c r="A36" i="14606" s="1"/>
  <c r="B35" i="14606"/>
  <c r="D35" i="14606" s="1"/>
  <c r="C35" i="14606"/>
  <c r="C34" i="14606"/>
  <c r="H33" i="14606"/>
  <c r="G32" i="14606" l="1"/>
  <c r="H32" i="14606" s="1"/>
  <c r="I33" i="14606"/>
  <c r="J33" i="14606" s="1"/>
  <c r="E35" i="14606"/>
  <c r="F35" i="14606"/>
  <c r="G35" i="14606" s="1"/>
  <c r="D36" i="14606"/>
  <c r="E36" i="14606" s="1"/>
  <c r="B36" i="14606"/>
  <c r="C36" i="14606"/>
  <c r="D34" i="14606"/>
  <c r="M37" i="14606"/>
  <c r="A37" i="14606" s="1"/>
  <c r="L38" i="14606"/>
  <c r="I35" i="14606" l="1"/>
  <c r="H35" i="14606"/>
  <c r="J35" i="14606" s="1"/>
  <c r="F36" i="14606"/>
  <c r="G36" i="14606"/>
  <c r="H36" i="14606" s="1"/>
  <c r="I36" i="14606" s="1"/>
  <c r="I32" i="14606"/>
  <c r="J32" i="14606" s="1"/>
  <c r="E34" i="14606"/>
  <c r="B37" i="14606"/>
  <c r="C37" i="14606" s="1"/>
  <c r="L39" i="14606"/>
  <c r="M38" i="14606"/>
  <c r="A38" i="14606" s="1"/>
  <c r="M39" i="14606" l="1"/>
  <c r="A39" i="14606" s="1"/>
  <c r="L40" i="14606"/>
  <c r="J36" i="14606"/>
  <c r="E37" i="14606"/>
  <c r="H34" i="14606"/>
  <c r="G37" i="14606"/>
  <c r="D37" i="14606"/>
  <c r="F34" i="14606"/>
  <c r="F37" i="14606"/>
  <c r="G34" i="14606"/>
  <c r="E38" i="14606"/>
  <c r="F38" i="14606" s="1"/>
  <c r="G38" i="14606" s="1"/>
  <c r="B38" i="14606"/>
  <c r="C38" i="14606"/>
  <c r="D38" i="14606"/>
  <c r="H38" i="14606" l="1"/>
  <c r="J34" i="14606"/>
  <c r="H37" i="14606"/>
  <c r="M40" i="14606"/>
  <c r="A40" i="14606" s="1"/>
  <c r="L41" i="14606"/>
  <c r="I34" i="14606"/>
  <c r="B39" i="14606"/>
  <c r="B40" i="14606" l="1"/>
  <c r="C40" i="14606"/>
  <c r="I37" i="14606"/>
  <c r="J37" i="14606" s="1"/>
  <c r="C39" i="14606"/>
  <c r="I38" i="14606"/>
  <c r="J38" i="14606" s="1"/>
  <c r="M41" i="14606"/>
  <c r="A41" i="14606" s="1"/>
  <c r="L42" i="14606"/>
  <c r="D39" i="14606" l="1"/>
  <c r="E39" i="14606" s="1"/>
  <c r="E40" i="14606"/>
  <c r="F40" i="14606"/>
  <c r="M42" i="14606"/>
  <c r="A42" i="14606" s="1"/>
  <c r="L43" i="14606"/>
  <c r="D40" i="14606"/>
  <c r="G40" i="14606" s="1"/>
  <c r="B41" i="14606"/>
  <c r="D41" i="14606" s="1"/>
  <c r="C41" i="14606"/>
  <c r="F39" i="14606" l="1"/>
  <c r="G39" i="14606" s="1"/>
  <c r="I40" i="14606"/>
  <c r="B42" i="14606"/>
  <c r="C42" i="14606"/>
  <c r="D42" i="14606" s="1"/>
  <c r="M43" i="14606"/>
  <c r="A43" i="14606" s="1"/>
  <c r="L44" i="14606"/>
  <c r="H40" i="14606"/>
  <c r="J40" i="14606" s="1"/>
  <c r="E41" i="14606"/>
  <c r="F41" i="14606" s="1"/>
  <c r="H39" i="14606" l="1"/>
  <c r="I39" i="14606"/>
  <c r="J39" i="14606" s="1"/>
  <c r="G41" i="14606"/>
  <c r="H41" i="14606"/>
  <c r="E42" i="14606"/>
  <c r="L45" i="14606"/>
  <c r="M44" i="14606"/>
  <c r="A44" i="14606" s="1"/>
  <c r="B43" i="14606"/>
  <c r="C43" i="14606"/>
  <c r="J41" i="14606" l="1"/>
  <c r="I41" i="14606"/>
  <c r="L46" i="14606"/>
  <c r="M45" i="14606"/>
  <c r="A45" i="14606" s="1"/>
  <c r="F42" i="14606"/>
  <c r="B44" i="14606"/>
  <c r="C44" i="14606"/>
  <c r="D44" i="14606"/>
  <c r="E44" i="14606" s="1"/>
  <c r="D43" i="14606"/>
  <c r="G44" i="14606" l="1"/>
  <c r="H44" i="14606" s="1"/>
  <c r="F44" i="14606"/>
  <c r="M46" i="14606"/>
  <c r="A46" i="14606" s="1"/>
  <c r="L47" i="14606"/>
  <c r="G42" i="14606"/>
  <c r="I42" i="14606"/>
  <c r="B45" i="14606"/>
  <c r="E43" i="14606"/>
  <c r="H42" i="14606"/>
  <c r="J42" i="14606" s="1"/>
  <c r="B46" i="14606" l="1"/>
  <c r="C46" i="14606"/>
  <c r="D46" i="14606" s="1"/>
  <c r="D45" i="14606"/>
  <c r="I44" i="14606"/>
  <c r="J44" i="14606" s="1"/>
  <c r="C45" i="14606"/>
  <c r="M47" i="14606"/>
  <c r="A47" i="14606" s="1"/>
  <c r="L48" i="14606"/>
  <c r="F43" i="14606"/>
  <c r="G43" i="14606" l="1"/>
  <c r="H43" i="14606" s="1"/>
  <c r="L49" i="14606"/>
  <c r="M48" i="14606"/>
  <c r="A48" i="14606" s="1"/>
  <c r="B47" i="14606"/>
  <c r="E46" i="14606"/>
  <c r="F46" i="14606" s="1"/>
  <c r="F45" i="14606"/>
  <c r="G45" i="14606"/>
  <c r="E45" i="14606"/>
  <c r="J43" i="14606" l="1"/>
  <c r="M49" i="14606"/>
  <c r="A49" i="14606" s="1"/>
  <c r="L50" i="14606"/>
  <c r="G46" i="14606"/>
  <c r="H45" i="14606"/>
  <c r="C47" i="14606"/>
  <c r="B48" i="14606"/>
  <c r="I43" i="14606"/>
  <c r="C49" i="14606" l="1"/>
  <c r="D49" i="14606"/>
  <c r="B49" i="14606"/>
  <c r="E49" i="14606" s="1"/>
  <c r="M50" i="14606"/>
  <c r="A50" i="14606" s="1"/>
  <c r="L51" i="14606"/>
  <c r="D47" i="14606"/>
  <c r="D48" i="14606"/>
  <c r="H46" i="14606"/>
  <c r="I46" i="14606" s="1"/>
  <c r="C48" i="14606"/>
  <c r="E47" i="14606"/>
  <c r="I45" i="14606"/>
  <c r="J45" i="14606" s="1"/>
  <c r="F47" i="14606" l="1"/>
  <c r="G47" i="14606"/>
  <c r="J46" i="14606"/>
  <c r="L52" i="14606"/>
  <c r="M51" i="14606"/>
  <c r="A51" i="14606" s="1"/>
  <c r="G49" i="14606"/>
  <c r="E48" i="14606"/>
  <c r="B50" i="14606"/>
  <c r="C50" i="14606"/>
  <c r="F49" i="14606"/>
  <c r="I47" i="14606" l="1"/>
  <c r="I49" i="14606"/>
  <c r="J47" i="14606"/>
  <c r="F48" i="14606"/>
  <c r="H47" i="14606"/>
  <c r="H49" i="14606"/>
  <c r="J49" i="14606" s="1"/>
  <c r="B51" i="14606"/>
  <c r="C51" i="14606"/>
  <c r="D50" i="14606"/>
  <c r="M52" i="14606"/>
  <c r="A52" i="14606" s="1"/>
  <c r="L53" i="14606"/>
  <c r="M53" i="14606" l="1"/>
  <c r="A53" i="14606" s="1"/>
  <c r="L54" i="14606"/>
  <c r="D51" i="14606"/>
  <c r="E51" i="14606" s="1"/>
  <c r="D52" i="14606"/>
  <c r="B52" i="14606"/>
  <c r="C52" i="14606"/>
  <c r="G48" i="14606"/>
  <c r="I48" i="14606" s="1"/>
  <c r="J48" i="14606" s="1"/>
  <c r="H48" i="14606"/>
  <c r="E50" i="14606"/>
  <c r="G50" i="14606" l="1"/>
  <c r="F50" i="14606"/>
  <c r="M54" i="14606"/>
  <c r="A54" i="14606" s="1"/>
  <c r="L55" i="14606"/>
  <c r="B53" i="14606"/>
  <c r="E52" i="14606"/>
  <c r="F52" i="14606" s="1"/>
  <c r="H50" i="14606"/>
  <c r="I50" i="14606" s="1"/>
  <c r="F51" i="14606"/>
  <c r="G51" i="14606" s="1"/>
  <c r="G52" i="14606" l="1"/>
  <c r="I52" i="14606" s="1"/>
  <c r="B54" i="14606"/>
  <c r="J50" i="14606"/>
  <c r="M55" i="14606"/>
  <c r="A55" i="14606" s="1"/>
  <c r="L56" i="14606"/>
  <c r="C53" i="14606"/>
  <c r="D53" i="14606" s="1"/>
  <c r="H52" i="14606"/>
  <c r="H51" i="14606"/>
  <c r="J52" i="14606" l="1"/>
  <c r="F53" i="14606"/>
  <c r="D54" i="14606"/>
  <c r="G53" i="14606"/>
  <c r="E53" i="14606"/>
  <c r="C54" i="14606"/>
  <c r="B55" i="14606"/>
  <c r="J51" i="14606"/>
  <c r="L57" i="14606"/>
  <c r="M56" i="14606"/>
  <c r="A56" i="14606" s="1"/>
  <c r="I51" i="14606"/>
  <c r="E54" i="14606" l="1"/>
  <c r="B56" i="14606"/>
  <c r="C56" i="14606"/>
  <c r="D56" i="14606" s="1"/>
  <c r="E56" i="14606" s="1"/>
  <c r="H53" i="14606"/>
  <c r="F54" i="14606"/>
  <c r="C55" i="14606"/>
  <c r="M57" i="14606"/>
  <c r="A57" i="14606" s="1"/>
  <c r="L58" i="14606"/>
  <c r="D55" i="14606" l="1"/>
  <c r="I53" i="14606"/>
  <c r="J53" i="14606" s="1"/>
  <c r="L59" i="14606"/>
  <c r="M58" i="14606"/>
  <c r="A58" i="14606" s="1"/>
  <c r="D57" i="14606"/>
  <c r="E57" i="14606"/>
  <c r="B57" i="14606"/>
  <c r="F57" i="14606" s="1"/>
  <c r="C57" i="14606"/>
  <c r="F56" i="14606"/>
  <c r="G54" i="14606"/>
  <c r="B58" i="14606" l="1"/>
  <c r="G56" i="14606"/>
  <c r="H56" i="14606" s="1"/>
  <c r="G57" i="14606"/>
  <c r="M59" i="14606"/>
  <c r="A59" i="14606" s="1"/>
  <c r="L60" i="14606"/>
  <c r="H54" i="14606"/>
  <c r="E55" i="14606"/>
  <c r="M60" i="14606" l="1"/>
  <c r="A60" i="14606" s="1"/>
  <c r="L61" i="14606"/>
  <c r="I56" i="14606"/>
  <c r="J56" i="14606" s="1"/>
  <c r="B59" i="14606"/>
  <c r="H57" i="14606"/>
  <c r="I57" i="14606" s="1"/>
  <c r="F55" i="14606"/>
  <c r="C58" i="14606"/>
  <c r="I54" i="14606"/>
  <c r="J54" i="14606" s="1"/>
  <c r="B60" i="14606" l="1"/>
  <c r="J57" i="14606"/>
  <c r="D58" i="14606"/>
  <c r="C59" i="14606"/>
  <c r="M61" i="14606"/>
  <c r="A61" i="14606" s="1"/>
  <c r="L62" i="14606"/>
  <c r="G55" i="14606"/>
  <c r="H55" i="14606" s="1"/>
  <c r="C60" i="14606" l="1"/>
  <c r="D59" i="14606"/>
  <c r="E58" i="14606"/>
  <c r="D60" i="14606"/>
  <c r="L63" i="14606"/>
  <c r="M62" i="14606"/>
  <c r="A62" i="14606" s="1"/>
  <c r="B61" i="14606"/>
  <c r="I55" i="14606"/>
  <c r="J55" i="14606" s="1"/>
  <c r="F60" i="14606" l="1"/>
  <c r="E59" i="14606"/>
  <c r="F58" i="14606"/>
  <c r="B62" i="14606"/>
  <c r="C61" i="14606"/>
  <c r="L64" i="14606"/>
  <c r="M63" i="14606"/>
  <c r="A63" i="14606" s="1"/>
  <c r="E60" i="14606"/>
  <c r="G60" i="14606" s="1"/>
  <c r="H60" i="14606" l="1"/>
  <c r="I60" i="14606" s="1"/>
  <c r="H58" i="14606"/>
  <c r="B63" i="14606"/>
  <c r="C63" i="14606" s="1"/>
  <c r="M64" i="14606"/>
  <c r="A64" i="14606" s="1"/>
  <c r="L65" i="14606"/>
  <c r="C62" i="14606"/>
  <c r="D61" i="14606"/>
  <c r="F59" i="14606"/>
  <c r="G58" i="14606"/>
  <c r="D62" i="14606"/>
  <c r="J59" i="14606" l="1"/>
  <c r="D63" i="14606"/>
  <c r="G59" i="14606"/>
  <c r="H59" i="14606" s="1"/>
  <c r="I59" i="14606"/>
  <c r="I58" i="14606"/>
  <c r="J58" i="14606" s="1"/>
  <c r="L66" i="14606"/>
  <c r="M65" i="14606"/>
  <c r="A65" i="14606" s="1"/>
  <c r="J60" i="14606"/>
  <c r="E61" i="14606"/>
  <c r="G61" i="14606" s="1"/>
  <c r="F61" i="14606"/>
  <c r="H61" i="14606" s="1"/>
  <c r="B64" i="14606"/>
  <c r="C64" i="14606" s="1"/>
  <c r="E62" i="14606"/>
  <c r="E63" i="14606"/>
  <c r="F63" i="14606" s="1"/>
  <c r="G63" i="14606" l="1"/>
  <c r="H63" i="14606"/>
  <c r="J61" i="14606"/>
  <c r="I61" i="14606"/>
  <c r="B65" i="14606"/>
  <c r="M66" i="14606"/>
  <c r="A66" i="14606" s="1"/>
  <c r="L67" i="14606"/>
  <c r="D64" i="14606"/>
  <c r="F62" i="14606"/>
  <c r="E64" i="14606" l="1"/>
  <c r="M67" i="14606"/>
  <c r="A67" i="14606" s="1"/>
  <c r="L68" i="14606"/>
  <c r="B66" i="14606"/>
  <c r="C66" i="14606"/>
  <c r="G62" i="14606"/>
  <c r="H62" i="14606" s="1"/>
  <c r="I62" i="14606" s="1"/>
  <c r="C65" i="14606"/>
  <c r="D65" i="14606" s="1"/>
  <c r="F64" i="14606"/>
  <c r="G64" i="14606" s="1"/>
  <c r="I63" i="14606"/>
  <c r="J63" i="14606" s="1"/>
  <c r="E65" i="14606" l="1"/>
  <c r="H64" i="14606"/>
  <c r="D66" i="14606"/>
  <c r="M68" i="14606"/>
  <c r="A68" i="14606" s="1"/>
  <c r="L69" i="14606"/>
  <c r="B67" i="14606"/>
  <c r="J62" i="14606"/>
  <c r="I64" i="14606" l="1"/>
  <c r="J64" i="14606" s="1"/>
  <c r="B68" i="14606"/>
  <c r="C68" i="14606"/>
  <c r="D68" i="14606" s="1"/>
  <c r="E66" i="14606"/>
  <c r="C67" i="14606"/>
  <c r="M69" i="14606"/>
  <c r="A69" i="14606" s="1"/>
  <c r="L70" i="14606"/>
  <c r="F65" i="14606"/>
  <c r="G65" i="14606" s="1"/>
  <c r="H65" i="14606" s="1"/>
  <c r="E68" i="14606" l="1"/>
  <c r="D67" i="14606"/>
  <c r="M70" i="14606"/>
  <c r="A70" i="14606" s="1"/>
  <c r="L71" i="14606"/>
  <c r="I65" i="14606"/>
  <c r="B69" i="14606"/>
  <c r="C69" i="14606"/>
  <c r="J65" i="14606"/>
  <c r="F66" i="14606"/>
  <c r="G66" i="14606"/>
  <c r="H68" i="14606" l="1"/>
  <c r="C70" i="14606"/>
  <c r="B70" i="14606"/>
  <c r="D69" i="14606"/>
  <c r="E69" i="14606" s="1"/>
  <c r="F68" i="14606"/>
  <c r="G68" i="14606" s="1"/>
  <c r="E67" i="14606"/>
  <c r="G67" i="14606" s="1"/>
  <c r="H66" i="14606"/>
  <c r="J66" i="14606" s="1"/>
  <c r="I66" i="14606"/>
  <c r="M71" i="14606"/>
  <c r="A71" i="14606" s="1"/>
  <c r="L72" i="14606"/>
  <c r="F67" i="14606"/>
  <c r="F69" i="14606" l="1"/>
  <c r="L73" i="14606"/>
  <c r="M72" i="14606"/>
  <c r="A72" i="14606" s="1"/>
  <c r="H67" i="14606"/>
  <c r="I67" i="14606" s="1"/>
  <c r="J67" i="14606" s="1"/>
  <c r="D70" i="14606"/>
  <c r="B71" i="14606"/>
  <c r="J68" i="14606"/>
  <c r="I68" i="14606"/>
  <c r="C71" i="14606" l="1"/>
  <c r="E70" i="14606"/>
  <c r="F70" i="14606" s="1"/>
  <c r="D71" i="14606"/>
  <c r="E71" i="14606" s="1"/>
  <c r="C72" i="14606"/>
  <c r="D72" i="14606" s="1"/>
  <c r="B72" i="14606"/>
  <c r="G69" i="14606"/>
  <c r="M73" i="14606"/>
  <c r="A73" i="14606" s="1"/>
  <c r="L74" i="14606"/>
  <c r="E72" i="14606" l="1"/>
  <c r="F72" i="14606" s="1"/>
  <c r="H69" i="14606"/>
  <c r="I69" i="14606"/>
  <c r="J69" i="14606" s="1"/>
  <c r="G70" i="14606"/>
  <c r="L75" i="14606"/>
  <c r="M74" i="14606"/>
  <c r="A74" i="14606" s="1"/>
  <c r="H70" i="14606"/>
  <c r="I70" i="14606" s="1"/>
  <c r="J70" i="14606" s="1"/>
  <c r="C73" i="14606"/>
  <c r="B73" i="14606"/>
  <c r="D73" i="14606"/>
  <c r="F71" i="14606"/>
  <c r="F73" i="14606" l="1"/>
  <c r="G72" i="14606"/>
  <c r="H72" i="14606"/>
  <c r="I72" i="14606" s="1"/>
  <c r="J72" i="14606" s="1"/>
  <c r="L76" i="14606"/>
  <c r="M75" i="14606"/>
  <c r="A75" i="14606" s="1"/>
  <c r="G71" i="14606"/>
  <c r="E73" i="14606"/>
  <c r="G73" i="14606" s="1"/>
  <c r="H73" i="14606" s="1"/>
  <c r="H71" i="14606"/>
  <c r="B74" i="14606"/>
  <c r="C74" i="14606"/>
  <c r="J73" i="14606" l="1"/>
  <c r="D74" i="14606"/>
  <c r="E74" i="14606"/>
  <c r="L77" i="14606"/>
  <c r="M76" i="14606"/>
  <c r="A76" i="14606" s="1"/>
  <c r="I73" i="14606"/>
  <c r="I71" i="14606"/>
  <c r="J71" i="14606" s="1"/>
  <c r="B75" i="14606"/>
  <c r="C75" i="14606" s="1"/>
  <c r="C76" i="14606" l="1"/>
  <c r="B76" i="14606"/>
  <c r="M77" i="14606"/>
  <c r="A77" i="14606" s="1"/>
  <c r="L78" i="14606"/>
  <c r="D75" i="14606"/>
  <c r="E75" i="14606" s="1"/>
  <c r="F74" i="14606"/>
  <c r="F75" i="14606" l="1"/>
  <c r="G75" i="14606"/>
  <c r="H75" i="14606" s="1"/>
  <c r="M78" i="14606"/>
  <c r="A78" i="14606" s="1"/>
  <c r="L79" i="14606"/>
  <c r="G74" i="14606"/>
  <c r="H74" i="14606" s="1"/>
  <c r="D76" i="14606"/>
  <c r="E76" i="14606" s="1"/>
  <c r="B77" i="14606"/>
  <c r="I75" i="14606" l="1"/>
  <c r="J75" i="14606" s="1"/>
  <c r="B78" i="14606"/>
  <c r="C77" i="14606"/>
  <c r="D77" i="14606" s="1"/>
  <c r="I74" i="14606"/>
  <c r="J74" i="14606" s="1"/>
  <c r="F76" i="14606"/>
  <c r="M79" i="14606"/>
  <c r="A79" i="14606" s="1"/>
  <c r="L80" i="14606"/>
  <c r="E77" i="14606" l="1"/>
  <c r="H76" i="14606"/>
  <c r="L81" i="14606"/>
  <c r="M80" i="14606"/>
  <c r="A80" i="14606" s="1"/>
  <c r="C78" i="14606"/>
  <c r="G77" i="14606"/>
  <c r="B79" i="14606"/>
  <c r="C79" i="14606" s="1"/>
  <c r="G76" i="14606"/>
  <c r="I76" i="14606" s="1"/>
  <c r="F77" i="14606"/>
  <c r="D79" i="14606" l="1"/>
  <c r="E79" i="14606"/>
  <c r="J76" i="14606"/>
  <c r="M81" i="14606"/>
  <c r="A81" i="14606" s="1"/>
  <c r="L82" i="14606"/>
  <c r="H77" i="14606"/>
  <c r="D78" i="14606"/>
  <c r="B80" i="14606"/>
  <c r="C80" i="14606" s="1"/>
  <c r="F79" i="14606" l="1"/>
  <c r="I77" i="14606"/>
  <c r="J77" i="14606" s="1"/>
  <c r="E78" i="14606"/>
  <c r="D80" i="14606"/>
  <c r="B81" i="14606"/>
  <c r="C81" i="14606"/>
  <c r="D81" i="14606"/>
  <c r="F81" i="14606" s="1"/>
  <c r="E81" i="14606"/>
  <c r="G79" i="14606"/>
  <c r="F80" i="14606"/>
  <c r="G80" i="14606" s="1"/>
  <c r="M82" i="14606"/>
  <c r="A82" i="14606" s="1"/>
  <c r="L83" i="14606"/>
  <c r="E80" i="14606"/>
  <c r="H80" i="14606" s="1"/>
  <c r="I80" i="14606" l="1"/>
  <c r="J80" i="14606"/>
  <c r="G81" i="14606"/>
  <c r="H79" i="14606"/>
  <c r="I79" i="14606" s="1"/>
  <c r="J79" i="14606" s="1"/>
  <c r="M83" i="14606"/>
  <c r="A83" i="14606" s="1"/>
  <c r="L84" i="14606"/>
  <c r="B82" i="14606"/>
  <c r="F78" i="14606"/>
  <c r="G78" i="14606" s="1"/>
  <c r="H78" i="14606" l="1"/>
  <c r="I78" i="14606" s="1"/>
  <c r="L85" i="14606"/>
  <c r="M84" i="14606"/>
  <c r="A84" i="14606" s="1"/>
  <c r="C83" i="14606"/>
  <c r="B83" i="14606"/>
  <c r="H81" i="14606"/>
  <c r="I81" i="14606" s="1"/>
  <c r="J81" i="14606" s="1"/>
  <c r="C82" i="14606"/>
  <c r="D82" i="14606" l="1"/>
  <c r="M85" i="14606"/>
  <c r="A85" i="14606" s="1"/>
  <c r="L86" i="14606"/>
  <c r="D83" i="14606"/>
  <c r="E83" i="14606" s="1"/>
  <c r="J78" i="14606"/>
  <c r="C84" i="14606"/>
  <c r="B84" i="14606"/>
  <c r="D84" i="14606" s="1"/>
  <c r="E84" i="14606" s="1"/>
  <c r="M86" i="14606" l="1"/>
  <c r="A86" i="14606" s="1"/>
  <c r="L87" i="14606"/>
  <c r="C85" i="14606"/>
  <c r="D85" i="14606"/>
  <c r="B85" i="14606"/>
  <c r="F83" i="14606"/>
  <c r="G83" i="14606"/>
  <c r="H83" i="14606" s="1"/>
  <c r="E82" i="14606"/>
  <c r="F84" i="14606"/>
  <c r="H84" i="14606" s="1"/>
  <c r="G84" i="14606"/>
  <c r="I83" i="14606" l="1"/>
  <c r="J83" i="14606"/>
  <c r="E85" i="14606"/>
  <c r="F85" i="14606"/>
  <c r="I84" i="14606"/>
  <c r="J84" i="14606" s="1"/>
  <c r="B86" i="14606"/>
  <c r="F82" i="14606"/>
  <c r="L88" i="14606"/>
  <c r="M87" i="14606"/>
  <c r="A87" i="14606" s="1"/>
  <c r="H82" i="14606" l="1"/>
  <c r="C86" i="14606"/>
  <c r="G85" i="14606"/>
  <c r="H85" i="14606" s="1"/>
  <c r="I82" i="14606"/>
  <c r="M88" i="14606"/>
  <c r="A88" i="14606" s="1"/>
  <c r="L89" i="14606"/>
  <c r="G82" i="14606"/>
  <c r="J82" i="14606" s="1"/>
  <c r="B87" i="14606"/>
  <c r="C87" i="14606"/>
  <c r="I85" i="14606" l="1"/>
  <c r="J85" i="14606"/>
  <c r="D88" i="14606"/>
  <c r="B88" i="14606"/>
  <c r="C88" i="14606"/>
  <c r="L90" i="14606"/>
  <c r="M89" i="14606"/>
  <c r="A89" i="14606" s="1"/>
  <c r="D86" i="14606"/>
  <c r="D87" i="14606"/>
  <c r="B89" i="14606" l="1"/>
  <c r="L91" i="14606"/>
  <c r="M90" i="14606"/>
  <c r="A90" i="14606" s="1"/>
  <c r="E87" i="14606"/>
  <c r="E88" i="14606"/>
  <c r="E86" i="14606"/>
  <c r="F87" i="14606" l="1"/>
  <c r="F88" i="14606"/>
  <c r="B90" i="14606"/>
  <c r="C90" i="14606" s="1"/>
  <c r="C89" i="14606"/>
  <c r="D89" i="14606" s="1"/>
  <c r="M91" i="14606"/>
  <c r="A91" i="14606" s="1"/>
  <c r="L92" i="14606"/>
  <c r="F86" i="14606"/>
  <c r="D90" i="14606" l="1"/>
  <c r="H87" i="14606"/>
  <c r="I87" i="14606" s="1"/>
  <c r="E89" i="14606"/>
  <c r="B91" i="14606"/>
  <c r="G87" i="14606"/>
  <c r="G86" i="14606"/>
  <c r="H86" i="14606" s="1"/>
  <c r="L93" i="14606"/>
  <c r="M92" i="14606"/>
  <c r="A92" i="14606" s="1"/>
  <c r="G88" i="14606"/>
  <c r="F89" i="14606"/>
  <c r="I86" i="14606" l="1"/>
  <c r="J86" i="14606"/>
  <c r="I88" i="14606"/>
  <c r="J88" i="14606" s="1"/>
  <c r="C91" i="14606"/>
  <c r="B92" i="14606"/>
  <c r="L94" i="14606"/>
  <c r="M93" i="14606"/>
  <c r="A93" i="14606" s="1"/>
  <c r="H88" i="14606"/>
  <c r="E90" i="14606"/>
  <c r="F90" i="14606" s="1"/>
  <c r="G89" i="14606"/>
  <c r="J87" i="14606"/>
  <c r="M94" i="14606" l="1"/>
  <c r="A94" i="14606" s="1"/>
  <c r="L95" i="14606"/>
  <c r="H89" i="14606"/>
  <c r="I89" i="14606"/>
  <c r="J89" i="14606"/>
  <c r="B93" i="14606"/>
  <c r="C93" i="14606" s="1"/>
  <c r="G90" i="14606"/>
  <c r="I90" i="14606" s="1"/>
  <c r="C92" i="14606"/>
  <c r="D92" i="14606" s="1"/>
  <c r="D91" i="14606"/>
  <c r="H90" i="14606"/>
  <c r="F91" i="14606" l="1"/>
  <c r="B94" i="14606"/>
  <c r="M95" i="14606"/>
  <c r="A95" i="14606" s="1"/>
  <c r="L96" i="14606"/>
  <c r="G91" i="14606"/>
  <c r="E93" i="14606"/>
  <c r="E91" i="14606"/>
  <c r="H91" i="14606" s="1"/>
  <c r="D93" i="14606"/>
  <c r="E92" i="14606"/>
  <c r="F92" i="14606" s="1"/>
  <c r="J90" i="14606"/>
  <c r="G92" i="14606" l="1"/>
  <c r="H92" i="14606" s="1"/>
  <c r="G93" i="14606"/>
  <c r="H93" i="14606" s="1"/>
  <c r="L97" i="14606"/>
  <c r="M96" i="14606"/>
  <c r="A96" i="14606" s="1"/>
  <c r="F93" i="14606"/>
  <c r="C94" i="14606"/>
  <c r="B95" i="14606"/>
  <c r="C95" i="14606" s="1"/>
  <c r="I91" i="14606"/>
  <c r="J91" i="14606" s="1"/>
  <c r="I92" i="14606" l="1"/>
  <c r="J92" i="14606" s="1"/>
  <c r="D94" i="14606"/>
  <c r="M97" i="14606"/>
  <c r="A97" i="14606" s="1"/>
  <c r="L98" i="14606"/>
  <c r="D95" i="14606"/>
  <c r="I93" i="14606"/>
  <c r="J93" i="14606" s="1"/>
  <c r="B96" i="14606"/>
  <c r="M98" i="14606" l="1"/>
  <c r="A98" i="14606" s="1"/>
  <c r="L99" i="14606"/>
  <c r="B97" i="14606"/>
  <c r="G95" i="14606"/>
  <c r="E94" i="14606"/>
  <c r="F94" i="14606"/>
  <c r="C96" i="14606"/>
  <c r="F95" i="14606"/>
  <c r="E95" i="14606"/>
  <c r="C97" i="14606" l="1"/>
  <c r="D97" i="14606" s="1"/>
  <c r="H95" i="14606"/>
  <c r="M99" i="14606"/>
  <c r="A99" i="14606" s="1"/>
  <c r="L100" i="14606"/>
  <c r="B98" i="14606"/>
  <c r="G94" i="14606"/>
  <c r="H94" i="14606"/>
  <c r="D96" i="14606"/>
  <c r="E96" i="14606"/>
  <c r="J94" i="14606" l="1"/>
  <c r="I94" i="14606"/>
  <c r="M100" i="14606"/>
  <c r="A100" i="14606" s="1"/>
  <c r="L101" i="14606"/>
  <c r="E97" i="14606"/>
  <c r="D99" i="14606"/>
  <c r="C99" i="14606"/>
  <c r="E99" i="14606" s="1"/>
  <c r="B99" i="14606"/>
  <c r="F97" i="14606"/>
  <c r="G97" i="14606" s="1"/>
  <c r="I95" i="14606"/>
  <c r="J95" i="14606" s="1"/>
  <c r="C98" i="14606"/>
  <c r="F96" i="14606"/>
  <c r="H97" i="14606" l="1"/>
  <c r="I97" i="14606" s="1"/>
  <c r="J97" i="14606" s="1"/>
  <c r="F99" i="14606"/>
  <c r="G96" i="14606"/>
  <c r="H96" i="14606"/>
  <c r="I96" i="14606" s="1"/>
  <c r="L102" i="14606"/>
  <c r="M101" i="14606"/>
  <c r="A101" i="14606" s="1"/>
  <c r="C100" i="14606"/>
  <c r="D100" i="14606" s="1"/>
  <c r="B100" i="14606"/>
  <c r="D98" i="14606"/>
  <c r="F100" i="14606" l="1"/>
  <c r="G100" i="14606"/>
  <c r="J96" i="14606"/>
  <c r="E100" i="14606"/>
  <c r="E98" i="14606"/>
  <c r="B101" i="14606"/>
  <c r="C101" i="14606"/>
  <c r="G99" i="14606"/>
  <c r="L103" i="14606"/>
  <c r="M102" i="14606"/>
  <c r="A102" i="14606" s="1"/>
  <c r="B102" i="14606" l="1"/>
  <c r="H100" i="14606"/>
  <c r="I100" i="14606" s="1"/>
  <c r="H99" i="14606"/>
  <c r="L104" i="14606"/>
  <c r="M103" i="14606"/>
  <c r="A103" i="14606" s="1"/>
  <c r="H98" i="14606"/>
  <c r="D101" i="14606"/>
  <c r="G98" i="14606"/>
  <c r="F98" i="14606"/>
  <c r="D102" i="14606" l="1"/>
  <c r="J100" i="14606"/>
  <c r="C103" i="14606"/>
  <c r="B103" i="14606"/>
  <c r="I98" i="14606"/>
  <c r="J98" i="14606"/>
  <c r="M104" i="14606"/>
  <c r="A104" i="14606" s="1"/>
  <c r="L105" i="14606"/>
  <c r="E101" i="14606"/>
  <c r="C102" i="14606"/>
  <c r="I99" i="14606"/>
  <c r="J99" i="14606" s="1"/>
  <c r="F101" i="14606" l="1"/>
  <c r="E102" i="14606"/>
  <c r="G102" i="14606" s="1"/>
  <c r="H102" i="14606" s="1"/>
  <c r="D103" i="14606"/>
  <c r="F102" i="14606"/>
  <c r="L106" i="14606"/>
  <c r="M105" i="14606"/>
  <c r="A105" i="14606" s="1"/>
  <c r="B104" i="14606"/>
  <c r="J102" i="14606" l="1"/>
  <c r="G101" i="14606"/>
  <c r="H101" i="14606"/>
  <c r="C104" i="14606"/>
  <c r="D104" i="14606" s="1"/>
  <c r="B105" i="14606"/>
  <c r="C105" i="14606"/>
  <c r="E103" i="14606"/>
  <c r="F103" i="14606" s="1"/>
  <c r="I102" i="14606"/>
  <c r="L107" i="14606"/>
  <c r="M106" i="14606"/>
  <c r="A106" i="14606" s="1"/>
  <c r="D105" i="14606" l="1"/>
  <c r="E104" i="14606"/>
  <c r="I103" i="14606"/>
  <c r="G103" i="14606"/>
  <c r="J101" i="14606"/>
  <c r="B106" i="14606"/>
  <c r="E105" i="14606"/>
  <c r="I101" i="14606"/>
  <c r="L108" i="14606"/>
  <c r="M107" i="14606"/>
  <c r="A107" i="14606" s="1"/>
  <c r="H103" i="14606"/>
  <c r="J103" i="14606" s="1"/>
  <c r="F105" i="14606" l="1"/>
  <c r="D106" i="14606"/>
  <c r="F104" i="14606"/>
  <c r="B107" i="14606"/>
  <c r="C107" i="14606" s="1"/>
  <c r="C106" i="14606"/>
  <c r="M108" i="14606"/>
  <c r="A108" i="14606" s="1"/>
  <c r="L109" i="14606"/>
  <c r="G105" i="14606"/>
  <c r="G104" i="14606" l="1"/>
  <c r="L110" i="14606"/>
  <c r="M109" i="14606"/>
  <c r="A109" i="14606" s="1"/>
  <c r="B108" i="14606"/>
  <c r="C108" i="14606" s="1"/>
  <c r="E106" i="14606"/>
  <c r="F106" i="14606" s="1"/>
  <c r="H105" i="14606"/>
  <c r="E107" i="14606"/>
  <c r="F107" i="14606" s="1"/>
  <c r="D107" i="14606"/>
  <c r="G106" i="14606" l="1"/>
  <c r="I104" i="14606"/>
  <c r="G107" i="14606"/>
  <c r="D108" i="14606"/>
  <c r="H104" i="14606"/>
  <c r="L111" i="14606"/>
  <c r="M110" i="14606"/>
  <c r="A110" i="14606" s="1"/>
  <c r="I105" i="14606"/>
  <c r="J105" i="14606" s="1"/>
  <c r="C109" i="14606"/>
  <c r="D109" i="14606" s="1"/>
  <c r="B109" i="14606"/>
  <c r="G108" i="14606" l="1"/>
  <c r="E109" i="14606"/>
  <c r="F109" i="14606" s="1"/>
  <c r="E108" i="14606"/>
  <c r="H108" i="14606" s="1"/>
  <c r="H107" i="14606"/>
  <c r="C110" i="14606"/>
  <c r="B110" i="14606"/>
  <c r="M111" i="14606"/>
  <c r="A111" i="14606" s="1"/>
  <c r="L112" i="14606"/>
  <c r="H106" i="14606"/>
  <c r="J106" i="14606" s="1"/>
  <c r="F108" i="14606"/>
  <c r="I106" i="14606"/>
  <c r="J104" i="14606"/>
  <c r="G109" i="14606" l="1"/>
  <c r="H109" i="14606" s="1"/>
  <c r="I108" i="14606"/>
  <c r="B111" i="14606"/>
  <c r="C111" i="14606" s="1"/>
  <c r="F110" i="14606"/>
  <c r="J108" i="14606"/>
  <c r="D110" i="14606"/>
  <c r="G110" i="14606" s="1"/>
  <c r="E110" i="14606"/>
  <c r="I107" i="14606"/>
  <c r="J107" i="14606" s="1"/>
  <c r="L113" i="14606"/>
  <c r="M112" i="14606"/>
  <c r="A112" i="14606" s="1"/>
  <c r="E111" i="14606" l="1"/>
  <c r="H110" i="14606"/>
  <c r="I109" i="14606"/>
  <c r="J109" i="14606" s="1"/>
  <c r="D111" i="14606"/>
  <c r="F111" i="14606" s="1"/>
  <c r="B112" i="14606"/>
  <c r="C112" i="14606"/>
  <c r="M113" i="14606"/>
  <c r="A113" i="14606" s="1"/>
  <c r="L114" i="14606"/>
  <c r="E112" i="14606" l="1"/>
  <c r="G111" i="14606"/>
  <c r="H111" i="14606" s="1"/>
  <c r="B113" i="14606"/>
  <c r="C113" i="14606" s="1"/>
  <c r="D113" i="14606" s="1"/>
  <c r="M114" i="14606"/>
  <c r="A114" i="14606" s="1"/>
  <c r="L115" i="14606"/>
  <c r="I110" i="14606"/>
  <c r="J110" i="14606" s="1"/>
  <c r="D112" i="14606"/>
  <c r="G112" i="14606" l="1"/>
  <c r="F112" i="14606"/>
  <c r="L116" i="14606"/>
  <c r="M115" i="14606"/>
  <c r="A115" i="14606" s="1"/>
  <c r="B114" i="14606"/>
  <c r="C114" i="14606"/>
  <c r="E113" i="14606"/>
  <c r="F113" i="14606" s="1"/>
  <c r="I111" i="14606"/>
  <c r="J111" i="14606" s="1"/>
  <c r="G113" i="14606" l="1"/>
  <c r="H113" i="14606" s="1"/>
  <c r="H112" i="14606"/>
  <c r="I112" i="14606" s="1"/>
  <c r="J112" i="14606" s="1"/>
  <c r="B115" i="14606"/>
  <c r="D114" i="14606"/>
  <c r="M116" i="14606"/>
  <c r="A116" i="14606" s="1"/>
  <c r="L117" i="14606"/>
  <c r="I113" i="14606" l="1"/>
  <c r="J113" i="14606"/>
  <c r="B116" i="14606"/>
  <c r="C115" i="14606"/>
  <c r="E114" i="14606"/>
  <c r="F114" i="14606" s="1"/>
  <c r="M117" i="14606"/>
  <c r="A117" i="14606" s="1"/>
  <c r="L118" i="14606"/>
  <c r="H114" i="14606" l="1"/>
  <c r="C116" i="14606"/>
  <c r="D116" i="14606" s="1"/>
  <c r="D115" i="14606"/>
  <c r="E115" i="14606" s="1"/>
  <c r="G114" i="14606"/>
  <c r="L119" i="14606"/>
  <c r="M118" i="14606"/>
  <c r="A118" i="14606" s="1"/>
  <c r="B117" i="14606"/>
  <c r="B118" i="14606" l="1"/>
  <c r="D117" i="14606"/>
  <c r="I114" i="14606"/>
  <c r="J114" i="14606" s="1"/>
  <c r="M119" i="14606"/>
  <c r="A119" i="14606" s="1"/>
  <c r="L120" i="14606"/>
  <c r="G115" i="14606"/>
  <c r="E116" i="14606"/>
  <c r="C117" i="14606"/>
  <c r="F115" i="14606"/>
  <c r="H115" i="14606" s="1"/>
  <c r="G116" i="14606" l="1"/>
  <c r="H116" i="14606" s="1"/>
  <c r="D118" i="14606"/>
  <c r="M120" i="14606"/>
  <c r="A120" i="14606" s="1"/>
  <c r="L121" i="14606"/>
  <c r="C118" i="14606"/>
  <c r="B119" i="14606"/>
  <c r="C119" i="14606" s="1"/>
  <c r="I115" i="14606"/>
  <c r="J115" i="14606" s="1"/>
  <c r="F116" i="14606"/>
  <c r="I116" i="14606" s="1"/>
  <c r="E118" i="14606"/>
  <c r="F117" i="14606"/>
  <c r="E117" i="14606"/>
  <c r="J116" i="14606" l="1"/>
  <c r="L122" i="14606"/>
  <c r="M121" i="14606"/>
  <c r="A121" i="14606" s="1"/>
  <c r="E119" i="14606"/>
  <c r="B120" i="14606"/>
  <c r="D120" i="14606" s="1"/>
  <c r="C120" i="14606"/>
  <c r="E120" i="14606" s="1"/>
  <c r="D119" i="14606"/>
  <c r="G117" i="14606"/>
  <c r="F118" i="14606"/>
  <c r="H118" i="14606" s="1"/>
  <c r="I118" i="14606" s="1"/>
  <c r="G118" i="14606"/>
  <c r="J118" i="14606" s="1"/>
  <c r="F120" i="14606" l="1"/>
  <c r="G120" i="14606"/>
  <c r="H120" i="14606" s="1"/>
  <c r="I120" i="14606" s="1"/>
  <c r="G119" i="14606"/>
  <c r="H119" i="14606" s="1"/>
  <c r="C121" i="14606"/>
  <c r="B121" i="14606"/>
  <c r="D121" i="14606" s="1"/>
  <c r="F119" i="14606"/>
  <c r="I119" i="14606" s="1"/>
  <c r="L123" i="14606"/>
  <c r="M122" i="14606"/>
  <c r="A122" i="14606" s="1"/>
  <c r="H117" i="14606"/>
  <c r="I117" i="14606"/>
  <c r="J117" i="14606" s="1"/>
  <c r="J119" i="14606" l="1"/>
  <c r="J120" i="14606"/>
  <c r="B122" i="14606"/>
  <c r="F121" i="14606"/>
  <c r="M123" i="14606"/>
  <c r="A123" i="14606" s="1"/>
  <c r="L124" i="14606"/>
  <c r="E121" i="14606"/>
  <c r="B123" i="14606" l="1"/>
  <c r="C123" i="14606"/>
  <c r="D123" i="14606" s="1"/>
  <c r="G121" i="14606"/>
  <c r="C122" i="14606"/>
  <c r="L125" i="14606"/>
  <c r="M124" i="14606"/>
  <c r="A124" i="14606" s="1"/>
  <c r="B124" i="14606" l="1"/>
  <c r="D124" i="14606" s="1"/>
  <c r="C124" i="14606"/>
  <c r="E123" i="14606"/>
  <c r="M125" i="14606"/>
  <c r="A125" i="14606" s="1"/>
  <c r="L126" i="14606"/>
  <c r="H121" i="14606"/>
  <c r="D122" i="14606"/>
  <c r="M126" i="14606" l="1"/>
  <c r="A126" i="14606" s="1"/>
  <c r="L127" i="14606"/>
  <c r="I121" i="14606"/>
  <c r="J121" i="14606" s="1"/>
  <c r="F123" i="14606"/>
  <c r="C125" i="14606"/>
  <c r="D125" i="14606"/>
  <c r="B125" i="14606"/>
  <c r="E124" i="14606"/>
  <c r="E122" i="14606"/>
  <c r="G125" i="14606" l="1"/>
  <c r="M127" i="14606"/>
  <c r="A127" i="14606" s="1"/>
  <c r="L128" i="14606"/>
  <c r="B126" i="14606"/>
  <c r="C126" i="14606" s="1"/>
  <c r="F124" i="14606"/>
  <c r="G124" i="14606" s="1"/>
  <c r="H123" i="14606"/>
  <c r="G122" i="14606"/>
  <c r="F122" i="14606"/>
  <c r="E125" i="14606"/>
  <c r="F125" i="14606" s="1"/>
  <c r="G123" i="14606"/>
  <c r="I122" i="14606" l="1"/>
  <c r="I125" i="14606"/>
  <c r="B127" i="14606"/>
  <c r="D127" i="14606" s="1"/>
  <c r="C127" i="14606"/>
  <c r="H122" i="14606"/>
  <c r="J122" i="14606" s="1"/>
  <c r="M128" i="14606"/>
  <c r="A128" i="14606" s="1"/>
  <c r="L129" i="14606"/>
  <c r="H124" i="14606"/>
  <c r="H125" i="14606"/>
  <c r="J125" i="14606" s="1"/>
  <c r="D126" i="14606"/>
  <c r="I123" i="14606"/>
  <c r="J123" i="14606" s="1"/>
  <c r="E127" i="14606" l="1"/>
  <c r="F127" i="14606"/>
  <c r="L130" i="14606"/>
  <c r="M129" i="14606"/>
  <c r="A129" i="14606" s="1"/>
  <c r="B128" i="14606"/>
  <c r="E126" i="14606"/>
  <c r="I124" i="14606"/>
  <c r="J124" i="14606" s="1"/>
  <c r="F126" i="14606"/>
  <c r="G126" i="14606" s="1"/>
  <c r="H127" i="14606" l="1"/>
  <c r="L131" i="14606"/>
  <c r="M130" i="14606"/>
  <c r="A130" i="14606" s="1"/>
  <c r="G127" i="14606"/>
  <c r="I127" i="14606"/>
  <c r="J127" i="14606" s="1"/>
  <c r="H126" i="14606"/>
  <c r="J126" i="14606" s="1"/>
  <c r="I126" i="14606"/>
  <c r="C128" i="14606"/>
  <c r="B129" i="14606"/>
  <c r="M131" i="14606" l="1"/>
  <c r="A131" i="14606" s="1"/>
  <c r="L132" i="14606"/>
  <c r="B130" i="14606"/>
  <c r="C130" i="14606"/>
  <c r="D130" i="14606"/>
  <c r="C129" i="14606"/>
  <c r="D128" i="14606"/>
  <c r="M132" i="14606" l="1"/>
  <c r="A132" i="14606" s="1"/>
  <c r="L133" i="14606"/>
  <c r="E130" i="14606"/>
  <c r="G130" i="14606" s="1"/>
  <c r="E128" i="14606"/>
  <c r="F128" i="14606" s="1"/>
  <c r="F130" i="14606"/>
  <c r="B131" i="14606"/>
  <c r="C131" i="14606"/>
  <c r="D129" i="14606"/>
  <c r="M133" i="14606" l="1"/>
  <c r="A133" i="14606" s="1"/>
  <c r="L134" i="14606"/>
  <c r="B132" i="14606"/>
  <c r="C132" i="14606" s="1"/>
  <c r="G128" i="14606"/>
  <c r="I130" i="14606"/>
  <c r="E129" i="14606"/>
  <c r="D131" i="14606"/>
  <c r="H130" i="14606"/>
  <c r="J130" i="14606" s="1"/>
  <c r="L135" i="14606" l="1"/>
  <c r="M134" i="14606"/>
  <c r="A134" i="14606" s="1"/>
  <c r="H128" i="14606"/>
  <c r="E131" i="14606"/>
  <c r="F129" i="14606"/>
  <c r="B133" i="14606"/>
  <c r="D132" i="14606"/>
  <c r="E132" i="14606" l="1"/>
  <c r="G132" i="14606" s="1"/>
  <c r="B134" i="14606"/>
  <c r="I128" i="14606"/>
  <c r="J128" i="14606" s="1"/>
  <c r="M135" i="14606"/>
  <c r="A135" i="14606" s="1"/>
  <c r="L136" i="14606"/>
  <c r="F132" i="14606"/>
  <c r="H132" i="14606" s="1"/>
  <c r="C133" i="14606"/>
  <c r="G129" i="14606"/>
  <c r="H129" i="14606" s="1"/>
  <c r="F131" i="14606"/>
  <c r="I129" i="14606" l="1"/>
  <c r="I132" i="14606"/>
  <c r="J132" i="14606" s="1"/>
  <c r="J129" i="14606"/>
  <c r="B135" i="14606"/>
  <c r="C135" i="14606"/>
  <c r="D134" i="14606"/>
  <c r="G131" i="14606"/>
  <c r="H131" i="14606" s="1"/>
  <c r="M136" i="14606"/>
  <c r="A136" i="14606" s="1"/>
  <c r="L137" i="14606"/>
  <c r="C134" i="14606"/>
  <c r="D133" i="14606"/>
  <c r="E133" i="14606" l="1"/>
  <c r="B136" i="14606"/>
  <c r="I131" i="14606"/>
  <c r="J131" i="14606" s="1"/>
  <c r="M137" i="14606"/>
  <c r="A137" i="14606" s="1"/>
  <c r="L138" i="14606"/>
  <c r="E134" i="14606"/>
  <c r="F134" i="14606" s="1"/>
  <c r="D135" i="14606"/>
  <c r="G134" i="14606" l="1"/>
  <c r="C137" i="14606"/>
  <c r="B137" i="14606"/>
  <c r="I134" i="14606"/>
  <c r="J134" i="14606" s="1"/>
  <c r="C136" i="14606"/>
  <c r="H134" i="14606"/>
  <c r="M138" i="14606"/>
  <c r="A138" i="14606" s="1"/>
  <c r="L139" i="14606"/>
  <c r="F133" i="14606"/>
  <c r="D136" i="14606"/>
  <c r="E135" i="14606"/>
  <c r="F135" i="14606" s="1"/>
  <c r="G135" i="14606"/>
  <c r="E136" i="14606"/>
  <c r="H135" i="14606"/>
  <c r="H136" i="14606" l="1"/>
  <c r="M139" i="14606"/>
  <c r="A139" i="14606" s="1"/>
  <c r="L140" i="14606"/>
  <c r="D137" i="14606"/>
  <c r="G133" i="14606"/>
  <c r="H133" i="14606" s="1"/>
  <c r="I135" i="14606"/>
  <c r="J135" i="14606" s="1"/>
  <c r="B138" i="14606"/>
  <c r="C138" i="14606"/>
  <c r="I136" i="14606"/>
  <c r="F136" i="14606"/>
  <c r="G136" i="14606" s="1"/>
  <c r="E137" i="14606" l="1"/>
  <c r="L141" i="14606"/>
  <c r="M140" i="14606"/>
  <c r="A140" i="14606" s="1"/>
  <c r="F137" i="14606"/>
  <c r="G137" i="14606" s="1"/>
  <c r="C139" i="14606"/>
  <c r="B139" i="14606"/>
  <c r="I133" i="14606"/>
  <c r="J133" i="14606" s="1"/>
  <c r="D138" i="14606"/>
  <c r="J136" i="14606"/>
  <c r="H137" i="14606" l="1"/>
  <c r="E139" i="14606"/>
  <c r="M141" i="14606"/>
  <c r="A141" i="14606" s="1"/>
  <c r="L142" i="14606"/>
  <c r="B140" i="14606"/>
  <c r="E138" i="14606"/>
  <c r="D139" i="14606"/>
  <c r="G138" i="14606"/>
  <c r="H138" i="14606" s="1"/>
  <c r="I138" i="14606" s="1"/>
  <c r="I137" i="14606"/>
  <c r="J137" i="14606" s="1"/>
  <c r="F138" i="14606"/>
  <c r="J138" i="14606" l="1"/>
  <c r="B141" i="14606"/>
  <c r="C141" i="14606" s="1"/>
  <c r="M142" i="14606"/>
  <c r="A142" i="14606" s="1"/>
  <c r="L143" i="14606"/>
  <c r="F139" i="14606"/>
  <c r="C140" i="14606"/>
  <c r="F140" i="14606" l="1"/>
  <c r="D140" i="14606"/>
  <c r="G139" i="14606"/>
  <c r="E140" i="14606"/>
  <c r="D141" i="14606"/>
  <c r="B142" i="14606"/>
  <c r="C142" i="14606"/>
  <c r="M143" i="14606"/>
  <c r="A143" i="14606" s="1"/>
  <c r="L144" i="14606"/>
  <c r="H140" i="14606" l="1"/>
  <c r="I140" i="14606" s="1"/>
  <c r="J140" i="14606" s="1"/>
  <c r="F141" i="14606"/>
  <c r="D142" i="14606"/>
  <c r="G140" i="14606"/>
  <c r="M144" i="14606"/>
  <c r="A144" i="14606" s="1"/>
  <c r="L145" i="14606"/>
  <c r="B143" i="14606"/>
  <c r="H139" i="14606"/>
  <c r="I139" i="14606" s="1"/>
  <c r="J139" i="14606" s="1"/>
  <c r="E141" i="14606"/>
  <c r="M145" i="14606" l="1"/>
  <c r="A145" i="14606" s="1"/>
  <c r="L146" i="14606"/>
  <c r="C143" i="14606"/>
  <c r="E142" i="14606"/>
  <c r="C144" i="14606"/>
  <c r="D144" i="14606"/>
  <c r="E144" i="14606"/>
  <c r="B144" i="14606"/>
  <c r="G141" i="14606"/>
  <c r="D143" i="14606" l="1"/>
  <c r="M146" i="14606"/>
  <c r="A146" i="14606" s="1"/>
  <c r="L147" i="14606"/>
  <c r="B145" i="14606"/>
  <c r="H141" i="14606"/>
  <c r="I141" i="14606" s="1"/>
  <c r="F144" i="14606"/>
  <c r="F142" i="14606"/>
  <c r="J141" i="14606" l="1"/>
  <c r="H144" i="14606"/>
  <c r="C145" i="14606"/>
  <c r="G142" i="14606"/>
  <c r="H142" i="14606" s="1"/>
  <c r="D145" i="14606"/>
  <c r="M147" i="14606"/>
  <c r="A147" i="14606" s="1"/>
  <c r="L148" i="14606"/>
  <c r="E143" i="14606"/>
  <c r="B146" i="14606"/>
  <c r="G144" i="14606"/>
  <c r="E145" i="14606"/>
  <c r="I142" i="14606"/>
  <c r="I144" i="14606" l="1"/>
  <c r="J144" i="14606" s="1"/>
  <c r="M148" i="14606"/>
  <c r="A148" i="14606" s="1"/>
  <c r="L149" i="14606"/>
  <c r="F143" i="14606"/>
  <c r="F145" i="14606"/>
  <c r="D147" i="14606"/>
  <c r="B147" i="14606"/>
  <c r="C147" i="14606"/>
  <c r="G143" i="14606"/>
  <c r="C146" i="14606"/>
  <c r="J142" i="14606"/>
  <c r="F147" i="14606" l="1"/>
  <c r="J143" i="14606"/>
  <c r="B148" i="14606"/>
  <c r="E147" i="14606"/>
  <c r="H147" i="14606" s="1"/>
  <c r="D146" i="14606"/>
  <c r="G145" i="14606"/>
  <c r="G147" i="14606"/>
  <c r="I147" i="14606" s="1"/>
  <c r="H143" i="14606"/>
  <c r="I143" i="14606" s="1"/>
  <c r="H145" i="14606"/>
  <c r="L150" i="14606"/>
  <c r="M149" i="14606"/>
  <c r="A149" i="14606" s="1"/>
  <c r="J147" i="14606" l="1"/>
  <c r="I145" i="14606"/>
  <c r="J145" i="14606" s="1"/>
  <c r="E148" i="14606"/>
  <c r="C148" i="14606"/>
  <c r="D148" i="14606" s="1"/>
  <c r="B149" i="14606"/>
  <c r="M150" i="14606"/>
  <c r="A150" i="14606" s="1"/>
  <c r="L151" i="14606"/>
  <c r="F148" i="14606"/>
  <c r="E146" i="14606"/>
  <c r="F146" i="14606" s="1"/>
  <c r="B150" i="14606" l="1"/>
  <c r="C150" i="14606" s="1"/>
  <c r="D149" i="14606"/>
  <c r="M151" i="14606"/>
  <c r="A151" i="14606" s="1"/>
  <c r="L152" i="14606"/>
  <c r="G148" i="14606"/>
  <c r="G146" i="14606"/>
  <c r="C149" i="14606"/>
  <c r="E149" i="14606" s="1"/>
  <c r="I146" i="14606" l="1"/>
  <c r="J146" i="14606" s="1"/>
  <c r="H146" i="14606"/>
  <c r="H148" i="14606"/>
  <c r="J148" i="14606" s="1"/>
  <c r="I148" i="14606"/>
  <c r="L153" i="14606"/>
  <c r="M152" i="14606"/>
  <c r="A152" i="14606" s="1"/>
  <c r="D150" i="14606"/>
  <c r="F149" i="14606"/>
  <c r="B151" i="14606"/>
  <c r="C151" i="14606"/>
  <c r="G149" i="14606"/>
  <c r="H149" i="14606" s="1"/>
  <c r="B152" i="14606" l="1"/>
  <c r="M153" i="14606"/>
  <c r="A153" i="14606" s="1"/>
  <c r="L154" i="14606"/>
  <c r="E150" i="14606"/>
  <c r="G150" i="14606" s="1"/>
  <c r="I149" i="14606"/>
  <c r="J149" i="14606" s="1"/>
  <c r="D151" i="14606"/>
  <c r="F150" i="14606"/>
  <c r="H150" i="14606" s="1"/>
  <c r="E151" i="14606"/>
  <c r="F151" i="14606" s="1"/>
  <c r="G151" i="14606" l="1"/>
  <c r="J151" i="14606" s="1"/>
  <c r="B153" i="14606"/>
  <c r="I150" i="14606"/>
  <c r="J150" i="14606" s="1"/>
  <c r="M154" i="14606"/>
  <c r="A154" i="14606" s="1"/>
  <c r="L155" i="14606"/>
  <c r="C152" i="14606"/>
  <c r="H151" i="14606"/>
  <c r="I151" i="14606"/>
  <c r="B154" i="14606" l="1"/>
  <c r="C153" i="14606"/>
  <c r="D152" i="14606"/>
  <c r="M155" i="14606"/>
  <c r="A155" i="14606" s="1"/>
  <c r="L156" i="14606"/>
  <c r="E153" i="14606" l="1"/>
  <c r="E152" i="14606"/>
  <c r="F152" i="14606" s="1"/>
  <c r="C155" i="14606"/>
  <c r="D155" i="14606"/>
  <c r="B155" i="14606"/>
  <c r="C154" i="14606"/>
  <c r="M156" i="14606"/>
  <c r="A156" i="14606" s="1"/>
  <c r="L157" i="14606"/>
  <c r="D153" i="14606"/>
  <c r="G152" i="14606" l="1"/>
  <c r="H152" i="14606" s="1"/>
  <c r="I152" i="14606" s="1"/>
  <c r="B156" i="14606"/>
  <c r="E155" i="14606"/>
  <c r="D154" i="14606"/>
  <c r="E154" i="14606"/>
  <c r="M157" i="14606"/>
  <c r="A157" i="14606" s="1"/>
  <c r="L158" i="14606"/>
  <c r="F153" i="14606"/>
  <c r="G153" i="14606" s="1"/>
  <c r="J152" i="14606" l="1"/>
  <c r="B157" i="14606"/>
  <c r="F154" i="14606"/>
  <c r="F155" i="14606"/>
  <c r="M158" i="14606"/>
  <c r="A158" i="14606" s="1"/>
  <c r="L159" i="14606"/>
  <c r="C156" i="14606"/>
  <c r="H153" i="14606"/>
  <c r="G154" i="14606"/>
  <c r="J154" i="14606" l="1"/>
  <c r="I154" i="14606"/>
  <c r="L160" i="14606"/>
  <c r="M159" i="14606"/>
  <c r="A159" i="14606" s="1"/>
  <c r="B158" i="14606"/>
  <c r="C158" i="14606" s="1"/>
  <c r="H154" i="14606"/>
  <c r="D156" i="14606"/>
  <c r="D157" i="14606"/>
  <c r="I153" i="14606"/>
  <c r="J153" i="14606" s="1"/>
  <c r="C157" i="14606"/>
  <c r="G155" i="14606"/>
  <c r="B159" i="14606" l="1"/>
  <c r="C159" i="14606"/>
  <c r="L161" i="14606"/>
  <c r="M160" i="14606"/>
  <c r="A160" i="14606" s="1"/>
  <c r="E157" i="14606"/>
  <c r="H155" i="14606"/>
  <c r="D158" i="14606"/>
  <c r="E158" i="14606" s="1"/>
  <c r="E156" i="14606"/>
  <c r="F158" i="14606" l="1"/>
  <c r="E159" i="14606"/>
  <c r="L162" i="14606"/>
  <c r="M161" i="14606"/>
  <c r="A161" i="14606" s="1"/>
  <c r="F156" i="14606"/>
  <c r="G156" i="14606" s="1"/>
  <c r="I155" i="14606"/>
  <c r="J155" i="14606" s="1"/>
  <c r="D159" i="14606"/>
  <c r="F157" i="14606"/>
  <c r="G157" i="14606" s="1"/>
  <c r="B160" i="14606"/>
  <c r="B161" i="14606" l="1"/>
  <c r="D161" i="14606" s="1"/>
  <c r="C161" i="14606"/>
  <c r="H157" i="14606"/>
  <c r="I157" i="14606" s="1"/>
  <c r="M162" i="14606"/>
  <c r="A162" i="14606" s="1"/>
  <c r="L163" i="14606"/>
  <c r="F159" i="14606"/>
  <c r="H156" i="14606"/>
  <c r="J156" i="14606" s="1"/>
  <c r="I156" i="14606"/>
  <c r="C160" i="14606"/>
  <c r="D160" i="14606" s="1"/>
  <c r="G158" i="14606"/>
  <c r="J157" i="14606" l="1"/>
  <c r="F161" i="14606"/>
  <c r="E161" i="14606"/>
  <c r="M163" i="14606"/>
  <c r="A163" i="14606" s="1"/>
  <c r="L164" i="14606"/>
  <c r="B162" i="14606"/>
  <c r="C162" i="14606" s="1"/>
  <c r="H158" i="14606"/>
  <c r="I158" i="14606" s="1"/>
  <c r="J158" i="14606" s="1"/>
  <c r="E160" i="14606"/>
  <c r="G159" i="14606"/>
  <c r="I159" i="14606" l="1"/>
  <c r="J159" i="14606" s="1"/>
  <c r="F160" i="14606"/>
  <c r="G160" i="14606" s="1"/>
  <c r="H159" i="14606"/>
  <c r="H160" i="14606"/>
  <c r="D162" i="14606"/>
  <c r="E162" i="14606" s="1"/>
  <c r="M164" i="14606"/>
  <c r="A164" i="14606" s="1"/>
  <c r="L165" i="14606"/>
  <c r="B163" i="14606"/>
  <c r="G161" i="14606"/>
  <c r="H161" i="14606" s="1"/>
  <c r="I161" i="14606" l="1"/>
  <c r="J161" i="14606" s="1"/>
  <c r="B164" i="14606"/>
  <c r="C164" i="14606"/>
  <c r="L166" i="14606"/>
  <c r="M165" i="14606"/>
  <c r="A165" i="14606" s="1"/>
  <c r="C163" i="14606"/>
  <c r="F162" i="14606"/>
  <c r="D163" i="14606"/>
  <c r="E163" i="14606" s="1"/>
  <c r="F163" i="14606" s="1"/>
  <c r="I160" i="14606"/>
  <c r="J160" i="14606" s="1"/>
  <c r="D164" i="14606" l="1"/>
  <c r="G162" i="14606"/>
  <c r="M166" i="14606"/>
  <c r="A166" i="14606" s="1"/>
  <c r="L167" i="14606"/>
  <c r="B165" i="14606"/>
  <c r="G163" i="14606"/>
  <c r="H163" i="14606"/>
  <c r="L168" i="14606" l="1"/>
  <c r="M167" i="14606"/>
  <c r="A167" i="14606" s="1"/>
  <c r="I163" i="14606"/>
  <c r="J163" i="14606" s="1"/>
  <c r="E164" i="14606"/>
  <c r="B166" i="14606"/>
  <c r="E165" i="14606"/>
  <c r="F165" i="14606" s="1"/>
  <c r="C165" i="14606"/>
  <c r="D165" i="14606"/>
  <c r="G165" i="14606" s="1"/>
  <c r="H162" i="14606"/>
  <c r="I162" i="14606" s="1"/>
  <c r="J162" i="14606" s="1"/>
  <c r="I165" i="14606" l="1"/>
  <c r="B167" i="14606"/>
  <c r="G164" i="14606"/>
  <c r="H164" i="14606" s="1"/>
  <c r="M168" i="14606"/>
  <c r="A168" i="14606" s="1"/>
  <c r="L169" i="14606"/>
  <c r="C166" i="14606"/>
  <c r="H165" i="14606"/>
  <c r="J165" i="14606" s="1"/>
  <c r="D166" i="14606"/>
  <c r="E166" i="14606" s="1"/>
  <c r="F164" i="14606"/>
  <c r="F166" i="14606" l="1"/>
  <c r="H166" i="14606" s="1"/>
  <c r="B168" i="14606"/>
  <c r="C168" i="14606"/>
  <c r="D168" i="14606"/>
  <c r="E168" i="14606" s="1"/>
  <c r="C167" i="14606"/>
  <c r="L170" i="14606"/>
  <c r="M169" i="14606"/>
  <c r="A169" i="14606" s="1"/>
  <c r="G166" i="14606"/>
  <c r="I166" i="14606" s="1"/>
  <c r="I164" i="14606"/>
  <c r="J164" i="14606" s="1"/>
  <c r="M170" i="14606" l="1"/>
  <c r="A170" i="14606" s="1"/>
  <c r="L171" i="14606"/>
  <c r="J166" i="14606"/>
  <c r="C169" i="14606"/>
  <c r="B169" i="14606"/>
  <c r="D167" i="14606"/>
  <c r="E167" i="14606"/>
  <c r="F167" i="14606" s="1"/>
  <c r="G167" i="14606" s="1"/>
  <c r="F168" i="14606"/>
  <c r="G168" i="14606" s="1"/>
  <c r="H168" i="14606" l="1"/>
  <c r="I168" i="14606" s="1"/>
  <c r="J168" i="14606" s="1"/>
  <c r="M171" i="14606"/>
  <c r="A171" i="14606" s="1"/>
  <c r="L172" i="14606"/>
  <c r="C170" i="14606"/>
  <c r="B170" i="14606"/>
  <c r="D169" i="14606"/>
  <c r="F169" i="14606" s="1"/>
  <c r="E169" i="14606"/>
  <c r="H167" i="14606"/>
  <c r="G169" i="14606" l="1"/>
  <c r="D170" i="14606"/>
  <c r="H169" i="14606"/>
  <c r="M172" i="14606"/>
  <c r="A172" i="14606" s="1"/>
  <c r="L173" i="14606"/>
  <c r="B171" i="14606"/>
  <c r="C171" i="14606"/>
  <c r="I167" i="14606"/>
  <c r="J167" i="14606" s="1"/>
  <c r="I169" i="14606"/>
  <c r="J169" i="14606" s="1"/>
  <c r="L174" i="14606" l="1"/>
  <c r="M173" i="14606"/>
  <c r="A173" i="14606" s="1"/>
  <c r="D172" i="14606"/>
  <c r="B172" i="14606"/>
  <c r="C172" i="14606"/>
  <c r="E170" i="14606"/>
  <c r="E171" i="14606"/>
  <c r="D171" i="14606"/>
  <c r="F170" i="14606" l="1"/>
  <c r="G170" i="14606" s="1"/>
  <c r="H170" i="14606" s="1"/>
  <c r="B173" i="14606"/>
  <c r="C173" i="14606" s="1"/>
  <c r="E172" i="14606"/>
  <c r="F171" i="14606"/>
  <c r="G171" i="14606"/>
  <c r="H171" i="14606" s="1"/>
  <c r="I171" i="14606" s="1"/>
  <c r="M174" i="14606"/>
  <c r="A174" i="14606" s="1"/>
  <c r="L175" i="14606"/>
  <c r="J171" i="14606" l="1"/>
  <c r="I170" i="14606"/>
  <c r="J170" i="14606" s="1"/>
  <c r="G172" i="14606"/>
  <c r="H172" i="14606" s="1"/>
  <c r="I172" i="14606" s="1"/>
  <c r="E173" i="14606"/>
  <c r="F173" i="14606" s="1"/>
  <c r="D173" i="14606"/>
  <c r="M175" i="14606"/>
  <c r="A175" i="14606" s="1"/>
  <c r="L176" i="14606"/>
  <c r="B174" i="14606"/>
  <c r="C174" i="14606" s="1"/>
  <c r="F172" i="14606"/>
  <c r="J172" i="14606" l="1"/>
  <c r="G173" i="14606"/>
  <c r="D174" i="14606"/>
  <c r="M176" i="14606"/>
  <c r="A176" i="14606" s="1"/>
  <c r="L177" i="14606"/>
  <c r="B175" i="14606"/>
  <c r="C175" i="14606"/>
  <c r="D175" i="14606"/>
  <c r="E174" i="14606"/>
  <c r="F174" i="14606" l="1"/>
  <c r="G174" i="14606" s="1"/>
  <c r="L178" i="14606"/>
  <c r="M177" i="14606"/>
  <c r="A177" i="14606" s="1"/>
  <c r="E175" i="14606"/>
  <c r="B176" i="14606"/>
  <c r="H173" i="14606"/>
  <c r="I173" i="14606" s="1"/>
  <c r="H174" i="14606" l="1"/>
  <c r="I174" i="14606" s="1"/>
  <c r="M178" i="14606"/>
  <c r="A178" i="14606" s="1"/>
  <c r="L179" i="14606"/>
  <c r="F175" i="14606"/>
  <c r="J173" i="14606"/>
  <c r="C176" i="14606"/>
  <c r="D176" i="14606" s="1"/>
  <c r="C177" i="14606"/>
  <c r="B177" i="14606"/>
  <c r="E177" i="14606" l="1"/>
  <c r="J174" i="14606"/>
  <c r="E176" i="14606"/>
  <c r="D177" i="14606"/>
  <c r="G177" i="14606" s="1"/>
  <c r="G175" i="14606"/>
  <c r="H175" i="14606" s="1"/>
  <c r="F177" i="14606"/>
  <c r="M179" i="14606"/>
  <c r="A179" i="14606" s="1"/>
  <c r="L180" i="14606"/>
  <c r="B178" i="14606"/>
  <c r="C178" i="14606"/>
  <c r="D178" i="14606" s="1"/>
  <c r="E178" i="14606" s="1"/>
  <c r="I175" i="14606" l="1"/>
  <c r="J175" i="14606" s="1"/>
  <c r="M180" i="14606"/>
  <c r="A180" i="14606" s="1"/>
  <c r="L181" i="14606"/>
  <c r="B179" i="14606"/>
  <c r="D179" i="14606" s="1"/>
  <c r="C179" i="14606"/>
  <c r="F178" i="14606"/>
  <c r="F176" i="14606"/>
  <c r="G176" i="14606"/>
  <c r="H177" i="14606"/>
  <c r="J177" i="14606" l="1"/>
  <c r="B180" i="14606"/>
  <c r="M181" i="14606"/>
  <c r="A181" i="14606" s="1"/>
  <c r="L182" i="14606"/>
  <c r="I177" i="14606"/>
  <c r="G178" i="14606"/>
  <c r="E179" i="14606"/>
  <c r="H176" i="14606"/>
  <c r="L183" i="14606" l="1"/>
  <c r="M182" i="14606"/>
  <c r="A182" i="14606" s="1"/>
  <c r="F179" i="14606"/>
  <c r="G179" i="14606" s="1"/>
  <c r="B181" i="14606"/>
  <c r="C181" i="14606"/>
  <c r="H178" i="14606"/>
  <c r="I178" i="14606" s="1"/>
  <c r="I176" i="14606"/>
  <c r="J176" i="14606" s="1"/>
  <c r="C180" i="14606"/>
  <c r="L184" i="14606" l="1"/>
  <c r="M183" i="14606"/>
  <c r="A183" i="14606" s="1"/>
  <c r="H179" i="14606"/>
  <c r="I179" i="14606" s="1"/>
  <c r="J179" i="14606" s="1"/>
  <c r="E181" i="14606"/>
  <c r="E180" i="14606"/>
  <c r="D181" i="14606"/>
  <c r="B182" i="14606"/>
  <c r="C182" i="14606"/>
  <c r="D182" i="14606"/>
  <c r="J178" i="14606"/>
  <c r="D180" i="14606"/>
  <c r="B183" i="14606" l="1"/>
  <c r="M184" i="14606"/>
  <c r="A184" i="14606" s="1"/>
  <c r="L185" i="14606"/>
  <c r="F181" i="14606"/>
  <c r="G181" i="14606" s="1"/>
  <c r="E182" i="14606"/>
  <c r="F182" i="14606" s="1"/>
  <c r="F180" i="14606"/>
  <c r="G182" i="14606" l="1"/>
  <c r="I182" i="14606" s="1"/>
  <c r="H182" i="14606"/>
  <c r="G180" i="14606"/>
  <c r="H180" i="14606" s="1"/>
  <c r="I180" i="14606" s="1"/>
  <c r="H181" i="14606"/>
  <c r="I181" i="14606" s="1"/>
  <c r="J181" i="14606" s="1"/>
  <c r="L186" i="14606"/>
  <c r="M185" i="14606"/>
  <c r="A185" i="14606" s="1"/>
  <c r="C184" i="14606"/>
  <c r="E184" i="14606" s="1"/>
  <c r="D184" i="14606"/>
  <c r="B184" i="14606"/>
  <c r="C183" i="14606"/>
  <c r="D183" i="14606" s="1"/>
  <c r="F184" i="14606" l="1"/>
  <c r="H184" i="14606" s="1"/>
  <c r="J182" i="14606"/>
  <c r="G184" i="14606"/>
  <c r="M186" i="14606"/>
  <c r="A186" i="14606" s="1"/>
  <c r="L187" i="14606"/>
  <c r="B185" i="14606"/>
  <c r="D185" i="14606" s="1"/>
  <c r="C185" i="14606"/>
  <c r="E183" i="14606"/>
  <c r="F183" i="14606" s="1"/>
  <c r="J180" i="14606"/>
  <c r="E185" i="14606" l="1"/>
  <c r="G183" i="14606"/>
  <c r="I183" i="14606" s="1"/>
  <c r="G185" i="14606"/>
  <c r="I184" i="14606"/>
  <c r="J184" i="14606" s="1"/>
  <c r="F185" i="14606"/>
  <c r="M187" i="14606"/>
  <c r="A187" i="14606" s="1"/>
  <c r="L188" i="14606"/>
  <c r="H183" i="14606"/>
  <c r="B186" i="14606"/>
  <c r="C186" i="14606"/>
  <c r="B187" i="14606" l="1"/>
  <c r="J183" i="14606"/>
  <c r="D186" i="14606"/>
  <c r="H185" i="14606"/>
  <c r="J185" i="14606" s="1"/>
  <c r="M188" i="14606"/>
  <c r="A188" i="14606" s="1"/>
  <c r="L189" i="14606"/>
  <c r="I185" i="14606"/>
  <c r="C187" i="14606" l="1"/>
  <c r="B188" i="14606"/>
  <c r="E186" i="14606"/>
  <c r="L190" i="14606"/>
  <c r="M189" i="14606"/>
  <c r="A189" i="14606" s="1"/>
  <c r="B189" i="14606" l="1"/>
  <c r="C189" i="14606"/>
  <c r="D187" i="14606"/>
  <c r="E187" i="14606"/>
  <c r="F186" i="14606"/>
  <c r="M190" i="14606"/>
  <c r="A190" i="14606" s="1"/>
  <c r="L191" i="14606"/>
  <c r="C188" i="14606"/>
  <c r="D188" i="14606" s="1"/>
  <c r="D189" i="14606" l="1"/>
  <c r="L192" i="14606"/>
  <c r="M191" i="14606"/>
  <c r="A191" i="14606" s="1"/>
  <c r="F187" i="14606"/>
  <c r="F188" i="14606"/>
  <c r="B190" i="14606"/>
  <c r="C190" i="14606"/>
  <c r="E189" i="14606"/>
  <c r="F189" i="14606"/>
  <c r="E188" i="14606"/>
  <c r="G188" i="14606" s="1"/>
  <c r="G186" i="14606"/>
  <c r="H186" i="14606" s="1"/>
  <c r="M192" i="14606" l="1"/>
  <c r="A192" i="14606" s="1"/>
  <c r="L193" i="14606"/>
  <c r="H188" i="14606"/>
  <c r="I188" i="14606" s="1"/>
  <c r="B191" i="14606"/>
  <c r="C191" i="14606"/>
  <c r="G189" i="14606"/>
  <c r="J186" i="14606"/>
  <c r="D190" i="14606"/>
  <c r="E190" i="14606" s="1"/>
  <c r="I186" i="14606"/>
  <c r="G187" i="14606"/>
  <c r="H187" i="14606" s="1"/>
  <c r="I187" i="14606" l="1"/>
  <c r="J187" i="14606" s="1"/>
  <c r="B192" i="14606"/>
  <c r="L194" i="14606"/>
  <c r="M193" i="14606"/>
  <c r="A193" i="14606" s="1"/>
  <c r="J188" i="14606"/>
  <c r="F190" i="14606"/>
  <c r="H189" i="14606"/>
  <c r="I189" i="14606" s="1"/>
  <c r="D191" i="14606"/>
  <c r="L195" i="14606" l="1"/>
  <c r="M194" i="14606"/>
  <c r="A194" i="14606" s="1"/>
  <c r="E191" i="14606"/>
  <c r="G190" i="14606"/>
  <c r="H190" i="14606" s="1"/>
  <c r="J189" i="14606"/>
  <c r="B193" i="14606"/>
  <c r="C193" i="14606"/>
  <c r="C192" i="14606"/>
  <c r="D193" i="14606" l="1"/>
  <c r="B194" i="14606"/>
  <c r="E194" i="14606" s="1"/>
  <c r="C194" i="14606"/>
  <c r="D194" i="14606"/>
  <c r="M195" i="14606"/>
  <c r="A195" i="14606" s="1"/>
  <c r="L196" i="14606"/>
  <c r="I190" i="14606"/>
  <c r="J190" i="14606" s="1"/>
  <c r="F191" i="14606"/>
  <c r="G191" i="14606"/>
  <c r="D192" i="14606"/>
  <c r="E193" i="14606" l="1"/>
  <c r="H191" i="14606"/>
  <c r="I191" i="14606" s="1"/>
  <c r="E192" i="14606"/>
  <c r="F194" i="14606"/>
  <c r="G194" i="14606" s="1"/>
  <c r="L197" i="14606"/>
  <c r="M196" i="14606"/>
  <c r="A196" i="14606" s="1"/>
  <c r="B195" i="14606"/>
  <c r="C196" i="14606" l="1"/>
  <c r="D196" i="14606"/>
  <c r="B196" i="14606"/>
  <c r="M197" i="14606"/>
  <c r="A197" i="14606" s="1"/>
  <c r="L198" i="14606"/>
  <c r="C195" i="14606"/>
  <c r="D195" i="14606" s="1"/>
  <c r="J191" i="14606"/>
  <c r="F193" i="14606"/>
  <c r="H194" i="14606"/>
  <c r="I194" i="14606" s="1"/>
  <c r="J194" i="14606" s="1"/>
  <c r="F192" i="14606"/>
  <c r="G192" i="14606" s="1"/>
  <c r="J192" i="14606" l="1"/>
  <c r="B197" i="14606"/>
  <c r="D197" i="14606" s="1"/>
  <c r="C197" i="14606"/>
  <c r="G193" i="14606"/>
  <c r="E196" i="14606"/>
  <c r="L199" i="14606"/>
  <c r="M198" i="14606"/>
  <c r="A198" i="14606" s="1"/>
  <c r="H192" i="14606"/>
  <c r="I192" i="14606"/>
  <c r="E195" i="14606"/>
  <c r="F197" i="14606" l="1"/>
  <c r="G197" i="14606"/>
  <c r="L200" i="14606"/>
  <c r="M199" i="14606"/>
  <c r="A199" i="14606" s="1"/>
  <c r="F196" i="14606"/>
  <c r="F195" i="14606"/>
  <c r="E197" i="14606"/>
  <c r="H193" i="14606"/>
  <c r="D198" i="14606"/>
  <c r="B198" i="14606"/>
  <c r="C198" i="14606"/>
  <c r="E198" i="14606" s="1"/>
  <c r="F198" i="14606" l="1"/>
  <c r="H197" i="14606"/>
  <c r="I197" i="14606" s="1"/>
  <c r="J197" i="14606" s="1"/>
  <c r="B199" i="14606"/>
  <c r="I193" i="14606"/>
  <c r="J193" i="14606" s="1"/>
  <c r="G198" i="14606"/>
  <c r="G195" i="14606"/>
  <c r="H195" i="14606" s="1"/>
  <c r="L201" i="14606"/>
  <c r="M200" i="14606"/>
  <c r="A200" i="14606" s="1"/>
  <c r="G196" i="14606"/>
  <c r="I195" i="14606" l="1"/>
  <c r="J195" i="14606"/>
  <c r="C199" i="14606"/>
  <c r="H196" i="14606"/>
  <c r="I196" i="14606" s="1"/>
  <c r="J196" i="14606" s="1"/>
  <c r="B200" i="14606"/>
  <c r="H198" i="14606"/>
  <c r="M201" i="14606"/>
  <c r="A201" i="14606" s="1"/>
  <c r="L202" i="14606"/>
  <c r="M202" i="14606" l="1"/>
  <c r="A202" i="14606" s="1"/>
  <c r="L203" i="14606"/>
  <c r="C200" i="14606"/>
  <c r="I198" i="14606"/>
  <c r="J198" i="14606" s="1"/>
  <c r="B201" i="14606"/>
  <c r="D199" i="14606"/>
  <c r="L204" i="14606" l="1"/>
  <c r="M203" i="14606"/>
  <c r="A203" i="14606" s="1"/>
  <c r="B202" i="14606"/>
  <c r="E199" i="14606"/>
  <c r="D200" i="14606"/>
  <c r="F199" i="14606"/>
  <c r="C201" i="14606"/>
  <c r="D201" i="14606" s="1"/>
  <c r="D203" i="14606" l="1"/>
  <c r="B203" i="14606"/>
  <c r="C203" i="14606"/>
  <c r="L205" i="14606"/>
  <c r="M204" i="14606"/>
  <c r="A204" i="14606" s="1"/>
  <c r="E200" i="14606"/>
  <c r="F200" i="14606"/>
  <c r="C202" i="14606"/>
  <c r="F201" i="14606"/>
  <c r="G199" i="14606"/>
  <c r="H199" i="14606" s="1"/>
  <c r="E201" i="14606"/>
  <c r="B204" i="14606" l="1"/>
  <c r="E203" i="14606"/>
  <c r="F203" i="14606" s="1"/>
  <c r="I199" i="14606"/>
  <c r="G201" i="14606"/>
  <c r="H201" i="14606" s="1"/>
  <c r="J199" i="14606"/>
  <c r="M205" i="14606"/>
  <c r="A205" i="14606" s="1"/>
  <c r="L206" i="14606"/>
  <c r="D202" i="14606"/>
  <c r="F202" i="14606" s="1"/>
  <c r="E202" i="14606"/>
  <c r="G200" i="14606"/>
  <c r="H200" i="14606" s="1"/>
  <c r="G203" i="14606" l="1"/>
  <c r="D204" i="14606"/>
  <c r="C204" i="14606"/>
  <c r="I201" i="14606"/>
  <c r="J201" i="14606" s="1"/>
  <c r="M206" i="14606"/>
  <c r="A206" i="14606" s="1"/>
  <c r="L207" i="14606"/>
  <c r="G202" i="14606"/>
  <c r="H202" i="14606" s="1"/>
  <c r="B205" i="14606"/>
  <c r="C205" i="14606"/>
  <c r="D205" i="14606"/>
  <c r="E205" i="14606"/>
  <c r="I200" i="14606"/>
  <c r="J200" i="14606" s="1"/>
  <c r="E204" i="14606" l="1"/>
  <c r="G204" i="14606" s="1"/>
  <c r="H204" i="14606" s="1"/>
  <c r="C206" i="14606"/>
  <c r="B206" i="14606"/>
  <c r="M207" i="14606"/>
  <c r="A207" i="14606" s="1"/>
  <c r="L208" i="14606"/>
  <c r="I202" i="14606"/>
  <c r="F205" i="14606"/>
  <c r="H203" i="14606"/>
  <c r="I203" i="14606" s="1"/>
  <c r="F204" i="14606"/>
  <c r="J202" i="14606"/>
  <c r="B207" i="14606" l="1"/>
  <c r="D206" i="14606"/>
  <c r="I204" i="14606"/>
  <c r="J204" i="14606" s="1"/>
  <c r="J203" i="14606"/>
  <c r="G205" i="14606"/>
  <c r="H205" i="14606"/>
  <c r="M208" i="14606"/>
  <c r="A208" i="14606" s="1"/>
  <c r="L209" i="14606"/>
  <c r="B208" i="14606" l="1"/>
  <c r="C207" i="14606"/>
  <c r="E207" i="14606" s="1"/>
  <c r="L210" i="14606"/>
  <c r="M209" i="14606"/>
  <c r="A209" i="14606" s="1"/>
  <c r="J205" i="14606"/>
  <c r="D207" i="14606"/>
  <c r="E206" i="14606"/>
  <c r="I205" i="14606"/>
  <c r="F207" i="14606" l="1"/>
  <c r="H207" i="14606" s="1"/>
  <c r="G207" i="14606"/>
  <c r="C208" i="14606"/>
  <c r="B209" i="14606"/>
  <c r="L211" i="14606"/>
  <c r="M210" i="14606"/>
  <c r="A210" i="14606" s="1"/>
  <c r="F206" i="14606"/>
  <c r="G206" i="14606" l="1"/>
  <c r="B210" i="14606"/>
  <c r="J207" i="14606"/>
  <c r="C209" i="14606"/>
  <c r="I207" i="14606"/>
  <c r="D208" i="14606"/>
  <c r="M211" i="14606"/>
  <c r="A211" i="14606" s="1"/>
  <c r="L212" i="14606"/>
  <c r="E208" i="14606" l="1"/>
  <c r="F210" i="14606"/>
  <c r="H206" i="14606"/>
  <c r="I206" i="14606" s="1"/>
  <c r="C210" i="14606"/>
  <c r="B211" i="14606"/>
  <c r="C211" i="14606"/>
  <c r="D211" i="14606"/>
  <c r="E211" i="14606" s="1"/>
  <c r="D210" i="14606"/>
  <c r="E210" i="14606"/>
  <c r="M212" i="14606"/>
  <c r="A212" i="14606" s="1"/>
  <c r="L213" i="14606"/>
  <c r="D209" i="14606"/>
  <c r="B212" i="14606" l="1"/>
  <c r="F208" i="14606"/>
  <c r="G208" i="14606" s="1"/>
  <c r="L214" i="14606"/>
  <c r="M213" i="14606"/>
  <c r="A213" i="14606" s="1"/>
  <c r="F211" i="14606"/>
  <c r="G211" i="14606" s="1"/>
  <c r="J206" i="14606"/>
  <c r="E209" i="14606"/>
  <c r="G210" i="14606"/>
  <c r="M214" i="14606" l="1"/>
  <c r="A214" i="14606" s="1"/>
  <c r="L215" i="14606"/>
  <c r="C212" i="14606"/>
  <c r="H211" i="14606"/>
  <c r="J211" i="14606" s="1"/>
  <c r="I210" i="14606"/>
  <c r="J210" i="14606" s="1"/>
  <c r="E212" i="14606"/>
  <c r="B213" i="14606"/>
  <c r="H210" i="14606"/>
  <c r="D212" i="14606"/>
  <c r="H208" i="14606"/>
  <c r="I208" i="14606" s="1"/>
  <c r="I211" i="14606"/>
  <c r="F209" i="14606"/>
  <c r="G209" i="14606" s="1"/>
  <c r="D213" i="14606" l="1"/>
  <c r="F212" i="14606"/>
  <c r="B214" i="14606"/>
  <c r="C214" i="14606"/>
  <c r="C213" i="14606"/>
  <c r="E213" i="14606" s="1"/>
  <c r="J208" i="14606"/>
  <c r="H209" i="14606"/>
  <c r="M215" i="14606"/>
  <c r="A215" i="14606" s="1"/>
  <c r="L216" i="14606"/>
  <c r="F213" i="14606" l="1"/>
  <c r="H213" i="14606" s="1"/>
  <c r="J209" i="14606"/>
  <c r="E214" i="14606"/>
  <c r="F214" i="14606" s="1"/>
  <c r="I209" i="14606"/>
  <c r="G213" i="14606"/>
  <c r="I213" i="14606" s="1"/>
  <c r="G212" i="14606"/>
  <c r="D214" i="14606"/>
  <c r="L217" i="14606"/>
  <c r="M216" i="14606"/>
  <c r="A216" i="14606" s="1"/>
  <c r="B215" i="14606"/>
  <c r="G214" i="14606" l="1"/>
  <c r="I214" i="14606" s="1"/>
  <c r="J213" i="14606"/>
  <c r="D215" i="14606"/>
  <c r="H214" i="14606"/>
  <c r="H212" i="14606"/>
  <c r="C215" i="14606"/>
  <c r="B216" i="14606"/>
  <c r="M217" i="14606"/>
  <c r="A217" i="14606" s="1"/>
  <c r="L218" i="14606"/>
  <c r="E215" i="14606" l="1"/>
  <c r="D216" i="14606"/>
  <c r="I212" i="14606"/>
  <c r="J212" i="14606" s="1"/>
  <c r="C217" i="14606"/>
  <c r="E217" i="14606" s="1"/>
  <c r="D217" i="14606"/>
  <c r="B217" i="14606"/>
  <c r="J214" i="14606"/>
  <c r="L219" i="14606"/>
  <c r="M218" i="14606"/>
  <c r="A218" i="14606" s="1"/>
  <c r="C216" i="14606"/>
  <c r="F217" i="14606" l="1"/>
  <c r="E216" i="14606"/>
  <c r="B218" i="14606"/>
  <c r="F215" i="14606"/>
  <c r="G215" i="14606" s="1"/>
  <c r="M219" i="14606"/>
  <c r="A219" i="14606" s="1"/>
  <c r="L220" i="14606"/>
  <c r="C219" i="14606" l="1"/>
  <c r="B219" i="14606"/>
  <c r="F216" i="14606"/>
  <c r="C218" i="14606"/>
  <c r="G217" i="14606"/>
  <c r="H217" i="14606" s="1"/>
  <c r="H215" i="14606"/>
  <c r="I215" i="14606" s="1"/>
  <c r="J215" i="14606" s="1"/>
  <c r="M220" i="14606"/>
  <c r="A220" i="14606" s="1"/>
  <c r="L221" i="14606"/>
  <c r="M221" i="14606" l="1"/>
  <c r="A221" i="14606" s="1"/>
  <c r="L222" i="14606"/>
  <c r="B220" i="14606"/>
  <c r="G216" i="14606"/>
  <c r="I217" i="14606"/>
  <c r="J217" i="14606" s="1"/>
  <c r="D218" i="14606"/>
  <c r="D219" i="14606"/>
  <c r="L223" i="14606" l="1"/>
  <c r="M222" i="14606"/>
  <c r="A222" i="14606" s="1"/>
  <c r="B221" i="14606"/>
  <c r="E219" i="14606"/>
  <c r="C220" i="14606"/>
  <c r="E218" i="14606"/>
  <c r="H216" i="14606"/>
  <c r="I216" i="14606" s="1"/>
  <c r="J216" i="14606" s="1"/>
  <c r="C222" i="14606" l="1"/>
  <c r="B222" i="14606"/>
  <c r="F218" i="14606"/>
  <c r="M223" i="14606"/>
  <c r="A223" i="14606" s="1"/>
  <c r="L224" i="14606"/>
  <c r="F219" i="14606"/>
  <c r="D220" i="14606"/>
  <c r="C221" i="14606"/>
  <c r="G219" i="14606" l="1"/>
  <c r="L225" i="14606"/>
  <c r="M224" i="14606"/>
  <c r="A224" i="14606" s="1"/>
  <c r="D222" i="14606"/>
  <c r="E220" i="14606"/>
  <c r="B223" i="14606"/>
  <c r="C223" i="14606"/>
  <c r="D223" i="14606"/>
  <c r="G218" i="14606"/>
  <c r="D221" i="14606"/>
  <c r="E221" i="14606" s="1"/>
  <c r="H218" i="14606"/>
  <c r="G221" i="14606" l="1"/>
  <c r="I218" i="14606"/>
  <c r="J218" i="14606" s="1"/>
  <c r="F221" i="14606"/>
  <c r="E223" i="14606"/>
  <c r="F223" i="14606" s="1"/>
  <c r="B224" i="14606"/>
  <c r="F220" i="14606"/>
  <c r="H220" i="14606" s="1"/>
  <c r="H219" i="14606"/>
  <c r="G220" i="14606"/>
  <c r="E222" i="14606"/>
  <c r="F222" i="14606" s="1"/>
  <c r="L226" i="14606"/>
  <c r="M225" i="14606"/>
  <c r="A225" i="14606" s="1"/>
  <c r="M226" i="14606" l="1"/>
  <c r="A226" i="14606" s="1"/>
  <c r="L227" i="14606"/>
  <c r="G222" i="14606"/>
  <c r="H221" i="14606"/>
  <c r="J221" i="14606" s="1"/>
  <c r="I220" i="14606"/>
  <c r="J220" i="14606" s="1"/>
  <c r="G223" i="14606"/>
  <c r="C224" i="14606"/>
  <c r="I219" i="14606"/>
  <c r="J219" i="14606" s="1"/>
  <c r="B225" i="14606"/>
  <c r="C225" i="14606"/>
  <c r="I221" i="14606"/>
  <c r="I222" i="14606" l="1"/>
  <c r="H223" i="14606"/>
  <c r="I223" i="14606" s="1"/>
  <c r="H222" i="14606"/>
  <c r="J222" i="14606" s="1"/>
  <c r="M227" i="14606"/>
  <c r="A227" i="14606" s="1"/>
  <c r="L228" i="14606"/>
  <c r="B226" i="14606"/>
  <c r="C226" i="14606"/>
  <c r="D226" i="14606" s="1"/>
  <c r="D224" i="14606"/>
  <c r="E224" i="14606" s="1"/>
  <c r="D225" i="14606"/>
  <c r="E225" i="14606" s="1"/>
  <c r="E226" i="14606" l="1"/>
  <c r="G225" i="14606"/>
  <c r="H225" i="14606"/>
  <c r="L229" i="14606"/>
  <c r="M228" i="14606"/>
  <c r="A228" i="14606" s="1"/>
  <c r="D227" i="14606"/>
  <c r="B227" i="14606"/>
  <c r="C227" i="14606"/>
  <c r="F224" i="14606"/>
  <c r="G224" i="14606" s="1"/>
  <c r="F225" i="14606"/>
  <c r="I225" i="14606" s="1"/>
  <c r="J223" i="14606"/>
  <c r="J225" i="14606" l="1"/>
  <c r="H224" i="14606"/>
  <c r="J224" i="14606" s="1"/>
  <c r="E227" i="14606"/>
  <c r="I224" i="14606"/>
  <c r="B228" i="14606"/>
  <c r="C228" i="14606"/>
  <c r="L230" i="14606"/>
  <c r="M229" i="14606"/>
  <c r="A229" i="14606" s="1"/>
  <c r="F226" i="14606"/>
  <c r="G227" i="14606" l="1"/>
  <c r="I227" i="14606" s="1"/>
  <c r="H227" i="14606"/>
  <c r="G226" i="14606"/>
  <c r="H226" i="14606" s="1"/>
  <c r="D228" i="14606"/>
  <c r="B229" i="14606"/>
  <c r="F227" i="14606"/>
  <c r="M230" i="14606"/>
  <c r="A230" i="14606" s="1"/>
  <c r="L231" i="14606"/>
  <c r="F228" i="14606" l="1"/>
  <c r="G228" i="14606"/>
  <c r="C229" i="14606"/>
  <c r="I226" i="14606"/>
  <c r="J226" i="14606" s="1"/>
  <c r="B230" i="14606"/>
  <c r="C230" i="14606"/>
  <c r="E228" i="14606"/>
  <c r="H228" i="14606" s="1"/>
  <c r="I228" i="14606" s="1"/>
  <c r="J227" i="14606"/>
  <c r="L232" i="14606"/>
  <c r="M231" i="14606"/>
  <c r="A231" i="14606" s="1"/>
  <c r="D230" i="14606" l="1"/>
  <c r="B231" i="14606"/>
  <c r="C231" i="14606"/>
  <c r="E231" i="14606" s="1"/>
  <c r="D231" i="14606"/>
  <c r="M232" i="14606"/>
  <c r="A232" i="14606" s="1"/>
  <c r="L233" i="14606"/>
  <c r="D229" i="14606"/>
  <c r="J228" i="14606"/>
  <c r="E229" i="14606" l="1"/>
  <c r="F231" i="14606"/>
  <c r="G231" i="14606" s="1"/>
  <c r="D232" i="14606"/>
  <c r="E232" i="14606" s="1"/>
  <c r="B232" i="14606"/>
  <c r="F232" i="14606" s="1"/>
  <c r="C232" i="14606"/>
  <c r="G232" i="14606" s="1"/>
  <c r="F229" i="14606"/>
  <c r="M233" i="14606"/>
  <c r="A233" i="14606" s="1"/>
  <c r="L234" i="14606"/>
  <c r="E230" i="14606"/>
  <c r="H232" i="14606" l="1"/>
  <c r="J232" i="14606" s="1"/>
  <c r="I232" i="14606"/>
  <c r="F230" i="14606"/>
  <c r="H231" i="14606"/>
  <c r="I231" i="14606" s="1"/>
  <c r="L235" i="14606"/>
  <c r="M234" i="14606"/>
  <c r="A234" i="14606" s="1"/>
  <c r="B233" i="14606"/>
  <c r="G229" i="14606"/>
  <c r="J231" i="14606" l="1"/>
  <c r="G230" i="14606"/>
  <c r="H230" i="14606" s="1"/>
  <c r="H229" i="14606"/>
  <c r="J229" i="14606" s="1"/>
  <c r="I229" i="14606"/>
  <c r="C233" i="14606"/>
  <c r="M235" i="14606"/>
  <c r="A235" i="14606" s="1"/>
  <c r="L236" i="14606"/>
  <c r="B234" i="14606"/>
  <c r="C234" i="14606"/>
  <c r="D234" i="14606"/>
  <c r="E234" i="14606" s="1"/>
  <c r="F234" i="14606" l="1"/>
  <c r="B235" i="14606"/>
  <c r="I230" i="14606"/>
  <c r="J230" i="14606" s="1"/>
  <c r="M236" i="14606"/>
  <c r="A236" i="14606" s="1"/>
  <c r="L237" i="14606"/>
  <c r="D233" i="14606"/>
  <c r="C235" i="14606" l="1"/>
  <c r="E235" i="14606" s="1"/>
  <c r="C236" i="14606"/>
  <c r="D236" i="14606" s="1"/>
  <c r="B236" i="14606"/>
  <c r="F233" i="14606"/>
  <c r="D235" i="14606"/>
  <c r="M237" i="14606"/>
  <c r="A237" i="14606" s="1"/>
  <c r="L238" i="14606"/>
  <c r="E233" i="14606"/>
  <c r="G234" i="14606"/>
  <c r="E236" i="14606" l="1"/>
  <c r="G233" i="14606"/>
  <c r="D237" i="14606"/>
  <c r="B237" i="14606"/>
  <c r="C237" i="14606"/>
  <c r="H234" i="14606"/>
  <c r="I234" i="14606" s="1"/>
  <c r="G235" i="14606"/>
  <c r="H235" i="14606" s="1"/>
  <c r="F235" i="14606"/>
  <c r="M238" i="14606"/>
  <c r="A238" i="14606" s="1"/>
  <c r="L239" i="14606"/>
  <c r="I235" i="14606" l="1"/>
  <c r="E237" i="14606"/>
  <c r="J235" i="14606"/>
  <c r="J234" i="14606"/>
  <c r="F236" i="14606"/>
  <c r="H233" i="14606"/>
  <c r="J233" i="14606" s="1"/>
  <c r="I233" i="14606"/>
  <c r="M239" i="14606"/>
  <c r="A239" i="14606" s="1"/>
  <c r="L240" i="14606"/>
  <c r="B238" i="14606"/>
  <c r="G237" i="14606" l="1"/>
  <c r="B239" i="14606"/>
  <c r="E238" i="14606"/>
  <c r="H236" i="14606"/>
  <c r="G236" i="14606"/>
  <c r="I236" i="14606" s="1"/>
  <c r="F237" i="14606"/>
  <c r="D238" i="14606"/>
  <c r="H237" i="14606"/>
  <c r="I237" i="14606" s="1"/>
  <c r="J237" i="14606" s="1"/>
  <c r="C238" i="14606"/>
  <c r="M240" i="14606"/>
  <c r="A240" i="14606" s="1"/>
  <c r="L241" i="14606"/>
  <c r="J236" i="14606" l="1"/>
  <c r="F238" i="14606"/>
  <c r="G238" i="14606" s="1"/>
  <c r="C239" i="14606"/>
  <c r="M241" i="14606"/>
  <c r="A241" i="14606" s="1"/>
  <c r="L242" i="14606"/>
  <c r="B240" i="14606"/>
  <c r="H238" i="14606" l="1"/>
  <c r="J238" i="14606" s="1"/>
  <c r="D240" i="14606"/>
  <c r="M242" i="14606"/>
  <c r="A242" i="14606" s="1"/>
  <c r="L243" i="14606"/>
  <c r="C240" i="14606"/>
  <c r="D239" i="14606"/>
  <c r="B241" i="14606"/>
  <c r="C241" i="14606" s="1"/>
  <c r="I238" i="14606"/>
  <c r="D241" i="14606" l="1"/>
  <c r="F241" i="14606" s="1"/>
  <c r="E241" i="14606"/>
  <c r="F240" i="14606"/>
  <c r="M243" i="14606"/>
  <c r="A243" i="14606" s="1"/>
  <c r="L244" i="14606"/>
  <c r="B242" i="14606"/>
  <c r="C242" i="14606" s="1"/>
  <c r="E239" i="14606"/>
  <c r="E240" i="14606"/>
  <c r="H241" i="14606" l="1"/>
  <c r="G239" i="14606"/>
  <c r="H239" i="14606" s="1"/>
  <c r="G241" i="14606"/>
  <c r="F239" i="14606"/>
  <c r="M244" i="14606"/>
  <c r="A244" i="14606" s="1"/>
  <c r="L245" i="14606"/>
  <c r="E242" i="14606"/>
  <c r="D243" i="14606"/>
  <c r="B243" i="14606"/>
  <c r="C243" i="14606"/>
  <c r="F243" i="14606" s="1"/>
  <c r="E243" i="14606"/>
  <c r="D242" i="14606"/>
  <c r="G240" i="14606"/>
  <c r="H240" i="14606" s="1"/>
  <c r="I240" i="14606" s="1"/>
  <c r="G243" i="14606" l="1"/>
  <c r="H243" i="14606" s="1"/>
  <c r="F242" i="14606"/>
  <c r="M245" i="14606"/>
  <c r="A245" i="14606" s="1"/>
  <c r="L246" i="14606"/>
  <c r="J244" i="14606"/>
  <c r="F244" i="14606"/>
  <c r="B244" i="14606"/>
  <c r="G244" i="14606"/>
  <c r="E244" i="14606"/>
  <c r="H244" i="14606"/>
  <c r="D244" i="14606"/>
  <c r="I244" i="14606"/>
  <c r="C244" i="14606"/>
  <c r="I241" i="14606"/>
  <c r="J241" i="14606" s="1"/>
  <c r="J240" i="14606"/>
  <c r="I239" i="14606"/>
  <c r="J239" i="14606" s="1"/>
  <c r="I243" i="14606" l="1"/>
  <c r="J243" i="14606" s="1"/>
  <c r="L247" i="14606"/>
  <c r="M246" i="14606"/>
  <c r="A246" i="14606" s="1"/>
  <c r="G242" i="14606"/>
  <c r="D245" i="14606"/>
  <c r="I245" i="14606"/>
  <c r="J245" i="14606"/>
  <c r="C245" i="14606"/>
  <c r="H245" i="14606"/>
  <c r="G245" i="14606"/>
  <c r="E245" i="14606"/>
  <c r="F245" i="14606"/>
  <c r="B245" i="14606"/>
  <c r="F246" i="14606" l="1"/>
  <c r="H246" i="14606"/>
  <c r="D246" i="14606"/>
  <c r="I246" i="14606"/>
  <c r="G246" i="14606"/>
  <c r="E246" i="14606"/>
  <c r="B246" i="14606"/>
  <c r="C246" i="14606"/>
  <c r="J246" i="14606"/>
  <c r="M247" i="14606"/>
  <c r="A247" i="14606" s="1"/>
  <c r="L248" i="14606"/>
  <c r="H242" i="14606"/>
  <c r="I242" i="14606" s="1"/>
  <c r="J242" i="14606" l="1"/>
  <c r="M248" i="14606"/>
  <c r="A248" i="14606" s="1"/>
  <c r="L249" i="14606"/>
  <c r="G247" i="14606"/>
  <c r="J247" i="14606"/>
  <c r="H247" i="14606"/>
  <c r="D247" i="14606"/>
  <c r="C247" i="14606"/>
  <c r="I247" i="14606"/>
  <c r="E247" i="14606"/>
  <c r="B247" i="14606"/>
  <c r="F247" i="14606"/>
  <c r="B248" i="14606" l="1"/>
  <c r="E248" i="14606"/>
  <c r="F248" i="14606"/>
  <c r="H248" i="14606"/>
  <c r="I248" i="14606"/>
  <c r="J248" i="14606"/>
  <c r="D248" i="14606"/>
  <c r="C248" i="14606"/>
  <c r="G248" i="14606"/>
  <c r="M249" i="14606"/>
  <c r="A249" i="14606" s="1"/>
  <c r="L250" i="14606"/>
  <c r="L251" i="14606" l="1"/>
  <c r="M250" i="14606"/>
  <c r="A250" i="14606" s="1"/>
  <c r="H249" i="14606"/>
  <c r="E249" i="14606"/>
  <c r="G249" i="14606"/>
  <c r="J249" i="14606"/>
  <c r="I249" i="14606"/>
  <c r="C249" i="14606"/>
  <c r="F249" i="14606"/>
  <c r="B249" i="14606"/>
  <c r="D249" i="14606"/>
  <c r="G250" i="14606" l="1"/>
  <c r="I250" i="14606"/>
  <c r="C250" i="14606"/>
  <c r="E250" i="14606"/>
  <c r="B250" i="14606"/>
  <c r="H250" i="14606"/>
  <c r="D250" i="14606"/>
  <c r="F250" i="14606"/>
  <c r="J250" i="14606"/>
  <c r="M251" i="14606"/>
  <c r="A251" i="14606" s="1"/>
  <c r="L252" i="14606"/>
  <c r="G251" i="14606" l="1"/>
  <c r="H251" i="14606"/>
  <c r="E251" i="14606"/>
  <c r="D251" i="14606"/>
  <c r="C251" i="14606"/>
  <c r="J251" i="14606"/>
  <c r="F251" i="14606"/>
  <c r="B251" i="14606"/>
  <c r="I251" i="14606"/>
  <c r="L253" i="14606"/>
  <c r="M252" i="14606"/>
  <c r="A252" i="14606" s="1"/>
  <c r="B252" i="14606" l="1"/>
  <c r="C252" i="14606"/>
  <c r="F252" i="14606"/>
  <c r="J252" i="14606"/>
  <c r="E252" i="14606"/>
  <c r="H252" i="14606"/>
  <c r="D252" i="14606"/>
  <c r="I252" i="14606"/>
  <c r="G252" i="14606"/>
  <c r="M253" i="14606"/>
  <c r="A253" i="14606" s="1"/>
  <c r="L254" i="14606"/>
  <c r="L255" i="14606" l="1"/>
  <c r="M254" i="14606"/>
  <c r="A254" i="14606" s="1"/>
  <c r="F253" i="14606"/>
  <c r="I253" i="14606"/>
  <c r="B253" i="14606"/>
  <c r="C253" i="14606"/>
  <c r="J253" i="14606"/>
  <c r="D253" i="14606"/>
  <c r="E253" i="14606"/>
  <c r="H253" i="14606"/>
  <c r="G253" i="14606"/>
  <c r="J254" i="14606" l="1"/>
  <c r="F254" i="14606"/>
  <c r="B254" i="14606"/>
  <c r="C254" i="14606"/>
  <c r="E254" i="14606"/>
  <c r="H254" i="14606"/>
  <c r="D254" i="14606"/>
  <c r="I254" i="14606"/>
  <c r="G254" i="14606"/>
  <c r="M255" i="14606"/>
  <c r="A255" i="14606" s="1"/>
  <c r="L256" i="14606"/>
  <c r="H255" i="14606" l="1"/>
  <c r="F255" i="14606"/>
  <c r="C255" i="14606"/>
  <c r="D255" i="14606"/>
  <c r="E255" i="14606"/>
  <c r="J255" i="14606"/>
  <c r="I255" i="14606"/>
  <c r="G255" i="14606"/>
  <c r="B255" i="14606"/>
  <c r="L257" i="14606"/>
  <c r="M256" i="14606"/>
  <c r="A256" i="14606" s="1"/>
  <c r="H256" i="14606" l="1"/>
  <c r="F256" i="14606"/>
  <c r="D256" i="14606"/>
  <c r="I256" i="14606"/>
  <c r="B256" i="14606"/>
  <c r="E256" i="14606"/>
  <c r="C256" i="14606"/>
  <c r="J256" i="14606"/>
  <c r="G256" i="14606"/>
  <c r="M257" i="14606"/>
  <c r="A257" i="14606" s="1"/>
  <c r="L258" i="14606"/>
  <c r="D257" i="14606" l="1"/>
  <c r="B257" i="14606"/>
  <c r="I257" i="14606"/>
  <c r="H257" i="14606"/>
  <c r="E257" i="14606"/>
  <c r="C257" i="14606"/>
  <c r="J257" i="14606"/>
  <c r="G257" i="14606"/>
  <c r="F257" i="14606"/>
  <c r="M258" i="14606"/>
  <c r="A258" i="14606" s="1"/>
  <c r="L259" i="14606"/>
  <c r="M259" i="14606" l="1"/>
  <c r="A259" i="14606" s="1"/>
  <c r="L260" i="14606"/>
  <c r="M260" i="14606" s="1"/>
  <c r="A260" i="14606" s="1"/>
  <c r="E258" i="14606"/>
  <c r="I258" i="14606"/>
  <c r="G258" i="14606"/>
  <c r="J258" i="14606"/>
  <c r="F258" i="14606"/>
  <c r="D258" i="14606"/>
  <c r="B258" i="14606"/>
  <c r="H258" i="14606"/>
  <c r="C258" i="14606"/>
  <c r="G260" i="14606" l="1"/>
  <c r="C260" i="14606"/>
  <c r="E260" i="14606"/>
  <c r="H260" i="14606"/>
  <c r="J260" i="14606"/>
  <c r="B260" i="14606"/>
  <c r="I260" i="14606"/>
  <c r="D260" i="14606"/>
  <c r="F260" i="14606"/>
  <c r="G259" i="14606"/>
  <c r="H259" i="14606"/>
  <c r="D259" i="14606"/>
  <c r="C259" i="14606"/>
  <c r="E259" i="14606"/>
  <c r="I259" i="14606"/>
  <c r="F259" i="14606"/>
  <c r="B259" i="14606"/>
  <c r="J259" i="14606"/>
</calcChain>
</file>

<file path=xl/sharedStrings.xml><?xml version="1.0" encoding="utf-8"?>
<sst xmlns="http://schemas.openxmlformats.org/spreadsheetml/2006/main" count="1019" uniqueCount="703">
  <si>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</si>
  <si>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</si>
  <si>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</si>
  <si>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</si>
  <si>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</si>
  <si>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</si>
  <si>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</si>
  <si>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</si>
  <si>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</si>
  <si>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</si>
  <si>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</si>
  <si>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</si>
  <si>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</si>
  <si>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</si>
  <si>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</si>
  <si>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</si>
  <si>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</si>
  <si>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</si>
  <si>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</si>
  <si>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</si>
  <si>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</si>
  <si>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</si>
  <si>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</si>
  <si>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</si>
  <si>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</si>
  <si>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</si>
  <si>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</si>
  <si>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</si>
  <si>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</si>
  <si>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</si>
  <si>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</si>
  <si>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</si>
  <si>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</si>
  <si>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</si>
  <si>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</si>
  <si>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</si>
  <si>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</si>
  <si>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</si>
  <si>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</si>
  <si>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</si>
  <si>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</si>
  <si>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</si>
  <si>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</si>
  <si>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</si>
  <si>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</si>
  <si>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</si>
  <si>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</si>
  <si>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</si>
  <si>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</si>
  <si>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</si>
  <si>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</si>
  <si>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</si>
  <si>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</si>
  <si>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</si>
  <si>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</si>
  <si>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</si>
  <si>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</si>
  <si>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</si>
  <si>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</si>
  <si>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</si>
  <si>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</si>
  <si>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</si>
  <si>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</si>
  <si>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</si>
  <si>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</si>
  <si>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</si>
  <si>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</si>
  <si>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</si>
  <si>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</si>
  <si>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</si>
  <si>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</si>
  <si>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</si>
  <si>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</si>
  <si>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</si>
  <si>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</si>
  <si>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</si>
  <si>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</si>
  <si>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</si>
  <si>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</si>
  <si>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</si>
  <si>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</si>
  <si>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</si>
  <si>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</si>
  <si>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</si>
  <si>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</si>
  <si>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</si>
  <si>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</si>
  <si>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</si>
  <si>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</si>
  <si>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</si>
  <si>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</si>
  <si>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</si>
  <si>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</si>
  <si>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</si>
  <si>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</si>
  <si>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</si>
  <si>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</si>
  <si>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</si>
  <si>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</si>
  <si>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</si>
  <si>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</si>
  <si>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</si>
  <si>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</si>
  <si>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</si>
  <si>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</si>
  <si>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</si>
  <si>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</si>
  <si>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</si>
  <si>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</si>
  <si>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</si>
  <si>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</si>
  <si>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</si>
  <si>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</si>
  <si>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</si>
  <si>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</si>
  <si>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</si>
  <si>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</si>
  <si>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</si>
  <si>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</si>
  <si>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</si>
  <si>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</si>
  <si>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</si>
  <si>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</si>
  <si>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Female open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</si>
  <si>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</si>
  <si>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</si>
  <si>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</si>
  <si>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</si>
  <si>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</si>
  <si>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</si>
  <si>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</si>
  <si>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</si>
  <si>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</si>
  <si>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</si>
  <si>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</si>
  <si>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</si>
  <si>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</si>
  <si>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</si>
  <si>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</si>
  <si>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</si>
  <si>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</si>
  <si>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</si>
  <si>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</si>
  <si>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</si>
  <si>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</si>
  <si>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</si>
  <si>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</si>
  <si>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</si>
  <si>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</si>
  <si>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</si>
  <si>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</si>
  <si>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</si>
  <si>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</si>
  <si>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</si>
  <si>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</si>
  <si>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</si>
  <si>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</si>
  <si>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</si>
  <si>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</si>
  <si>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</si>
  <si>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</si>
  <si>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</si>
  <si>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</si>
  <si>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</si>
  <si>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</si>
  <si>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</si>
  <si>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Sort-on</t>
  </si>
  <si>
    <t>Wt Cls:</t>
  </si>
  <si>
    <t>M_OR_APF</t>
  </si>
  <si>
    <t>M_OR_AAPF</t>
  </si>
  <si>
    <t>M_OEM_APF</t>
  </si>
  <si>
    <t>M_OEM_AAPF</t>
  </si>
  <si>
    <t>M_OES_APF</t>
  </si>
  <si>
    <t>M_OES_AAPF</t>
  </si>
  <si>
    <t>M_TR_1_APF</t>
  </si>
  <si>
    <t>M_TR_1_AAPF</t>
  </si>
  <si>
    <t>M_TEM_1_APF</t>
  </si>
  <si>
    <t>M_TEM_1_AAPF</t>
  </si>
  <si>
    <t>M_TES_1_APF</t>
  </si>
  <si>
    <t>M_TES_1_AAPF</t>
  </si>
  <si>
    <t>M_TR_2_APF</t>
  </si>
  <si>
    <t>M_TR_2_AAPF</t>
  </si>
  <si>
    <t>M_TEM_2_APF</t>
  </si>
  <si>
    <t>M_TEM_2_AAPF</t>
  </si>
  <si>
    <t>M_TES_2_APF</t>
  </si>
  <si>
    <t>M_TES_2_AAPF</t>
  </si>
  <si>
    <t>M_TR_3_APF</t>
  </si>
  <si>
    <t>M_TR_3_AAPF</t>
  </si>
  <si>
    <t>M_TEM_3_APF</t>
  </si>
  <si>
    <t>M_TEM_3_AAPF</t>
  </si>
  <si>
    <t>M_TES_3_APF</t>
  </si>
  <si>
    <t>M_TES_3_AAPF</t>
  </si>
  <si>
    <t>M_JR_APF</t>
  </si>
  <si>
    <t>M_JR_AAPF</t>
  </si>
  <si>
    <t>M_JEM_APF</t>
  </si>
  <si>
    <t>M_JEM_AAPF</t>
  </si>
  <si>
    <t>M_JES_APF</t>
  </si>
  <si>
    <t>M_JES_AAPF</t>
  </si>
  <si>
    <t>M_SR_APF</t>
  </si>
  <si>
    <t>M_SR_AAPF</t>
  </si>
  <si>
    <t>M_SEM_APF</t>
  </si>
  <si>
    <t>M_SEM_AAPF</t>
  </si>
  <si>
    <t>M_SES_APF</t>
  </si>
  <si>
    <t>M_SES_AAPF</t>
  </si>
  <si>
    <t>M_MR_1_APF</t>
  </si>
  <si>
    <t>M_MR_1_AAPF</t>
  </si>
  <si>
    <t>M_MEM_1_APF</t>
  </si>
  <si>
    <t>M_MEM_1_AAPF</t>
  </si>
  <si>
    <t>M_MES_1_APF</t>
  </si>
  <si>
    <t>M_MES_1_AAPF</t>
  </si>
  <si>
    <t>M_MR_2_APF</t>
  </si>
  <si>
    <t>M_MR_2_AAPF</t>
  </si>
  <si>
    <t>M_MEM_2_APF</t>
  </si>
  <si>
    <t>M_MEM_2_AAPF</t>
  </si>
  <si>
    <t>M_MES_2_APF</t>
  </si>
  <si>
    <t>M_MES_2_AAPF</t>
  </si>
  <si>
    <t>M_MR_3_APF</t>
  </si>
  <si>
    <t>M_MR_3_AAPF</t>
  </si>
  <si>
    <t>M_MEM_3_APF</t>
  </si>
  <si>
    <t>M_MEM_3_AAPF</t>
  </si>
  <si>
    <t>M_MES_3_APF</t>
  </si>
  <si>
    <t>M_MES_3_AAPF</t>
  </si>
  <si>
    <t>M_MR_4_APF</t>
  </si>
  <si>
    <t>M_MR_4_AAPF</t>
  </si>
  <si>
    <t>M_MEM_4_APF</t>
  </si>
  <si>
    <t>M_MEM_4_AAPF</t>
  </si>
  <si>
    <t>M_MES_4_APF</t>
  </si>
  <si>
    <t>M_MES_4_AAPF</t>
  </si>
  <si>
    <t>M_MR_5_APF</t>
  </si>
  <si>
    <t>M_MR_5_AAPF</t>
  </si>
  <si>
    <t>M_MEM_5_APF</t>
  </si>
  <si>
    <t>M_MEM_5_AAPF</t>
  </si>
  <si>
    <t>M_MES_5_APF</t>
  </si>
  <si>
    <t>M_MES_5_AAPF</t>
  </si>
  <si>
    <t>M_MR_6_APF</t>
  </si>
  <si>
    <t>M_MR_6_AAPF</t>
  </si>
  <si>
    <t>M_MEM_6_APF</t>
  </si>
  <si>
    <t>M_MEM_6_AAPF</t>
  </si>
  <si>
    <t>M_MES_6_APF</t>
  </si>
  <si>
    <t>M_MES_6_AAPF</t>
  </si>
  <si>
    <t>M_MR_7_APF</t>
  </si>
  <si>
    <t>M_MR_7_AAPF</t>
  </si>
  <si>
    <t>M_MEM_7_APF</t>
  </si>
  <si>
    <t>M_MEM_7_AAPF</t>
  </si>
  <si>
    <t>M_MES_7_APF</t>
  </si>
  <si>
    <t>M_MES_7_AAPF</t>
  </si>
  <si>
    <t>M_MR_8_APF</t>
  </si>
  <si>
    <t>M_MR_8_AAPF</t>
  </si>
  <si>
    <t>M_MEM_8_APF</t>
  </si>
  <si>
    <t>M_MEM_8_AAPF</t>
  </si>
  <si>
    <t>M_MES_8_APF</t>
  </si>
  <si>
    <t>M_MES_8_AAPF</t>
  </si>
  <si>
    <t>M_MR_9_APF</t>
  </si>
  <si>
    <t>M_MR_9_AAPF</t>
  </si>
  <si>
    <t>M_MEM_9_APF</t>
  </si>
  <si>
    <t>M_MEM_9_AAPF</t>
  </si>
  <si>
    <t>M_MES_9_APF</t>
  </si>
  <si>
    <t>M_MES_9_AAPF</t>
  </si>
  <si>
    <t>F_OR_APF</t>
  </si>
  <si>
    <t>F_OR_AAPF</t>
  </si>
  <si>
    <t>F_OEM_APF</t>
  </si>
  <si>
    <t>F_OEM_AAPF</t>
  </si>
  <si>
    <t>F_OES_APF</t>
  </si>
  <si>
    <t>F_OES_AAPF</t>
  </si>
  <si>
    <t>F_TR_1_APF</t>
  </si>
  <si>
    <t>F_TR_1_AAPF</t>
  </si>
  <si>
    <t>F_TEM_1_APF</t>
  </si>
  <si>
    <t>F_TEM_1_AAPF</t>
  </si>
  <si>
    <t>F_TES_1_APF</t>
  </si>
  <si>
    <t>F_TES_1_AAPF</t>
  </si>
  <si>
    <t>F_TR_2_APF</t>
  </si>
  <si>
    <t>F_TR_2_AAPF</t>
  </si>
  <si>
    <t>F_TEM_2_APF</t>
  </si>
  <si>
    <t>F_TEM_2_AAPF</t>
  </si>
  <si>
    <t>F_TES_2_APF</t>
  </si>
  <si>
    <t>F_TES_2_AAPF</t>
  </si>
  <si>
    <t>F_TR_3_APF</t>
  </si>
  <si>
    <t>F_TR_3_AAPF</t>
  </si>
  <si>
    <t>F_TEM_3_APF</t>
  </si>
  <si>
    <t>F_TEM_3_AAPF</t>
  </si>
  <si>
    <t>F_TES_3_APF</t>
  </si>
  <si>
    <t>F_TES_3_AAPF</t>
  </si>
  <si>
    <t>F_JR_APF</t>
  </si>
  <si>
    <t>F_JR_AAPF</t>
  </si>
  <si>
    <t>F_JEM_APF</t>
  </si>
  <si>
    <t>F_JEM_AAPF</t>
  </si>
  <si>
    <t>F_JES_APF</t>
  </si>
  <si>
    <t>F_JES_AAPF</t>
  </si>
  <si>
    <t>F_SR_APF</t>
  </si>
  <si>
    <t>F_SR_AAPF</t>
  </si>
  <si>
    <t>F_SEM_APF</t>
  </si>
  <si>
    <t>F_SEM_AAPF</t>
  </si>
  <si>
    <t>F_SES_APF</t>
  </si>
  <si>
    <t>F_SES_AAPF</t>
  </si>
  <si>
    <t>F_MR_1_APF</t>
  </si>
  <si>
    <t>F_MR_1_AAPF</t>
  </si>
  <si>
    <t>F_MEM_1_APF</t>
  </si>
  <si>
    <t>F_MEM_1_AAPF</t>
  </si>
  <si>
    <t>F_MES_1_APF</t>
  </si>
  <si>
    <t>F_MES_1_AAPF</t>
  </si>
  <si>
    <t>F_MR_2_APF</t>
  </si>
  <si>
    <t>F_MR_2_AAPF</t>
  </si>
  <si>
    <t>F_MEM_2_APF</t>
  </si>
  <si>
    <t>F_MEM_2_AAPF</t>
  </si>
  <si>
    <t>F_MES_2_APF</t>
  </si>
  <si>
    <t>F_MES_2_AAPF</t>
  </si>
  <si>
    <t>F_MR_3_APF</t>
  </si>
  <si>
    <t>F_MR_3_AAPF</t>
  </si>
  <si>
    <t>F_MEM_3_APF</t>
  </si>
  <si>
    <t>F_MEM_3_AAPF</t>
  </si>
  <si>
    <t>F_MES_3_APF</t>
  </si>
  <si>
    <t>F_MES_3_AAPF</t>
  </si>
  <si>
    <t>F_MR_4_APF</t>
  </si>
  <si>
    <t>F_MR_4_AAPF</t>
  </si>
  <si>
    <t>F_MEM_4_APF</t>
  </si>
  <si>
    <t>F_MEM_4_AAPF</t>
  </si>
  <si>
    <t>F_MES_4_APF</t>
  </si>
  <si>
    <t>F_MES_4_AAPF</t>
  </si>
  <si>
    <t>F_MR_5_APF</t>
  </si>
  <si>
    <t>F_MR_5_AAPF</t>
  </si>
  <si>
    <t>F_MEM_5_APF</t>
  </si>
  <si>
    <t>F_MEM_5_AAPF</t>
  </si>
  <si>
    <t>F_MES_5_APF</t>
  </si>
  <si>
    <t>F_MES_5_AAPF</t>
  </si>
  <si>
    <t>F_MR_6_APF</t>
  </si>
  <si>
    <t>F_MR_6_AAPF</t>
  </si>
  <si>
    <t>F_MEM_6_APF</t>
  </si>
  <si>
    <t>F_MEM_6_AAPF</t>
  </si>
  <si>
    <t>F_MES_6_APF</t>
  </si>
  <si>
    <t>F_MES_6_AAPF</t>
  </si>
  <si>
    <t>F_MR_7_APF</t>
  </si>
  <si>
    <t>F_MR_7_AAPF</t>
  </si>
  <si>
    <t>F_MEM_7_APF</t>
  </si>
  <si>
    <t>F_MEM_7_AAPF</t>
  </si>
  <si>
    <t>F_MES_7_APF</t>
  </si>
  <si>
    <t>F_MES_7_AAPF</t>
  </si>
  <si>
    <t>F_MR_8_APF</t>
  </si>
  <si>
    <t>F_MR_8_AAPF</t>
  </si>
  <si>
    <t>F_MEM_8_APF</t>
  </si>
  <si>
    <t>F_MEM_8_AAPF</t>
  </si>
  <si>
    <t>F_MES_8_APF</t>
  </si>
  <si>
    <t>F_MES_8_AAPF</t>
  </si>
  <si>
    <t>F_MR_9_APF</t>
  </si>
  <si>
    <t>F_MR_9_AAPF</t>
  </si>
  <si>
    <t>F_MEM_9_APF</t>
  </si>
  <si>
    <t>F_MEM_9_AAPF</t>
  </si>
  <si>
    <t>F_MES_9_APF</t>
  </si>
  <si>
    <t>F_MES_9_AAPF</t>
  </si>
  <si>
    <t>Flt A</t>
  </si>
  <si>
    <t>Contest Name</t>
  </si>
  <si>
    <t>Date</t>
  </si>
  <si>
    <t>BP</t>
  </si>
  <si>
    <t>DL</t>
  </si>
  <si>
    <t>S</t>
  </si>
  <si>
    <t>Fogg, Abby</t>
  </si>
  <si>
    <t>K13</t>
  </si>
  <si>
    <t>Male Open Raw APF</t>
  </si>
  <si>
    <t>Male Open Raw AAPF</t>
  </si>
  <si>
    <t>M_OCR_APF</t>
  </si>
  <si>
    <t>Male Open Classic Raw APF</t>
  </si>
  <si>
    <t>M_OCR_AAPF</t>
  </si>
  <si>
    <t>Male Open Classic Raw AAPF</t>
  </si>
  <si>
    <t>Male Open Equipped Multiply APF</t>
  </si>
  <si>
    <t>Male Open Equipped Multiply AAPF</t>
  </si>
  <si>
    <t>Male Open Equipped Single-Ply APF</t>
  </si>
  <si>
    <t>Male Open Equipped Single-Ply AAPF</t>
  </si>
  <si>
    <t>Male Teen 1 Raw APF: 13-15</t>
  </si>
  <si>
    <t>Male Teen 1 Raw AAPF: 13-15</t>
  </si>
  <si>
    <t>M_TCR_1_APF</t>
  </si>
  <si>
    <t>Male Teen 1 Classic Raw APF: 13-15</t>
  </si>
  <si>
    <t>M_TCR_1_AAPF</t>
  </si>
  <si>
    <t>Male Teen 1 Classic Raw AAPF: 13-15</t>
  </si>
  <si>
    <t>Male Teen 1 Equipped Multiply APF: 13-15</t>
  </si>
  <si>
    <t>Male Teen 1 Equipped Multiply AAPF: 13-15</t>
  </si>
  <si>
    <t>Male Teen 1 Equipped Single-Ply APF: 13-15</t>
  </si>
  <si>
    <t>Male Teen 1 Equipped Single-PlyAAPF: 13-15</t>
  </si>
  <si>
    <t>Male Teen 2 Raw APF: 16-17</t>
  </si>
  <si>
    <t>Male Teen 2 Raw AAPF: 16-17</t>
  </si>
  <si>
    <t>M_TCR_2_APF</t>
  </si>
  <si>
    <t>Male Teen 2 Classic Raw APF: 16-17</t>
  </si>
  <si>
    <t>M_TCR_2_AAPF</t>
  </si>
  <si>
    <t>Male Teen 2 Classic Raw AAPF: 16-17</t>
  </si>
  <si>
    <t>Male Teen 2 Equipped Multiply APF: 16-17</t>
  </si>
  <si>
    <t>Male Teen 2 Equipped Multiply AAPF: 16-17</t>
  </si>
  <si>
    <t>Male Teen 2 Equipped Single-Ply APF: 16-17</t>
  </si>
  <si>
    <t>Male Teen 2 Equipped Single-Ply AAPF: 16-17</t>
  </si>
  <si>
    <t>Male Teen 3 Raw APF: 18-19</t>
  </si>
  <si>
    <t>Male Teen 3 Raw AAPF: 18-19</t>
  </si>
  <si>
    <t>M_TCR_3_APF</t>
  </si>
  <si>
    <t>Male Teen 3 Classic Raw APF: 18-19</t>
  </si>
  <si>
    <t>M_TCR_3_AAPF</t>
  </si>
  <si>
    <t>Male Teen 3 Classic Raw AAPF: 18-19</t>
  </si>
  <si>
    <t>Male Teen 3 Equipped Mulitply APF: 18-19</t>
  </si>
  <si>
    <t>Male Teen 3 Equipped Mulitply AAPF: 18-19</t>
  </si>
  <si>
    <t>Male Teen 3 Equipped Single-Ply APF: 18-19</t>
  </si>
  <si>
    <t>Male Teen 3 Equipped Single-Ply AAPF: 18-19</t>
  </si>
  <si>
    <t>Male Junior Raw APF: 20-23</t>
  </si>
  <si>
    <t>Male Junior Raw AAPF: 20-23</t>
  </si>
  <si>
    <t>M_JCR_APF</t>
  </si>
  <si>
    <t>Male Junior Classic Raw APF: 20-23</t>
  </si>
  <si>
    <t>M_JCR_AAPF</t>
  </si>
  <si>
    <t>Male Junior Classic Raw AAPF: 20-23</t>
  </si>
  <si>
    <t>Male Junior Equipped Mulitply APF: 20-23</t>
  </si>
  <si>
    <t>Male Junior Equipped Mulitply AAPF: 20-23</t>
  </si>
  <si>
    <t>Male Junior Equipped Single-Ply APF: 20-23</t>
  </si>
  <si>
    <t>Male Junior Equipped Single-Ply AAPF: 20-23</t>
  </si>
  <si>
    <t>Male Sub-Master Raw APF: 33-39</t>
  </si>
  <si>
    <t>Male Sub-Master Raw AAPF: 33-39</t>
  </si>
  <si>
    <t>M_SCR_APF</t>
  </si>
  <si>
    <t>Male Sub-Master Classic Raw APF: 33-39</t>
  </si>
  <si>
    <t>M_SCR_AAPF</t>
  </si>
  <si>
    <t>Male Sub-Master Classic Raw AAPF: 33-39</t>
  </si>
  <si>
    <t>Male Sub-Master Equipped Multiply APF: 33-39</t>
  </si>
  <si>
    <t>Male Sub-Master Equipped Multiply AAPF: 33-39</t>
  </si>
  <si>
    <t>Male Sub-Master Equipped Single-Ply APF: 33-39</t>
  </si>
  <si>
    <t>Male Sub-Master Equipped Single-Ply AAPF: 33-39</t>
  </si>
  <si>
    <t>Male Master 1 Raw APF: 40-44</t>
  </si>
  <si>
    <t>Male Master 1 Raw AAPF: 40-44</t>
  </si>
  <si>
    <t>M_MCR_1_APF</t>
  </si>
  <si>
    <t>Male Master 1 Classic Raw APF: 40-44</t>
  </si>
  <si>
    <t>M_MCR_1_AAPF</t>
  </si>
  <si>
    <t>Male Master 1 Classic Raw AAPF: 40-44</t>
  </si>
  <si>
    <t>Male Master 1 Equipped Multiply APF: 40-44</t>
  </si>
  <si>
    <t>Male Master 1 Equipped Multiply AAPF: 40-44</t>
  </si>
  <si>
    <t>Male Master 1 Equipped Single-Ply APF: 40-44</t>
  </si>
  <si>
    <t>Male Master 1 Equipped Single-Ply AAPF: 40-44</t>
  </si>
  <si>
    <t>Male Master 2 Raw APF: 45-49</t>
  </si>
  <si>
    <t>Male Master 2 Raw AAPF: 45-49</t>
  </si>
  <si>
    <t>M_MCR_2_APF</t>
  </si>
  <si>
    <t>Male Master 2 Classic Raw APF: 45-49</t>
  </si>
  <si>
    <t>M_MCR_2_AAPF</t>
  </si>
  <si>
    <t>Male Master 2 Classic Raw AAPF: 45-49</t>
  </si>
  <si>
    <t>Male Master 2 Equipped Mulitply APF: 45-49</t>
  </si>
  <si>
    <t>Male Master 2 Equipped Multiply AAPF: 45-49</t>
  </si>
  <si>
    <t>Male Master 2 Equipped Single-Ply APF: 45-49</t>
  </si>
  <si>
    <t>Male Master 2 Equipped Sinlge-Ply AAPF: 45-49</t>
  </si>
  <si>
    <t>Male Master 3 Raw APF: 50-54</t>
  </si>
  <si>
    <t>Male Master 3 Raw AAPF: 50-54</t>
  </si>
  <si>
    <t>M_MCR_3_APF</t>
  </si>
  <si>
    <t>Male Master 3 Classic Raw APF: 50-54</t>
  </si>
  <si>
    <t>M_MCR_3_AAPF</t>
  </si>
  <si>
    <t>Male Master 3 Classic Raw AAPF: 50-54</t>
  </si>
  <si>
    <t>Male Master 3 Equipped Mulitply APF: 50-54</t>
  </si>
  <si>
    <t>Male Master 3 Equipped Multiply AAPF: 50-54</t>
  </si>
  <si>
    <t>Male Master 3 Equipped Single-Ply APF: 50-54</t>
  </si>
  <si>
    <t>Male Master 3 Equipped Single-Ply AAPF: 50-54</t>
  </si>
  <si>
    <t>Male Master 4 Raw APF: 55-59</t>
  </si>
  <si>
    <t>Male Master 4 Raw AAPF: 55-59</t>
  </si>
  <si>
    <t>M_MCR_4_APF</t>
  </si>
  <si>
    <t>Male Master 4 Classic Raw APF: 55-59</t>
  </si>
  <si>
    <t>M_MCR_4_AAPF</t>
  </si>
  <si>
    <t>Male Master 4 Classic Raw AAPF: 55-59</t>
  </si>
  <si>
    <t>Male Master 4 Equipped Mulitply APF: 55-59</t>
  </si>
  <si>
    <t>Male Master 4 Equipped Multiply AAPF: 55-59</t>
  </si>
  <si>
    <t>Male Master 4 Equipped Single-Ply APF: 55-59</t>
  </si>
  <si>
    <t>Male Master 4 Equipped Single-Ply AAPF: 55-59</t>
  </si>
  <si>
    <t>Male Master 5 Raw APF: 60-64</t>
  </si>
  <si>
    <t>Male Master 5 Raw AAPF: 60-64</t>
  </si>
  <si>
    <t>M_MCR_5_APF</t>
  </si>
  <si>
    <t>Male Master 5 Classic Raw APF: 60-64</t>
  </si>
  <si>
    <t>M_MCR_5_AAPF</t>
  </si>
  <si>
    <t>Male Master 5 Classic Raw AAPF: 60-64</t>
  </si>
  <si>
    <t>Male Master 5 Equipped Multiply APF: 60-64</t>
  </si>
  <si>
    <t>Male Master 5 Equipped Multiply AAPF: 60-64</t>
  </si>
  <si>
    <t>Male Master 5 Equipped Single-Ply APF: 60-64</t>
  </si>
  <si>
    <t>Male Master 5 Equipped Single-Ply AAPF: 60-64</t>
  </si>
  <si>
    <t>Male Master 6 Raw APF: 65-69</t>
  </si>
  <si>
    <t>Male Master 6 Raw AAPF: 65-69</t>
  </si>
  <si>
    <t>M_MCR_6_APF</t>
  </si>
  <si>
    <t>Male Master 6 Classic Raw APF: 65-69</t>
  </si>
  <si>
    <t>M_MCR_6_AAPF</t>
  </si>
  <si>
    <t>Male Master 6 Classic Raw AAPF: 65-69</t>
  </si>
  <si>
    <t>Male Master 6 Equipped Multiply APF: 65-69</t>
  </si>
  <si>
    <t>Male Master 6 Equipped Multiply AAPF: 65-69</t>
  </si>
  <si>
    <t>Male Master 6 Equipped Single-Ply APF: 65-69</t>
  </si>
  <si>
    <t>Male Master 6 Equipped Single-Ply AAPF: 65-69</t>
  </si>
  <si>
    <t>Male Master 7 Raw APF: 70-74</t>
  </si>
  <si>
    <t>Male Master 7 Raw AAPF: 70-74</t>
  </si>
  <si>
    <t>M_MCR_7_APF</t>
  </si>
  <si>
    <t>Male Master 7 Classic Raw APF: 70-74</t>
  </si>
  <si>
    <t>M_MCR_7_AAPF</t>
  </si>
  <si>
    <t>Male Master 7 Classic Raw AAPF: 70-74</t>
  </si>
  <si>
    <t>Male Master 7 Equipped Multiply APF: 70-74</t>
  </si>
  <si>
    <t>Male Master 7 Equipped Multiply AAPF: 70-74</t>
  </si>
  <si>
    <t>Male Master 7 Equipped Single-Ply APF: 70-74</t>
  </si>
  <si>
    <t>Male Master 7 Equipped Single-Ply AAPF: 70-74</t>
  </si>
  <si>
    <t>Male Master 8 Raw APF: 75-79</t>
  </si>
  <si>
    <t>Male Master 8 Raw AAPF: 75-79</t>
  </si>
  <si>
    <t>M_MCR_8_APF</t>
  </si>
  <si>
    <t>Male Master 8 Classic Raw APF: 75-79</t>
  </si>
  <si>
    <t>M_MCR_8_AAPF</t>
  </si>
  <si>
    <t>Male Master 8 Classic Raw AAPF: 75-79</t>
  </si>
  <si>
    <t>Male Master 8 Equipped Mulitply APF: 75-79</t>
  </si>
  <si>
    <t>Male Master 8 Equipped Multiply AAPF: 75-79</t>
  </si>
  <si>
    <t>Male Master 8 Equipped Single-Ply  APF: 75-79</t>
  </si>
  <si>
    <t>Male Master 8 Equipped Single-Ply AAPF: 75-79</t>
  </si>
  <si>
    <t>Male Master 9 Raw APF: 80+</t>
  </si>
  <si>
    <t>Male Master 9 Raw AAPF: 80+</t>
  </si>
  <si>
    <t>M_MCR_9_APF</t>
  </si>
  <si>
    <t>Male Master 9 Classic Raw APF: 80+</t>
  </si>
  <si>
    <t>M_MCR_9_AAPF</t>
  </si>
  <si>
    <t>Male Master 9 Classic Raw AAPF: 80+</t>
  </si>
  <si>
    <t>Male Master 9 Equipped Multiply APF: 80+</t>
  </si>
  <si>
    <t>Male Master 9 Equipped Multiply AAPF: 80+</t>
  </si>
  <si>
    <t>Male Master 9 Equipped Single-Ply APF: 80+</t>
  </si>
  <si>
    <t>Male Master 9 Equipped Single-Ply AAPF: 80+</t>
  </si>
  <si>
    <t>Female Open Raw APF</t>
  </si>
  <si>
    <t>Female Open Raw AAPF</t>
  </si>
  <si>
    <t>F_OCR_APF</t>
  </si>
  <si>
    <t>Female Open Classic Raw APF</t>
  </si>
  <si>
    <t>F_OCR_AAPF</t>
  </si>
  <si>
    <t>Female Open Classic Raw AAPF</t>
  </si>
  <si>
    <t>Female Open Equipped Multiply APF</t>
  </si>
  <si>
    <t>Female Open Equipped Multiply AAPF</t>
  </si>
  <si>
    <t>Female Open Equipped Single-Ply APF</t>
  </si>
  <si>
    <t>Female Open Equipped Single-Ply AAPF</t>
  </si>
  <si>
    <t>Female Teen 1 Raw APF: 13-15</t>
  </si>
  <si>
    <t>Female Teen 1 Raw AAPF: 13-15</t>
  </si>
  <si>
    <t>F_TCR_1_APF</t>
  </si>
  <si>
    <t>Female Teen 1 Classic Raw APF: 13-15</t>
  </si>
  <si>
    <t>F_TCR_1_AAPF</t>
  </si>
  <si>
    <t>Female Teen 1 Classic Raw AAPF: 13-15</t>
  </si>
  <si>
    <t>Female Teen 1 Equipped Multiply APF: 13-15</t>
  </si>
  <si>
    <t>Female Teen 1 Equipped Multiply AAPF: 13-15</t>
  </si>
  <si>
    <t>Female Teen 1 Equipped Single-Ply APF: 13-15</t>
  </si>
  <si>
    <t>Female Teen 1 Equipped Single-PlyAAPF: 13-15</t>
  </si>
  <si>
    <t>Female Teen 2 Raw APF: 16-17</t>
  </si>
  <si>
    <t>Female Teen 2 Raw AAPF: 16-17</t>
  </si>
  <si>
    <t>F_TCR_2_APF</t>
  </si>
  <si>
    <t>Female Teen 2 Classic Raw APF: 16-17</t>
  </si>
  <si>
    <t>F_TCR_2_AAPF</t>
  </si>
  <si>
    <t>Female Teen 2 Classic Raw AAPF: 16-17</t>
  </si>
  <si>
    <t>Female Teen 2 Equipped Multiply APF: 16-17</t>
  </si>
  <si>
    <t>Female Teen 2 Equipped Multiply AAPF: 16-17</t>
  </si>
  <si>
    <t>Female Teen 2 Equipped Single-Ply APF: 16-17</t>
  </si>
  <si>
    <t>Female Teen 2 Equipped Single-Ply AAPF: 16-17</t>
  </si>
  <si>
    <t>Female Teen 3 Raw APF: 18-19</t>
  </si>
  <si>
    <t>Female Teen 3 Raw AAPF: 18-19</t>
  </si>
  <si>
    <t>F_TCR_3_APF</t>
  </si>
  <si>
    <t>Female Teen 3 Classic Raw APF: 18-19</t>
  </si>
  <si>
    <t>F_TCR_3_AAPF</t>
  </si>
  <si>
    <t>Female Teen 3 Classic Raw AAPF: 18-19</t>
  </si>
  <si>
    <t>Female Teen 3 Equipped Mulitply APF: 18-19</t>
  </si>
  <si>
    <t>Female Teen 3 Equipped Mulitply AAPF: 18-19</t>
  </si>
  <si>
    <t>Female Teen 3 Equipped Single-Ply APF: 18-19</t>
  </si>
  <si>
    <t>Female Teen 3 Equipped Single-Ply AAPF: 18-19</t>
  </si>
  <si>
    <t>Female Junior Raw APF: 20-23</t>
  </si>
  <si>
    <t>Female Junior Raw AAPF: 20-23</t>
  </si>
  <si>
    <t>F_JCR_APF</t>
  </si>
  <si>
    <t>Female Junior Classic Raw APF: 20-23</t>
  </si>
  <si>
    <t>F_JCR_AAPF</t>
  </si>
  <si>
    <t>Female Junior Classic Raw AAPF: 20-23</t>
  </si>
  <si>
    <t>Female Junior Equipped Mulitply APF: 20-23</t>
  </si>
  <si>
    <t>Female Junior Equipped Mulitply AAPF: 20-23</t>
  </si>
  <si>
    <t>Female Junior Equipped Single-Ply APF: 20-23</t>
  </si>
  <si>
    <t>Female Junior Equipped Single-Ply AAPF: 20-23</t>
  </si>
  <si>
    <t>Female Sub-Master Raw APF: 33-39</t>
  </si>
  <si>
    <t>Female Sub-Master Raw AAPF: 33-39</t>
  </si>
  <si>
    <t>F_SCR_APF</t>
  </si>
  <si>
    <t>Female Sub-Master Classic Raw APF: 33-39</t>
  </si>
  <si>
    <t>F_SCR_AAPF</t>
  </si>
  <si>
    <t>Female Sub-Master Classic Raw AAPF: 33-39</t>
  </si>
  <si>
    <t>Female Sub-Master Equipped Multiply APF: 33-39</t>
  </si>
  <si>
    <t>Female Sub-Master Equipped Multiply AAPF: 33-39</t>
  </si>
  <si>
    <t>Female Sub-Master Equipped Single-Ply APF: 33-39</t>
  </si>
  <si>
    <t>Female Sub-Master Equipped Single-Ply AAPF: 33-39</t>
  </si>
  <si>
    <t>Female Master 1 Raw APF: 40-44</t>
  </si>
  <si>
    <t>Female Master 1 Raw AAPF: 40-44</t>
  </si>
  <si>
    <t>F_MCR_1_APF</t>
  </si>
  <si>
    <t>Female Master 1 Classic Raw APF: 40-44</t>
  </si>
  <si>
    <t>F_MCR_1_AAPF</t>
  </si>
  <si>
    <t>Female Master 1 Classic Raw AAPF: 40-44</t>
  </si>
  <si>
    <t>Female Master 1 Equipped Multiply APF: 40-44</t>
  </si>
  <si>
    <t>Female Master 1 Equipped Multiply AAPF: 40-44</t>
  </si>
  <si>
    <t>Female Master 1 Equipped Single-Ply APF: 40-44</t>
  </si>
  <si>
    <t>Female Master 1 Equipped Single-Ply AAPF: 40-44</t>
  </si>
  <si>
    <t>Female Master 2 Raw APF: 45-49</t>
  </si>
  <si>
    <t>Female Master 2 Raw AAPF: 45-49</t>
  </si>
  <si>
    <t>F_MCR_2_APF</t>
  </si>
  <si>
    <t>Female Master 2 Classic Raw APF: 45-49</t>
  </si>
  <si>
    <t>F_MCR_2_AAPF</t>
  </si>
  <si>
    <t>Female Master 2 Classic Raw AAPF: 45-49</t>
  </si>
  <si>
    <t>Female Master 2 Equipped Mulitply APF: 45-49</t>
  </si>
  <si>
    <t>Female Master 2 Equipped Multiply AAPF: 45-49</t>
  </si>
  <si>
    <t>Female Master 2 Equipped Single-Ply APF: 45-49</t>
  </si>
  <si>
    <t>Female Master 2 Equipped Sinlge-Ply AAPF: 45-49</t>
  </si>
  <si>
    <t>Female Master 3 Raw APF: 50-54</t>
  </si>
  <si>
    <t>Female Master 3 Raw AAPF: 50-54</t>
  </si>
  <si>
    <t>F_MCR_3_APF</t>
  </si>
  <si>
    <t>Female Master 3 Classic Raw APF: 50-54</t>
  </si>
  <si>
    <t>F_MCR_3_AAPF</t>
  </si>
  <si>
    <t>Female Master 3 Classic Raw AAPF: 50-54</t>
  </si>
  <si>
    <t>Female Master 3 Equipped Mulitply APF: 50-54</t>
  </si>
  <si>
    <t>Female Master 3 Equipped Multiply AAPF: 50-54</t>
  </si>
  <si>
    <t>Female Master 3 Equipped Single-Ply APF: 50-54</t>
  </si>
  <si>
    <t>Female Master 3 Equipped Single-Ply AAPF: 50-54</t>
  </si>
  <si>
    <t>Female Master 4 Raw APF: 55-59</t>
  </si>
  <si>
    <t>Female Master 4 Raw AAPF: 55-59</t>
  </si>
  <si>
    <t>F_MCR_4_APF</t>
  </si>
  <si>
    <t>Female Master 4 Classic Raw APF: 55-59</t>
  </si>
  <si>
    <t>F_MCR_4_AAPF</t>
  </si>
  <si>
    <t>Female Master 4 Classic Raw AAPF: 55-59</t>
  </si>
  <si>
    <t>Female Master 4 Equipped Mulitply APF: 55-59</t>
  </si>
  <si>
    <t>Female Master 4 Equipped Multiply AAPF: 55-59</t>
  </si>
  <si>
    <t>Female Master 4 Equipped Single-Ply APF: 55-59</t>
  </si>
  <si>
    <t>Female Master 4 Equipped Single-Ply AAPF: 55-59</t>
  </si>
  <si>
    <t>Female Master 5 Raw APF: 60-64</t>
  </si>
  <si>
    <t>Female Master 5 Raw AAPF: 60-64</t>
  </si>
  <si>
    <t>F_MCR_5_APF</t>
  </si>
  <si>
    <t>Female Master 5 Classic Raw APF: 60-64</t>
  </si>
  <si>
    <t>F_MCR_5_AAPF</t>
  </si>
  <si>
    <t>Female Master 5 Classic Raw AAPF: 60-64</t>
  </si>
  <si>
    <t>Female Master 5 Equipped Multiply APF: 60-64</t>
  </si>
  <si>
    <t>Female Master 5 Equipped Multiply AAPF: 60-64</t>
  </si>
  <si>
    <t>Female Master 5 Equipped Single-Ply APF: 60-64</t>
  </si>
  <si>
    <t>Female Master 5 Equipped Single-Ply AAPF: 60-64</t>
  </si>
  <si>
    <t>Female Master 6 Raw APF: 65-69</t>
  </si>
  <si>
    <t>Female Master 6 Raw AAPF: 65-69</t>
  </si>
  <si>
    <t>F_MCR_6_APF</t>
  </si>
  <si>
    <t>Female Master 6 Classic Raw APF: 65-69</t>
  </si>
  <si>
    <t>F_MCR_6_AAPF</t>
  </si>
  <si>
    <t>Female Master 6 Classic Raw AAPF: 65-69</t>
  </si>
  <si>
    <t>Female Master 6 Equipped Multiply APF: 65-69</t>
  </si>
  <si>
    <t>Female Master 6 Equipped Multiply AAPF: 65-69</t>
  </si>
  <si>
    <t>Female Master 6 Equipped Single-Ply APF: 65-69</t>
  </si>
  <si>
    <t>Female Master 6 Equipped Single-Ply AAPF: 65-69</t>
  </si>
  <si>
    <t>Female Master 7 Raw APF: 70-74</t>
  </si>
  <si>
    <t>Female Master 7 Raw AAPF: 70-74</t>
  </si>
  <si>
    <t>F_MCR_7_APF</t>
  </si>
  <si>
    <t>Female Master 7 Classic Raw APF: 70-74</t>
  </si>
  <si>
    <t>F_MCR_7_AAPF</t>
  </si>
  <si>
    <t>Female Master 7 Classic Raw AAPF: 70-74</t>
  </si>
  <si>
    <t>Female Master 7 Equipped Multiply APF: 70-74</t>
  </si>
  <si>
    <t>Female Master 7 Equipped Multiply AAPF: 70-74</t>
  </si>
  <si>
    <t>Female Master 7 Equipped Single-Ply APF: 70-74</t>
  </si>
  <si>
    <t>Female Master 7 Equipped Single-Ply AAPF: 70-74</t>
  </si>
  <si>
    <t>Female Master 8 Raw APF: 75-79</t>
  </si>
  <si>
    <t>Female Master 8 Raw AAPF: 75-79</t>
  </si>
  <si>
    <t>F_MCR_8_APF</t>
  </si>
  <si>
    <t>Female Master 8 Classic Raw APF: 75-79</t>
  </si>
  <si>
    <t>F_MCR_8_AAPF</t>
  </si>
  <si>
    <t>Female Master 8 Classic Raw AAPF: 75-79</t>
  </si>
  <si>
    <t>Female Master 8 Equipped Mulitply APF: 75-79</t>
  </si>
  <si>
    <t>Female Master 8 Equipped Multiply AAPF: 75-79</t>
  </si>
  <si>
    <t>Female Master 8 Equipped Single-Ply  APF: 75-79</t>
  </si>
  <si>
    <t>Female Master 8 Equipped Single-Ply AAPF: 75-79</t>
  </si>
  <si>
    <t>Female Master 9 Raw APF: 80+</t>
  </si>
  <si>
    <t>Female Master 9 Raw AAPF: 80+</t>
  </si>
  <si>
    <t>F_MCR_9_APF</t>
  </si>
  <si>
    <t>Female Master 9 Classic Raw APF: 80+</t>
  </si>
  <si>
    <t>F_MCR_9_AAPF</t>
  </si>
  <si>
    <t>Female Master 9 Classic Raw AAPF: 80+</t>
  </si>
  <si>
    <t>Female Master 9 Equipped Multiply APF: 80+</t>
  </si>
  <si>
    <t>Female Master 9 Equipped Multiply AAPF: 80+</t>
  </si>
  <si>
    <t>Female Master 9 Equipped Single-Ply APF: 80+</t>
  </si>
  <si>
    <t>Female Master 9 Equipped Single-Ply AAPF: 80+</t>
  </si>
  <si>
    <t>Nora Langdon</t>
  </si>
  <si>
    <t>Amy Lindsey</t>
  </si>
  <si>
    <t>Jill Jansen</t>
  </si>
  <si>
    <t>Kitty Wood</t>
  </si>
  <si>
    <t>Kayla Richie</t>
  </si>
  <si>
    <t>Kelli Holschuh</t>
  </si>
  <si>
    <t>Amanda Barr</t>
  </si>
  <si>
    <t>Renee Laffitte</t>
  </si>
  <si>
    <t>Keali Heileman</t>
  </si>
  <si>
    <t>Christine Steinmetz</t>
  </si>
  <si>
    <t>Brianna Maisen</t>
  </si>
  <si>
    <t>Johanna Heslop</t>
  </si>
  <si>
    <t>Lori Fowler</t>
  </si>
  <si>
    <t>Ken Dilg</t>
  </si>
  <si>
    <t>Chris Lindsey</t>
  </si>
  <si>
    <t>Edward King</t>
  </si>
  <si>
    <t>Jered Moreland</t>
  </si>
  <si>
    <t>Ryan Abramowicz</t>
  </si>
  <si>
    <t>Robert Abramowicz</t>
  </si>
  <si>
    <t>Marlin Outley</t>
  </si>
  <si>
    <t>Kelvin Shaw</t>
  </si>
  <si>
    <t>Anthony Celini</t>
  </si>
  <si>
    <t>Joseph Parus</t>
  </si>
  <si>
    <t>Max Aidenbaum</t>
  </si>
  <si>
    <t>John Maison</t>
  </si>
  <si>
    <t>Patrick Linton</t>
  </si>
  <si>
    <t>John Fricke</t>
  </si>
  <si>
    <t>Jordan Barr</t>
  </si>
  <si>
    <t>Liz Dudek</t>
  </si>
  <si>
    <t>Abigail Allen</t>
  </si>
  <si>
    <t>Chloe Darnell</t>
  </si>
  <si>
    <t>Lindsey Corso</t>
  </si>
  <si>
    <t>Wt (kg)</t>
  </si>
  <si>
    <t>Erika Crawford</t>
  </si>
  <si>
    <t>Katherine Rothley</t>
  </si>
  <si>
    <t>Sean C. Hartzell</t>
  </si>
  <si>
    <t>Jenna Wandtke</t>
  </si>
  <si>
    <t>Bryon Peregord</t>
  </si>
  <si>
    <t>1-</t>
  </si>
  <si>
    <t>2-</t>
  </si>
  <si>
    <t>3-</t>
  </si>
  <si>
    <t>4-</t>
  </si>
  <si>
    <t>5-</t>
  </si>
  <si>
    <t>6-</t>
  </si>
  <si>
    <t>7-</t>
  </si>
  <si>
    <t>8-</t>
  </si>
  <si>
    <t>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</si>
</sst>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"/>
    <numFmt numFmtId="167" formatCode="0.00000000000"/>
    <numFmt numFmtId="168" formatCode="0.000000000"/>
    <numFmt numFmtId="169" formatCode="#,##0.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54"/>
      <name val="Arial"/>
      <family val="2"/>
    </font>
    <font>
      <sz val="54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01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7" fillId="0" borderId="0"/>
    <xf numFmtId="0" fontId="49" fillId="0" borderId="0" applyNumberFormat="0" applyFill="0" applyBorder="0" applyAlignment="0" applyProtection="0"/>
    <xf numFmtId="0" fontId="50" fillId="0" borderId="62" applyNumberFormat="0" applyFill="0" applyAlignment="0" applyProtection="0"/>
    <xf numFmtId="0" fontId="5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0" applyNumberFormat="0" applyFill="0" applyBorder="0" applyAlignment="0" applyProtection="0"/>
    <xf numFmtId="0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65" applyNumberFormat="0" applyAlignment="0" applyProtection="0"/>
    <xf numFmtId="0" fontId="57" fillId="15" borderId="66" applyNumberFormat="0" applyAlignment="0" applyProtection="0"/>
    <xf numFmtId="0" fontId="58" fillId="15" borderId="65" applyNumberFormat="0" applyAlignment="0" applyProtection="0"/>
    <xf numFmtId="0" fontId="59" fillId="0" borderId="67" applyNumberFormat="0" applyFill="0" applyAlignment="0" applyProtection="0"/>
    <xf numFmtId="0" fontId="60" fillId="16" borderId="68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70" applyNumberFormat="0" applyFill="0" applyAlignment="0" applyProtection="0"/>
    <xf numFmtId="0" fontId="6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0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1" fillId="2" borderId="0" xfId="0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9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9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3" fillId="2" borderId="0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166" fontId="18" fillId="0" borderId="0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9" fillId="0" borderId="17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6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4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9" fillId="2" borderId="21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6" fillId="8" borderId="2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left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 applyProtection="1">
      <alignment horizontal="center" shrinkToFit="1"/>
      <protection locked="0"/>
    </xf>
    <xf numFmtId="2" fontId="18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9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1" fillId="2" borderId="12" xfId="0" applyFont="1" applyFill="1" applyBorder="1" applyProtection="1"/>
    <xf numFmtId="0" fontId="18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18" fillId="2" borderId="18" xfId="0" applyFont="1" applyFill="1" applyBorder="1" applyProtection="1"/>
    <xf numFmtId="0" fontId="18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1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19" fillId="2" borderId="22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23" fillId="0" borderId="1" xfId="0" applyFont="1" applyBorder="1" applyAlignment="1">
      <alignment horizontal="center"/>
    </xf>
    <xf numFmtId="0" fontId="30" fillId="8" borderId="0" xfId="0" applyFont="1" applyFill="1" applyBorder="1" applyProtection="1">
      <protection locked="0"/>
    </xf>
    <xf numFmtId="0" fontId="30" fillId="8" borderId="0" xfId="0" applyFont="1" applyFill="1" applyBorder="1" applyAlignment="1" applyProtection="1">
      <alignment horizontal="center"/>
      <protection locked="0"/>
    </xf>
    <xf numFmtId="0" fontId="30" fillId="8" borderId="0" xfId="0" applyFont="1" applyFill="1" applyProtection="1"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32" fillId="8" borderId="0" xfId="0" applyFont="1" applyFill="1" applyBorder="1" applyAlignment="1" applyProtection="1">
      <alignment horizontal="center" wrapText="1"/>
      <protection locked="0"/>
    </xf>
    <xf numFmtId="0" fontId="30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0" fillId="8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left" vertical="center" wrapText="1"/>
    </xf>
    <xf numFmtId="0" fontId="30" fillId="8" borderId="0" xfId="0" applyFont="1" applyFill="1" applyAlignment="1" applyProtection="1">
      <alignment horizontal="center"/>
    </xf>
    <xf numFmtId="0" fontId="30" fillId="8" borderId="0" xfId="0" applyFont="1" applyFill="1" applyProtection="1"/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wrapText="1"/>
    </xf>
    <xf numFmtId="0" fontId="36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 vertical="center" wrapText="1"/>
    </xf>
    <xf numFmtId="0" fontId="30" fillId="8" borderId="0" xfId="0" applyFont="1" applyFill="1" applyAlignment="1" applyProtection="1">
      <alignment horizontal="left" vertical="center"/>
      <protection locked="0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left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  <protection locked="0"/>
    </xf>
    <xf numFmtId="0" fontId="30" fillId="8" borderId="0" xfId="0" applyFont="1" applyFill="1" applyBorder="1" applyAlignment="1" applyProtection="1">
      <alignment horizontal="center" vertical="center" wrapText="1"/>
      <protection locked="0"/>
    </xf>
    <xf numFmtId="15" fontId="13" fillId="0" borderId="23" xfId="0" applyNumberFormat="1" applyFont="1" applyBorder="1" applyAlignment="1" applyProtection="1">
      <alignment horizontal="center" shrinkToFi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2" fontId="19" fillId="0" borderId="28" xfId="0" applyNumberFormat="1" applyFont="1" applyFill="1" applyBorder="1" applyAlignment="1" applyProtection="1">
      <alignment horizontal="center" vertical="center" wrapText="1"/>
    </xf>
    <xf numFmtId="166" fontId="19" fillId="0" borderId="28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0" fontId="37" fillId="0" borderId="0" xfId="0" applyFont="1" applyBorder="1" applyProtection="1"/>
    <xf numFmtId="0" fontId="38" fillId="2" borderId="22" xfId="0" applyFont="1" applyFill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/>
    </xf>
    <xf numFmtId="0" fontId="37" fillId="0" borderId="1" xfId="0" applyFont="1" applyBorder="1" applyProtection="1"/>
    <xf numFmtId="168" fontId="14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9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wrapText="1"/>
    </xf>
    <xf numFmtId="165" fontId="39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5" fillId="8" borderId="0" xfId="0" applyNumberFormat="1" applyFont="1" applyFill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2" fillId="0" borderId="1" xfId="2" applyNumberFormat="1" applyFont="1" applyBorder="1" applyAlignment="1">
      <alignment horizontal="center" wrapText="1"/>
    </xf>
    <xf numFmtId="0" fontId="40" fillId="2" borderId="1" xfId="2" applyFont="1" applyFill="1" applyBorder="1" applyAlignment="1" applyProtection="1">
      <alignment horizontal="center" wrapText="1"/>
      <protection locked="0"/>
    </xf>
    <xf numFmtId="0" fontId="40" fillId="0" borderId="1" xfId="2" applyFont="1" applyFill="1" applyBorder="1" applyAlignment="1" applyProtection="1">
      <alignment horizontal="center" wrapText="1"/>
      <protection locked="0"/>
    </xf>
    <xf numFmtId="0" fontId="41" fillId="0" borderId="0" xfId="2" applyAlignment="1">
      <alignment horizontal="center" wrapText="1"/>
    </xf>
    <xf numFmtId="0" fontId="41" fillId="0" borderId="0" xfId="2" applyAlignment="1">
      <alignment wrapText="1"/>
    </xf>
    <xf numFmtId="164" fontId="42" fillId="0" borderId="1" xfId="2" applyNumberFormat="1" applyFont="1" applyBorder="1" applyAlignment="1" applyProtection="1">
      <alignment horizontal="center"/>
      <protection locked="0"/>
    </xf>
    <xf numFmtId="0" fontId="40" fillId="2" borderId="1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 applyAlignment="1" applyProtection="1">
      <alignment horizontal="center"/>
      <protection locked="0"/>
    </xf>
    <xf numFmtId="0" fontId="41" fillId="0" borderId="0" xfId="2" applyAlignment="1">
      <alignment horizontal="center"/>
    </xf>
    <xf numFmtId="0" fontId="41" fillId="0" borderId="0" xfId="2"/>
    <xf numFmtId="164" fontId="42" fillId="0" borderId="1" xfId="2" applyNumberFormat="1" applyFont="1" applyBorder="1" applyAlignment="1">
      <alignment horizontal="center"/>
    </xf>
    <xf numFmtId="0" fontId="23" fillId="0" borderId="0" xfId="2" applyFont="1" applyAlignment="1">
      <alignment horizontal="center"/>
    </xf>
    <xf numFmtId="0" fontId="8" fillId="2" borderId="0" xfId="2" applyFont="1" applyFill="1"/>
    <xf numFmtId="0" fontId="8" fillId="0" borderId="0" xfId="2" applyFont="1" applyFill="1"/>
    <xf numFmtId="0" fontId="9" fillId="2" borderId="1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Fill="1" applyBorder="1" applyAlignment="1" applyProtection="1">
      <alignment horizontal="center"/>
    </xf>
    <xf numFmtId="0" fontId="43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5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 vertical="center" shrinkToFit="1"/>
    </xf>
    <xf numFmtId="164" fontId="24" fillId="0" borderId="8" xfId="0" applyNumberFormat="1" applyFont="1" applyFill="1" applyBorder="1" applyAlignment="1" applyProtection="1">
      <alignment vertical="center" shrinkToFit="1"/>
    </xf>
    <xf numFmtId="164" fontId="24" fillId="0" borderId="39" xfId="0" applyNumberFormat="1" applyFont="1" applyFill="1" applyBorder="1" applyAlignment="1" applyProtection="1">
      <alignment vertical="center" shrinkToFit="1"/>
    </xf>
    <xf numFmtId="164" fontId="24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18" fillId="0" borderId="0" xfId="0" applyNumberFormat="1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2" borderId="1" xfId="46" applyFont="1" applyFill="1" applyBorder="1" applyAlignment="1">
      <alignment horizontal="center"/>
    </xf>
    <xf numFmtId="0" fontId="9" fillId="2" borderId="2" xfId="46" applyFont="1" applyFill="1" applyBorder="1" applyAlignment="1">
      <alignment horizontal="center"/>
    </xf>
    <xf numFmtId="0" fontId="9" fillId="2" borderId="3" xfId="46" applyFont="1" applyFill="1" applyBorder="1" applyAlignment="1">
      <alignment horizontal="center"/>
    </xf>
    <xf numFmtId="0" fontId="8" fillId="2" borderId="1" xfId="46" applyFill="1" applyBorder="1" applyAlignment="1">
      <alignment horizontal="center"/>
    </xf>
    <xf numFmtId="0" fontId="8" fillId="0" borderId="1" xfId="46" applyFill="1" applyBorder="1" applyAlignment="1" applyProtection="1">
      <alignment horizontal="center"/>
      <protection locked="0"/>
    </xf>
    <xf numFmtId="0" fontId="8" fillId="0" borderId="0" xfId="46" applyFont="1" applyProtection="1">
      <protection locked="0"/>
    </xf>
    <xf numFmtId="0" fontId="8" fillId="0" borderId="0" xfId="0" applyFont="1" applyBorder="1" applyAlignment="1">
      <alignment horizontal="left"/>
    </xf>
    <xf numFmtId="0" fontId="0" fillId="0" borderId="61" xfId="0" applyBorder="1"/>
    <xf numFmtId="0" fontId="65" fillId="0" borderId="0" xfId="46" applyFont="1" applyBorder="1" applyAlignment="1">
      <alignment horizontal="left" vertical="top"/>
    </xf>
    <xf numFmtId="0" fontId="8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105" applyFill="1" applyBorder="1" applyAlignment="1" applyProtection="1">
      <alignment horizontal="left"/>
      <protection locked="0"/>
    </xf>
    <xf numFmtId="0" fontId="6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8" fillId="0" borderId="0" xfId="0" quotePrefix="1" applyFont="1" applyFill="1"/>
    <xf numFmtId="0" fontId="8" fillId="0" borderId="0" xfId="0" applyFont="1" applyFill="1"/>
    <xf numFmtId="0" fontId="0" fillId="0" borderId="1" xfId="0" applyFont="1" applyFill="1" applyBorder="1" applyAlignment="1" applyProtection="1">
      <alignment horizontal="left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9" fontId="0" fillId="0" borderId="1" xfId="0" applyNumberFormat="1" applyFill="1" applyBorder="1" applyAlignment="1" applyProtection="1">
      <alignment horizontal="center"/>
      <protection locked="0"/>
    </xf>
    <xf numFmtId="0" fontId="68" fillId="0" borderId="1" xfId="0" applyFont="1" applyFill="1" applyBorder="1" applyAlignment="1" applyProtection="1">
      <alignment horizontal="left"/>
      <protection locked="0"/>
    </xf>
    <xf numFmtId="0" fontId="68" fillId="0" borderId="1" xfId="0" applyFont="1" applyFill="1" applyBorder="1" applyAlignment="1" applyProtection="1">
      <alignment horizontal="center"/>
      <protection locked="0"/>
    </xf>
    <xf numFmtId="49" fontId="68" fillId="0" borderId="1" xfId="0" applyNumberFormat="1" applyFont="1" applyFill="1" applyBorder="1" applyAlignment="1" applyProtection="1">
      <alignment horizontal="center"/>
      <protection locked="0"/>
    </xf>
    <xf numFmtId="169" fontId="68" fillId="0" borderId="1" xfId="0" applyNumberFormat="1" applyFont="1" applyFill="1" applyBorder="1" applyAlignment="1" applyProtection="1">
      <alignment horizontal="center"/>
      <protection locked="0"/>
    </xf>
    <xf numFmtId="164" fontId="68" fillId="0" borderId="1" xfId="0" applyNumberFormat="1" applyFont="1" applyFill="1" applyBorder="1" applyAlignment="1" applyProtection="1">
      <alignment horizontal="center"/>
      <protection locked="0"/>
    </xf>
    <xf numFmtId="0" fontId="68" fillId="0" borderId="10" xfId="0" applyFont="1" applyFill="1" applyBorder="1" applyAlignment="1" applyProtection="1">
      <alignment horizontal="right"/>
      <protection locked="0"/>
    </xf>
    <xf numFmtId="0" fontId="68" fillId="0" borderId="13" xfId="0" applyFont="1" applyFill="1" applyBorder="1" applyAlignment="1" applyProtection="1">
      <alignment horizontal="left"/>
      <protection locked="0"/>
    </xf>
    <xf numFmtId="0" fontId="68" fillId="0" borderId="1" xfId="0" applyFont="1" applyBorder="1" applyAlignment="1" applyProtection="1">
      <alignment horizontal="left"/>
      <protection locked="0"/>
    </xf>
    <xf numFmtId="0" fontId="68" fillId="0" borderId="13" xfId="0" applyFont="1" applyBorder="1" applyAlignment="1" applyProtection="1">
      <alignment horizontal="left"/>
      <protection locked="0"/>
    </xf>
    <xf numFmtId="169" fontId="68" fillId="0" borderId="10" xfId="0" applyNumberFormat="1" applyFont="1" applyFill="1" applyBorder="1" applyAlignment="1" applyProtection="1">
      <alignment horizontal="center"/>
      <protection locked="0"/>
    </xf>
    <xf numFmtId="169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2" borderId="50" xfId="0" applyNumberFormat="1" applyFont="1" applyFill="1" applyBorder="1" applyAlignment="1">
      <alignment horizontal="center" vertical="center"/>
    </xf>
    <xf numFmtId="164" fontId="68" fillId="0" borderId="50" xfId="0" applyNumberFormat="1" applyFont="1" applyFill="1" applyBorder="1" applyAlignment="1" applyProtection="1">
      <alignment horizontal="center"/>
      <protection locked="0"/>
    </xf>
    <xf numFmtId="169" fontId="68" fillId="0" borderId="10" xfId="0" quotePrefix="1" applyNumberFormat="1" applyFont="1" applyFill="1" applyBorder="1" applyAlignment="1" applyProtection="1">
      <alignment horizontal="center"/>
      <protection locked="0"/>
    </xf>
    <xf numFmtId="0" fontId="68" fillId="0" borderId="50" xfId="0" applyNumberFormat="1" applyFont="1" applyFill="1" applyBorder="1" applyAlignment="1" applyProtection="1">
      <alignment horizontal="center"/>
      <protection locked="0"/>
    </xf>
    <xf numFmtId="0" fontId="68" fillId="0" borderId="54" xfId="0" applyNumberFormat="1" applyFont="1" applyFill="1" applyBorder="1" applyAlignment="1" applyProtection="1">
      <alignment horizontal="center"/>
      <protection locked="0"/>
    </xf>
    <xf numFmtId="169" fontId="68" fillId="0" borderId="6" xfId="0" applyNumberFormat="1" applyFont="1" applyFill="1" applyBorder="1" applyAlignment="1" applyProtection="1">
      <alignment horizontal="center"/>
      <protection locked="0"/>
    </xf>
    <xf numFmtId="164" fontId="68" fillId="0" borderId="6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49" fontId="15" fillId="2" borderId="1" xfId="0" applyNumberFormat="1" applyFont="1" applyFill="1" applyBorder="1" applyAlignment="1" applyProtection="1">
      <alignment horizontal="center" wrapText="1"/>
      <protection locked="0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2" fillId="8" borderId="42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2" fillId="8" borderId="43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8" borderId="30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2" borderId="8" xfId="44" applyFont="1" applyFill="1" applyBorder="1" applyAlignment="1" applyProtection="1">
      <alignment horizontal="center" vertical="center" shrinkToFit="1"/>
      <protection locked="0"/>
    </xf>
    <xf numFmtId="0" fontId="28" fillId="2" borderId="39" xfId="44" applyFont="1" applyFill="1" applyBorder="1" applyAlignment="1" applyProtection="1">
      <alignment horizontal="center" vertical="center" shrinkToFit="1"/>
      <protection locked="0"/>
    </xf>
    <xf numFmtId="0" fontId="28" fillId="2" borderId="19" xfId="44" applyFont="1" applyFill="1" applyBorder="1" applyAlignment="1" applyProtection="1">
      <alignment horizontal="center" vertical="center" shrinkToFit="1"/>
      <protection locked="0"/>
    </xf>
    <xf numFmtId="15" fontId="28" fillId="2" borderId="8" xfId="46" applyNumberFormat="1" applyFont="1" applyFill="1" applyBorder="1" applyAlignment="1">
      <alignment horizontal="center" vertical="center" shrinkToFit="1"/>
    </xf>
    <xf numFmtId="0" fontId="28" fillId="2" borderId="39" xfId="46" applyFont="1" applyFill="1" applyBorder="1" applyAlignment="1">
      <alignment horizontal="center" vertical="center" shrinkToFit="1"/>
    </xf>
    <xf numFmtId="0" fontId="28" fillId="2" borderId="19" xfId="46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2" fillId="8" borderId="46" xfId="0" applyFont="1" applyFill="1" applyBorder="1" applyAlignment="1" applyProtection="1">
      <alignment horizontal="center" vertical="center" shrinkToFit="1"/>
      <protection locked="0"/>
    </xf>
    <xf numFmtId="0" fontId="22" fillId="8" borderId="47" xfId="0" applyFont="1" applyFill="1" applyBorder="1" applyAlignment="1" applyProtection="1">
      <alignment horizontal="center" vertical="center" shrinkToFit="1"/>
      <protection locked="0"/>
    </xf>
    <xf numFmtId="0" fontId="22" fillId="8" borderId="48" xfId="0" applyFont="1" applyFill="1" applyBorder="1" applyAlignment="1" applyProtection="1">
      <alignment horizontal="center" vertical="center" shrinkToFit="1"/>
      <protection locked="0"/>
    </xf>
    <xf numFmtId="0" fontId="22" fillId="8" borderId="30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22" fillId="8" borderId="38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7" fillId="6" borderId="21" xfId="0" applyFont="1" applyFill="1" applyBorder="1" applyAlignment="1" applyProtection="1">
      <alignment horizontal="center" vertical="center" shrinkToFit="1"/>
    </xf>
    <xf numFmtId="0" fontId="17" fillId="6" borderId="55" xfId="0" applyFont="1" applyFill="1" applyBorder="1" applyAlignment="1" applyProtection="1">
      <alignment horizontal="center" vertical="center" shrinkToFit="1"/>
    </xf>
    <xf numFmtId="0" fontId="44" fillId="0" borderId="8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164" fontId="16" fillId="9" borderId="32" xfId="0" applyNumberFormat="1" applyFont="1" applyFill="1" applyBorder="1" applyAlignment="1" applyProtection="1">
      <alignment horizontal="center" vertical="center"/>
    </xf>
    <xf numFmtId="0" fontId="17" fillId="6" borderId="25" xfId="0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16" fillId="9" borderId="8" xfId="0" applyNumberFormat="1" applyFont="1" applyFill="1" applyBorder="1" applyAlignment="1" applyProtection="1">
      <alignment horizontal="center" vertical="center"/>
    </xf>
    <xf numFmtId="164" fontId="16" fillId="9" borderId="39" xfId="0" applyNumberFormat="1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164" fontId="21" fillId="10" borderId="39" xfId="0" applyNumberFormat="1" applyFont="1" applyFill="1" applyBorder="1" applyAlignment="1" applyProtection="1">
      <alignment horizontal="center" vertical="center" shrinkToFit="1"/>
      <protection locked="0"/>
    </xf>
    <xf numFmtId="164" fontId="46" fillId="0" borderId="58" xfId="0" applyNumberFormat="1" applyFont="1" applyBorder="1" applyAlignment="1">
      <alignment horizontal="right" vertical="center"/>
    </xf>
    <xf numFmtId="164" fontId="46" fillId="0" borderId="0" xfId="0" applyNumberFormat="1" applyFont="1" applyBorder="1" applyAlignment="1">
      <alignment horizontal="right" vertical="center"/>
    </xf>
    <xf numFmtId="164" fontId="46" fillId="0" borderId="27" xfId="0" applyNumberFormat="1" applyFont="1" applyBorder="1" applyAlignment="1">
      <alignment horizontal="right" vertical="center"/>
    </xf>
    <xf numFmtId="164" fontId="46" fillId="0" borderId="7" xfId="0" applyNumberFormat="1" applyFont="1" applyBorder="1" applyAlignment="1">
      <alignment horizontal="right" vertical="center"/>
    </xf>
    <xf numFmtId="0" fontId="47" fillId="0" borderId="0" xfId="0" applyFont="1" applyBorder="1" applyAlignment="1">
      <alignment horizontal="left" vertical="center"/>
    </xf>
    <xf numFmtId="0" fontId="47" fillId="0" borderId="61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center"/>
    </xf>
    <xf numFmtId="0" fontId="46" fillId="0" borderId="47" xfId="0" applyFont="1" applyBorder="1" applyAlignment="1">
      <alignment horizontal="left" vertical="center"/>
    </xf>
    <xf numFmtId="0" fontId="46" fillId="0" borderId="71" xfId="0" applyFont="1" applyBorder="1" applyAlignment="1">
      <alignment horizontal="left" vertical="center"/>
    </xf>
    <xf numFmtId="0" fontId="46" fillId="0" borderId="58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61" xfId="0" applyFont="1" applyBorder="1" applyAlignment="1">
      <alignment horizontal="left" vertical="center"/>
    </xf>
    <xf numFmtId="0" fontId="45" fillId="0" borderId="58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right" vertical="center"/>
    </xf>
    <xf numFmtId="0" fontId="45" fillId="0" borderId="61" xfId="0" applyFont="1" applyBorder="1" applyAlignment="1">
      <alignment horizontal="right" vertical="center"/>
    </xf>
    <xf numFmtId="0" fontId="46" fillId="0" borderId="58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65" fillId="0" borderId="58" xfId="46" applyFont="1" applyBorder="1" applyAlignment="1">
      <alignment horizontal="left" vertical="top"/>
    </xf>
    <xf numFmtId="0" fontId="65" fillId="0" borderId="0" xfId="46" applyFont="1" applyBorder="1" applyAlignment="1">
      <alignment horizontal="left" vertical="top"/>
    </xf>
    <xf numFmtId="0" fontId="45" fillId="0" borderId="0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3" fillId="0" borderId="8" xfId="0" applyFont="1" applyBorder="1" applyAlignment="1" applyProtection="1">
      <alignment horizontal="center" shrinkToFit="1"/>
      <protection locked="0"/>
    </xf>
    <xf numFmtId="0" fontId="13" fillId="0" borderId="39" xfId="0" applyFont="1" applyBorder="1" applyAlignment="1" applyProtection="1">
      <alignment horizontal="center" shrinkToFit="1"/>
      <protection locked="0"/>
    </xf>
    <xf numFmtId="0" fontId="13" fillId="0" borderId="19" xfId="0" applyFont="1" applyBorder="1" applyAlignment="1" applyProtection="1">
      <alignment horizontal="center" shrinkToFit="1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1016">
    <cellStyle name="20% - Accent1" xfId="21" builtinId="30" customBuiltin="1"/>
    <cellStyle name="20% - Accent1 2" xfId="51"/>
    <cellStyle name="20% - Accent1 2 2" xfId="80"/>
    <cellStyle name="20% - Accent1 2 2 2" xfId="141"/>
    <cellStyle name="20% - Accent1 2 2 2 2" xfId="262"/>
    <cellStyle name="20% - Accent1 2 2 2 2 2" xfId="503"/>
    <cellStyle name="20% - Accent1 2 2 2 2 2 2" xfId="984"/>
    <cellStyle name="20% - Accent1 2 2 2 2 3" xfId="744"/>
    <cellStyle name="20% - Accent1 2 2 2 3" xfId="383"/>
    <cellStyle name="20% - Accent1 2 2 2 3 2" xfId="864"/>
    <cellStyle name="20% - Accent1 2 2 2 4" xfId="624"/>
    <cellStyle name="20% - Accent1 2 2 3" xfId="202"/>
    <cellStyle name="20% - Accent1 2 2 3 2" xfId="443"/>
    <cellStyle name="20% - Accent1 2 2 3 2 2" xfId="924"/>
    <cellStyle name="20% - Accent1 2 2 3 3" xfId="684"/>
    <cellStyle name="20% - Accent1 2 2 4" xfId="323"/>
    <cellStyle name="20% - Accent1 2 2 4 2" xfId="804"/>
    <cellStyle name="20% - Accent1 2 2 5" xfId="564"/>
    <cellStyle name="20% - Accent1 2 3" xfId="112"/>
    <cellStyle name="20% - Accent1 2 3 2" xfId="233"/>
    <cellStyle name="20% - Accent1 2 3 2 2" xfId="474"/>
    <cellStyle name="20% - Accent1 2 3 2 2 2" xfId="955"/>
    <cellStyle name="20% - Accent1 2 3 2 3" xfId="715"/>
    <cellStyle name="20% - Accent1 2 3 3" xfId="354"/>
    <cellStyle name="20% - Accent1 2 3 3 2" xfId="835"/>
    <cellStyle name="20% - Accent1 2 3 4" xfId="595"/>
    <cellStyle name="20% - Accent1 2 4" xfId="173"/>
    <cellStyle name="20% - Accent1 2 4 2" xfId="414"/>
    <cellStyle name="20% - Accent1 2 4 2 2" xfId="895"/>
    <cellStyle name="20% - Accent1 2 4 3" xfId="655"/>
    <cellStyle name="20% - Accent1 2 5" xfId="294"/>
    <cellStyle name="20% - Accent1 2 5 2" xfId="775"/>
    <cellStyle name="20% - Accent1 2 6" xfId="535"/>
    <cellStyle name="20% - Accent1 3" xfId="64"/>
    <cellStyle name="20% - Accent1 3 2" xfId="125"/>
    <cellStyle name="20% - Accent1 3 2 2" xfId="246"/>
    <cellStyle name="20% - Accent1 3 2 2 2" xfId="487"/>
    <cellStyle name="20% - Accent1 3 2 2 2 2" xfId="968"/>
    <cellStyle name="20% - Accent1 3 2 2 3" xfId="728"/>
    <cellStyle name="20% - Accent1 3 2 3" xfId="367"/>
    <cellStyle name="20% - Accent1 3 2 3 2" xfId="848"/>
    <cellStyle name="20% - Accent1 3 2 4" xfId="608"/>
    <cellStyle name="20% - Accent1 3 3" xfId="186"/>
    <cellStyle name="20% - Accent1 3 3 2" xfId="427"/>
    <cellStyle name="20% - Accent1 3 3 2 2" xfId="908"/>
    <cellStyle name="20% - Accent1 3 3 3" xfId="668"/>
    <cellStyle name="20% - Accent1 3 4" xfId="307"/>
    <cellStyle name="20% - Accent1 3 4 2" xfId="788"/>
    <cellStyle name="20% - Accent1 3 5" xfId="548"/>
    <cellStyle name="20% - Accent1 4" xfId="93"/>
    <cellStyle name="20% - Accent1 4 2" xfId="215"/>
    <cellStyle name="20% - Accent1 4 2 2" xfId="456"/>
    <cellStyle name="20% - Accent1 4 2 2 2" xfId="937"/>
    <cellStyle name="20% - Accent1 4 2 3" xfId="697"/>
    <cellStyle name="20% - Accent1 4 3" xfId="336"/>
    <cellStyle name="20% - Accent1 4 3 2" xfId="817"/>
    <cellStyle name="20% - Accent1 4 4" xfId="577"/>
    <cellStyle name="20% - Accent1 5" xfId="154"/>
    <cellStyle name="20% - Accent1 5 2" xfId="396"/>
    <cellStyle name="20% - Accent1 5 2 2" xfId="877"/>
    <cellStyle name="20% - Accent1 5 3" xfId="637"/>
    <cellStyle name="20% - Accent1 6" xfId="275"/>
    <cellStyle name="20% - Accent1 6 2" xfId="757"/>
    <cellStyle name="20% - Accent1 7" xfId="516"/>
    <cellStyle name="20% - Accent2" xfId="25" builtinId="34" customBuiltin="1"/>
    <cellStyle name="20% - Accent2 2" xfId="53"/>
    <cellStyle name="20% - Accent2 2 2" xfId="82"/>
    <cellStyle name="20% - Accent2 2 2 2" xfId="143"/>
    <cellStyle name="20% - Accent2 2 2 2 2" xfId="264"/>
    <cellStyle name="20% - Accent2 2 2 2 2 2" xfId="505"/>
    <cellStyle name="20% - Accent2 2 2 2 2 2 2" xfId="986"/>
    <cellStyle name="20% - Accent2 2 2 2 2 3" xfId="746"/>
    <cellStyle name="20% - Accent2 2 2 2 3" xfId="385"/>
    <cellStyle name="20% - Accent2 2 2 2 3 2" xfId="866"/>
    <cellStyle name="20% - Accent2 2 2 2 4" xfId="626"/>
    <cellStyle name="20% - Accent2 2 2 3" xfId="204"/>
    <cellStyle name="20% - Accent2 2 2 3 2" xfId="445"/>
    <cellStyle name="20% - Accent2 2 2 3 2 2" xfId="926"/>
    <cellStyle name="20% - Accent2 2 2 3 3" xfId="686"/>
    <cellStyle name="20% - Accent2 2 2 4" xfId="325"/>
    <cellStyle name="20% - Accent2 2 2 4 2" xfId="806"/>
    <cellStyle name="20% - Accent2 2 2 5" xfId="566"/>
    <cellStyle name="20% - Accent2 2 3" xfId="114"/>
    <cellStyle name="20% - Accent2 2 3 2" xfId="235"/>
    <cellStyle name="20% - Accent2 2 3 2 2" xfId="476"/>
    <cellStyle name="20% - Accent2 2 3 2 2 2" xfId="957"/>
    <cellStyle name="20% - Accent2 2 3 2 3" xfId="717"/>
    <cellStyle name="20% - Accent2 2 3 3" xfId="356"/>
    <cellStyle name="20% - Accent2 2 3 3 2" xfId="837"/>
    <cellStyle name="20% - Accent2 2 3 4" xfId="597"/>
    <cellStyle name="20% - Accent2 2 4" xfId="175"/>
    <cellStyle name="20% - Accent2 2 4 2" xfId="416"/>
    <cellStyle name="20% - Accent2 2 4 2 2" xfId="897"/>
    <cellStyle name="20% - Accent2 2 4 3" xfId="657"/>
    <cellStyle name="20% - Accent2 2 5" xfId="296"/>
    <cellStyle name="20% - Accent2 2 5 2" xfId="777"/>
    <cellStyle name="20% - Accent2 2 6" xfId="537"/>
    <cellStyle name="20% - Accent2 3" xfId="66"/>
    <cellStyle name="20% - Accent2 3 2" xfId="127"/>
    <cellStyle name="20% - Accent2 3 2 2" xfId="248"/>
    <cellStyle name="20% - Accent2 3 2 2 2" xfId="489"/>
    <cellStyle name="20% - Accent2 3 2 2 2 2" xfId="970"/>
    <cellStyle name="20% - Accent2 3 2 2 3" xfId="730"/>
    <cellStyle name="20% - Accent2 3 2 3" xfId="369"/>
    <cellStyle name="20% - Accent2 3 2 3 2" xfId="850"/>
    <cellStyle name="20% - Accent2 3 2 4" xfId="610"/>
    <cellStyle name="20% - Accent2 3 3" xfId="188"/>
    <cellStyle name="20% - Accent2 3 3 2" xfId="429"/>
    <cellStyle name="20% - Accent2 3 3 2 2" xfId="910"/>
    <cellStyle name="20% - Accent2 3 3 3" xfId="670"/>
    <cellStyle name="20% - Accent2 3 4" xfId="309"/>
    <cellStyle name="20% - Accent2 3 4 2" xfId="790"/>
    <cellStyle name="20% - Accent2 3 5" xfId="550"/>
    <cellStyle name="20% - Accent2 4" xfId="95"/>
    <cellStyle name="20% - Accent2 4 2" xfId="217"/>
    <cellStyle name="20% - Accent2 4 2 2" xfId="458"/>
    <cellStyle name="20% - Accent2 4 2 2 2" xfId="939"/>
    <cellStyle name="20% - Accent2 4 2 3" xfId="699"/>
    <cellStyle name="20% - Accent2 4 3" xfId="338"/>
    <cellStyle name="20% - Accent2 4 3 2" xfId="819"/>
    <cellStyle name="20% - Accent2 4 4" xfId="579"/>
    <cellStyle name="20% - Accent2 5" xfId="156"/>
    <cellStyle name="20% - Accent2 5 2" xfId="398"/>
    <cellStyle name="20% - Accent2 5 2 2" xfId="879"/>
    <cellStyle name="20% - Accent2 5 3" xfId="639"/>
    <cellStyle name="20% - Accent2 6" xfId="277"/>
    <cellStyle name="20% - Accent2 6 2" xfId="759"/>
    <cellStyle name="20% - Accent2 7" xfId="518"/>
    <cellStyle name="20% - Accent3" xfId="29" builtinId="38" customBuiltin="1"/>
    <cellStyle name="20% - Accent3 2" xfId="55"/>
    <cellStyle name="20% - Accent3 2 2" xfId="84"/>
    <cellStyle name="20% - Accent3 2 2 2" xfId="145"/>
    <cellStyle name="20% - Accent3 2 2 2 2" xfId="266"/>
    <cellStyle name="20% - Accent3 2 2 2 2 2" xfId="507"/>
    <cellStyle name="20% - Accent3 2 2 2 2 2 2" xfId="988"/>
    <cellStyle name="20% - Accent3 2 2 2 2 3" xfId="748"/>
    <cellStyle name="20% - Accent3 2 2 2 3" xfId="387"/>
    <cellStyle name="20% - Accent3 2 2 2 3 2" xfId="868"/>
    <cellStyle name="20% - Accent3 2 2 2 4" xfId="628"/>
    <cellStyle name="20% - Accent3 2 2 3" xfId="206"/>
    <cellStyle name="20% - Accent3 2 2 3 2" xfId="447"/>
    <cellStyle name="20% - Accent3 2 2 3 2 2" xfId="928"/>
    <cellStyle name="20% - Accent3 2 2 3 3" xfId="688"/>
    <cellStyle name="20% - Accent3 2 2 4" xfId="327"/>
    <cellStyle name="20% - Accent3 2 2 4 2" xfId="808"/>
    <cellStyle name="20% - Accent3 2 2 5" xfId="568"/>
    <cellStyle name="20% - Accent3 2 3" xfId="116"/>
    <cellStyle name="20% - Accent3 2 3 2" xfId="237"/>
    <cellStyle name="20% - Accent3 2 3 2 2" xfId="478"/>
    <cellStyle name="20% - Accent3 2 3 2 2 2" xfId="959"/>
    <cellStyle name="20% - Accent3 2 3 2 3" xfId="719"/>
    <cellStyle name="20% - Accent3 2 3 3" xfId="358"/>
    <cellStyle name="20% - Accent3 2 3 3 2" xfId="839"/>
    <cellStyle name="20% - Accent3 2 3 4" xfId="599"/>
    <cellStyle name="20% - Accent3 2 4" xfId="177"/>
    <cellStyle name="20% - Accent3 2 4 2" xfId="418"/>
    <cellStyle name="20% - Accent3 2 4 2 2" xfId="899"/>
    <cellStyle name="20% - Accent3 2 4 3" xfId="659"/>
    <cellStyle name="20% - Accent3 2 5" xfId="298"/>
    <cellStyle name="20% - Accent3 2 5 2" xfId="779"/>
    <cellStyle name="20% - Accent3 2 6" xfId="539"/>
    <cellStyle name="20% - Accent3 3" xfId="68"/>
    <cellStyle name="20% - Accent3 3 2" xfId="129"/>
    <cellStyle name="20% - Accent3 3 2 2" xfId="250"/>
    <cellStyle name="20% - Accent3 3 2 2 2" xfId="491"/>
    <cellStyle name="20% - Accent3 3 2 2 2 2" xfId="972"/>
    <cellStyle name="20% - Accent3 3 2 2 3" xfId="732"/>
    <cellStyle name="20% - Accent3 3 2 3" xfId="371"/>
    <cellStyle name="20% - Accent3 3 2 3 2" xfId="852"/>
    <cellStyle name="20% - Accent3 3 2 4" xfId="612"/>
    <cellStyle name="20% - Accent3 3 3" xfId="190"/>
    <cellStyle name="20% - Accent3 3 3 2" xfId="431"/>
    <cellStyle name="20% - Accent3 3 3 2 2" xfId="912"/>
    <cellStyle name="20% - Accent3 3 3 3" xfId="672"/>
    <cellStyle name="20% - Accent3 3 4" xfId="311"/>
    <cellStyle name="20% - Accent3 3 4 2" xfId="792"/>
    <cellStyle name="20% - Accent3 3 5" xfId="552"/>
    <cellStyle name="20% - Accent3 4" xfId="97"/>
    <cellStyle name="20% - Accent3 4 2" xfId="219"/>
    <cellStyle name="20% - Accent3 4 2 2" xfId="460"/>
    <cellStyle name="20% - Accent3 4 2 2 2" xfId="941"/>
    <cellStyle name="20% - Accent3 4 2 3" xfId="701"/>
    <cellStyle name="20% - Accent3 4 3" xfId="340"/>
    <cellStyle name="20% - Accent3 4 3 2" xfId="821"/>
    <cellStyle name="20% - Accent3 4 4" xfId="581"/>
    <cellStyle name="20% - Accent3 5" xfId="158"/>
    <cellStyle name="20% - Accent3 5 2" xfId="400"/>
    <cellStyle name="20% - Accent3 5 2 2" xfId="881"/>
    <cellStyle name="20% - Accent3 5 3" xfId="641"/>
    <cellStyle name="20% - Accent3 6" xfId="279"/>
    <cellStyle name="20% - Accent3 6 2" xfId="761"/>
    <cellStyle name="20% - Accent3 7" xfId="520"/>
    <cellStyle name="20% - Accent4" xfId="33" builtinId="42" customBuiltin="1"/>
    <cellStyle name="20% - Accent4 2" xfId="57"/>
    <cellStyle name="20% - Accent4 2 2" xfId="86"/>
    <cellStyle name="20% - Accent4 2 2 2" xfId="147"/>
    <cellStyle name="20% - Accent4 2 2 2 2" xfId="268"/>
    <cellStyle name="20% - Accent4 2 2 2 2 2" xfId="509"/>
    <cellStyle name="20% - Accent4 2 2 2 2 2 2" xfId="990"/>
    <cellStyle name="20% - Accent4 2 2 2 2 3" xfId="750"/>
    <cellStyle name="20% - Accent4 2 2 2 3" xfId="389"/>
    <cellStyle name="20% - Accent4 2 2 2 3 2" xfId="870"/>
    <cellStyle name="20% - Accent4 2 2 2 4" xfId="630"/>
    <cellStyle name="20% - Accent4 2 2 3" xfId="208"/>
    <cellStyle name="20% - Accent4 2 2 3 2" xfId="449"/>
    <cellStyle name="20% - Accent4 2 2 3 2 2" xfId="930"/>
    <cellStyle name="20% - Accent4 2 2 3 3" xfId="690"/>
    <cellStyle name="20% - Accent4 2 2 4" xfId="329"/>
    <cellStyle name="20% - Accent4 2 2 4 2" xfId="810"/>
    <cellStyle name="20% - Accent4 2 2 5" xfId="570"/>
    <cellStyle name="20% - Accent4 2 3" xfId="118"/>
    <cellStyle name="20% - Accent4 2 3 2" xfId="239"/>
    <cellStyle name="20% - Accent4 2 3 2 2" xfId="480"/>
    <cellStyle name="20% - Accent4 2 3 2 2 2" xfId="961"/>
    <cellStyle name="20% - Accent4 2 3 2 3" xfId="721"/>
    <cellStyle name="20% - Accent4 2 3 3" xfId="360"/>
    <cellStyle name="20% - Accent4 2 3 3 2" xfId="841"/>
    <cellStyle name="20% - Accent4 2 3 4" xfId="601"/>
    <cellStyle name="20% - Accent4 2 4" xfId="179"/>
    <cellStyle name="20% - Accent4 2 4 2" xfId="420"/>
    <cellStyle name="20% - Accent4 2 4 2 2" xfId="901"/>
    <cellStyle name="20% - Accent4 2 4 3" xfId="661"/>
    <cellStyle name="20% - Accent4 2 5" xfId="300"/>
    <cellStyle name="20% - Accent4 2 5 2" xfId="781"/>
    <cellStyle name="20% - Accent4 2 6" xfId="541"/>
    <cellStyle name="20% - Accent4 3" xfId="70"/>
    <cellStyle name="20% - Accent4 3 2" xfId="131"/>
    <cellStyle name="20% - Accent4 3 2 2" xfId="252"/>
    <cellStyle name="20% - Accent4 3 2 2 2" xfId="493"/>
    <cellStyle name="20% - Accent4 3 2 2 2 2" xfId="974"/>
    <cellStyle name="20% - Accent4 3 2 2 3" xfId="734"/>
    <cellStyle name="20% - Accent4 3 2 3" xfId="373"/>
    <cellStyle name="20% - Accent4 3 2 3 2" xfId="854"/>
    <cellStyle name="20% - Accent4 3 2 4" xfId="614"/>
    <cellStyle name="20% - Accent4 3 3" xfId="192"/>
    <cellStyle name="20% - Accent4 3 3 2" xfId="433"/>
    <cellStyle name="20% - Accent4 3 3 2 2" xfId="914"/>
    <cellStyle name="20% - Accent4 3 3 3" xfId="674"/>
    <cellStyle name="20% - Accent4 3 4" xfId="313"/>
    <cellStyle name="20% - Accent4 3 4 2" xfId="794"/>
    <cellStyle name="20% - Accent4 3 5" xfId="554"/>
    <cellStyle name="20% - Accent4 4" xfId="99"/>
    <cellStyle name="20% - Accent4 4 2" xfId="221"/>
    <cellStyle name="20% - Accent4 4 2 2" xfId="462"/>
    <cellStyle name="20% - Accent4 4 2 2 2" xfId="943"/>
    <cellStyle name="20% - Accent4 4 2 3" xfId="703"/>
    <cellStyle name="20% - Accent4 4 3" xfId="342"/>
    <cellStyle name="20% - Accent4 4 3 2" xfId="823"/>
    <cellStyle name="20% - Accent4 4 4" xfId="583"/>
    <cellStyle name="20% - Accent4 5" xfId="160"/>
    <cellStyle name="20% - Accent4 5 2" xfId="402"/>
    <cellStyle name="20% - Accent4 5 2 2" xfId="883"/>
    <cellStyle name="20% - Accent4 5 3" xfId="643"/>
    <cellStyle name="20% - Accent4 6" xfId="281"/>
    <cellStyle name="20% - Accent4 6 2" xfId="763"/>
    <cellStyle name="20% - Accent4 7" xfId="522"/>
    <cellStyle name="20% - Accent5" xfId="37" builtinId="46" customBuiltin="1"/>
    <cellStyle name="20% - Accent5 2" xfId="59"/>
    <cellStyle name="20% - Accent5 2 2" xfId="88"/>
    <cellStyle name="20% - Accent5 2 2 2" xfId="149"/>
    <cellStyle name="20% - Accent5 2 2 2 2" xfId="270"/>
    <cellStyle name="20% - Accent5 2 2 2 2 2" xfId="511"/>
    <cellStyle name="20% - Accent5 2 2 2 2 2 2" xfId="992"/>
    <cellStyle name="20% - Accent5 2 2 2 2 3" xfId="752"/>
    <cellStyle name="20% - Accent5 2 2 2 3" xfId="391"/>
    <cellStyle name="20% - Accent5 2 2 2 3 2" xfId="872"/>
    <cellStyle name="20% - Accent5 2 2 2 4" xfId="632"/>
    <cellStyle name="20% - Accent5 2 2 3" xfId="210"/>
    <cellStyle name="20% - Accent5 2 2 3 2" xfId="451"/>
    <cellStyle name="20% - Accent5 2 2 3 2 2" xfId="932"/>
    <cellStyle name="20% - Accent5 2 2 3 3" xfId="692"/>
    <cellStyle name="20% - Accent5 2 2 4" xfId="331"/>
    <cellStyle name="20% - Accent5 2 2 4 2" xfId="812"/>
    <cellStyle name="20% - Accent5 2 2 5" xfId="572"/>
    <cellStyle name="20% - Accent5 2 3" xfId="120"/>
    <cellStyle name="20% - Accent5 2 3 2" xfId="241"/>
    <cellStyle name="20% - Accent5 2 3 2 2" xfId="482"/>
    <cellStyle name="20% - Accent5 2 3 2 2 2" xfId="963"/>
    <cellStyle name="20% - Accent5 2 3 2 3" xfId="723"/>
    <cellStyle name="20% - Accent5 2 3 3" xfId="362"/>
    <cellStyle name="20% - Accent5 2 3 3 2" xfId="843"/>
    <cellStyle name="20% - Accent5 2 3 4" xfId="603"/>
    <cellStyle name="20% - Accent5 2 4" xfId="181"/>
    <cellStyle name="20% - Accent5 2 4 2" xfId="422"/>
    <cellStyle name="20% - Accent5 2 4 2 2" xfId="903"/>
    <cellStyle name="20% - Accent5 2 4 3" xfId="663"/>
    <cellStyle name="20% - Accent5 2 5" xfId="302"/>
    <cellStyle name="20% - Accent5 2 5 2" xfId="783"/>
    <cellStyle name="20% - Accent5 2 6" xfId="543"/>
    <cellStyle name="20% - Accent5 3" xfId="72"/>
    <cellStyle name="20% - Accent5 3 2" xfId="133"/>
    <cellStyle name="20% - Accent5 3 2 2" xfId="254"/>
    <cellStyle name="20% - Accent5 3 2 2 2" xfId="495"/>
    <cellStyle name="20% - Accent5 3 2 2 2 2" xfId="976"/>
    <cellStyle name="20% - Accent5 3 2 2 3" xfId="736"/>
    <cellStyle name="20% - Accent5 3 2 3" xfId="375"/>
    <cellStyle name="20% - Accent5 3 2 3 2" xfId="856"/>
    <cellStyle name="20% - Accent5 3 2 4" xfId="616"/>
    <cellStyle name="20% - Accent5 3 3" xfId="194"/>
    <cellStyle name="20% - Accent5 3 3 2" xfId="435"/>
    <cellStyle name="20% - Accent5 3 3 2 2" xfId="916"/>
    <cellStyle name="20% - Accent5 3 3 3" xfId="676"/>
    <cellStyle name="20% - Accent5 3 4" xfId="315"/>
    <cellStyle name="20% - Accent5 3 4 2" xfId="796"/>
    <cellStyle name="20% - Accent5 3 5" xfId="556"/>
    <cellStyle name="20% - Accent5 4" xfId="101"/>
    <cellStyle name="20% - Accent5 4 2" xfId="223"/>
    <cellStyle name="20% - Accent5 4 2 2" xfId="464"/>
    <cellStyle name="20% - Accent5 4 2 2 2" xfId="945"/>
    <cellStyle name="20% - Accent5 4 2 3" xfId="705"/>
    <cellStyle name="20% - Accent5 4 3" xfId="344"/>
    <cellStyle name="20% - Accent5 4 3 2" xfId="825"/>
    <cellStyle name="20% - Accent5 4 4" xfId="585"/>
    <cellStyle name="20% - Accent5 5" xfId="162"/>
    <cellStyle name="20% - Accent5 5 2" xfId="404"/>
    <cellStyle name="20% - Accent5 5 2 2" xfId="885"/>
    <cellStyle name="20% - Accent5 5 3" xfId="645"/>
    <cellStyle name="20% - Accent5 6" xfId="283"/>
    <cellStyle name="20% - Accent5 6 2" xfId="765"/>
    <cellStyle name="20% - Accent5 7" xfId="524"/>
    <cellStyle name="20% - Accent6" xfId="41" builtinId="50" customBuiltin="1"/>
    <cellStyle name="20% - Accent6 2" xfId="61"/>
    <cellStyle name="20% - Accent6 2 2" xfId="90"/>
    <cellStyle name="20% - Accent6 2 2 2" xfId="151"/>
    <cellStyle name="20% - Accent6 2 2 2 2" xfId="272"/>
    <cellStyle name="20% - Accent6 2 2 2 2 2" xfId="513"/>
    <cellStyle name="20% - Accent6 2 2 2 2 2 2" xfId="994"/>
    <cellStyle name="20% - Accent6 2 2 2 2 3" xfId="754"/>
    <cellStyle name="20% - Accent6 2 2 2 3" xfId="393"/>
    <cellStyle name="20% - Accent6 2 2 2 3 2" xfId="874"/>
    <cellStyle name="20% - Accent6 2 2 2 4" xfId="634"/>
    <cellStyle name="20% - Accent6 2 2 3" xfId="212"/>
    <cellStyle name="20% - Accent6 2 2 3 2" xfId="453"/>
    <cellStyle name="20% - Accent6 2 2 3 2 2" xfId="934"/>
    <cellStyle name="20% - Accent6 2 2 3 3" xfId="694"/>
    <cellStyle name="20% - Accent6 2 2 4" xfId="333"/>
    <cellStyle name="20% - Accent6 2 2 4 2" xfId="814"/>
    <cellStyle name="20% - Accent6 2 2 5" xfId="574"/>
    <cellStyle name="20% - Accent6 2 3" xfId="122"/>
    <cellStyle name="20% - Accent6 2 3 2" xfId="243"/>
    <cellStyle name="20% - Accent6 2 3 2 2" xfId="484"/>
    <cellStyle name="20% - Accent6 2 3 2 2 2" xfId="965"/>
    <cellStyle name="20% - Accent6 2 3 2 3" xfId="725"/>
    <cellStyle name="20% - Accent6 2 3 3" xfId="364"/>
    <cellStyle name="20% - Accent6 2 3 3 2" xfId="845"/>
    <cellStyle name="20% - Accent6 2 3 4" xfId="605"/>
    <cellStyle name="20% - Accent6 2 4" xfId="183"/>
    <cellStyle name="20% - Accent6 2 4 2" xfId="424"/>
    <cellStyle name="20% - Accent6 2 4 2 2" xfId="905"/>
    <cellStyle name="20% - Accent6 2 4 3" xfId="665"/>
    <cellStyle name="20% - Accent6 2 5" xfId="304"/>
    <cellStyle name="20% - Accent6 2 5 2" xfId="785"/>
    <cellStyle name="20% - Accent6 2 6" xfId="545"/>
    <cellStyle name="20% - Accent6 3" xfId="74"/>
    <cellStyle name="20% - Accent6 3 2" xfId="135"/>
    <cellStyle name="20% - Accent6 3 2 2" xfId="256"/>
    <cellStyle name="20% - Accent6 3 2 2 2" xfId="497"/>
    <cellStyle name="20% - Accent6 3 2 2 2 2" xfId="978"/>
    <cellStyle name="20% - Accent6 3 2 2 3" xfId="738"/>
    <cellStyle name="20% - Accent6 3 2 3" xfId="377"/>
    <cellStyle name="20% - Accent6 3 2 3 2" xfId="858"/>
    <cellStyle name="20% - Accent6 3 2 4" xfId="618"/>
    <cellStyle name="20% - Accent6 3 3" xfId="196"/>
    <cellStyle name="20% - Accent6 3 3 2" xfId="437"/>
    <cellStyle name="20% - Accent6 3 3 2 2" xfId="918"/>
    <cellStyle name="20% - Accent6 3 3 3" xfId="678"/>
    <cellStyle name="20% - Accent6 3 4" xfId="317"/>
    <cellStyle name="20% - Accent6 3 4 2" xfId="798"/>
    <cellStyle name="20% - Accent6 3 5" xfId="558"/>
    <cellStyle name="20% - Accent6 4" xfId="103"/>
    <cellStyle name="20% - Accent6 4 2" xfId="225"/>
    <cellStyle name="20% - Accent6 4 2 2" xfId="466"/>
    <cellStyle name="20% - Accent6 4 2 2 2" xfId="947"/>
    <cellStyle name="20% - Accent6 4 2 3" xfId="707"/>
    <cellStyle name="20% - Accent6 4 3" xfId="346"/>
    <cellStyle name="20% - Accent6 4 3 2" xfId="827"/>
    <cellStyle name="20% - Accent6 4 4" xfId="587"/>
    <cellStyle name="20% - Accent6 5" xfId="164"/>
    <cellStyle name="20% - Accent6 5 2" xfId="406"/>
    <cellStyle name="20% - Accent6 5 2 2" xfId="887"/>
    <cellStyle name="20% - Accent6 5 3" xfId="647"/>
    <cellStyle name="20% - Accent6 6" xfId="285"/>
    <cellStyle name="20% - Accent6 6 2" xfId="767"/>
    <cellStyle name="20% - Accent6 7" xfId="526"/>
    <cellStyle name="40% - Accent1" xfId="22" builtinId="31" customBuiltin="1"/>
    <cellStyle name="40% - Accent1 2" xfId="52"/>
    <cellStyle name="40% - Accent1 2 2" xfId="81"/>
    <cellStyle name="40% - Accent1 2 2 2" xfId="142"/>
    <cellStyle name="40% - Accent1 2 2 2 2" xfId="263"/>
    <cellStyle name="40% - Accent1 2 2 2 2 2" xfId="504"/>
    <cellStyle name="40% - Accent1 2 2 2 2 2 2" xfId="985"/>
    <cellStyle name="40% - Accent1 2 2 2 2 3" xfId="745"/>
    <cellStyle name="40% - Accent1 2 2 2 3" xfId="384"/>
    <cellStyle name="40% - Accent1 2 2 2 3 2" xfId="865"/>
    <cellStyle name="40% - Accent1 2 2 2 4" xfId="625"/>
    <cellStyle name="40% - Accent1 2 2 3" xfId="203"/>
    <cellStyle name="40% - Accent1 2 2 3 2" xfId="444"/>
    <cellStyle name="40% - Accent1 2 2 3 2 2" xfId="925"/>
    <cellStyle name="40% - Accent1 2 2 3 3" xfId="685"/>
    <cellStyle name="40% - Accent1 2 2 4" xfId="324"/>
    <cellStyle name="40% - Accent1 2 2 4 2" xfId="805"/>
    <cellStyle name="40% - Accent1 2 2 5" xfId="565"/>
    <cellStyle name="40% - Accent1 2 3" xfId="113"/>
    <cellStyle name="40% - Accent1 2 3 2" xfId="234"/>
    <cellStyle name="40% - Accent1 2 3 2 2" xfId="475"/>
    <cellStyle name="40% - Accent1 2 3 2 2 2" xfId="956"/>
    <cellStyle name="40% - Accent1 2 3 2 3" xfId="716"/>
    <cellStyle name="40% - Accent1 2 3 3" xfId="355"/>
    <cellStyle name="40% - Accent1 2 3 3 2" xfId="836"/>
    <cellStyle name="40% - Accent1 2 3 4" xfId="596"/>
    <cellStyle name="40% - Accent1 2 4" xfId="174"/>
    <cellStyle name="40% - Accent1 2 4 2" xfId="415"/>
    <cellStyle name="40% - Accent1 2 4 2 2" xfId="896"/>
    <cellStyle name="40% - Accent1 2 4 3" xfId="656"/>
    <cellStyle name="40% - Accent1 2 5" xfId="295"/>
    <cellStyle name="40% - Accent1 2 5 2" xfId="776"/>
    <cellStyle name="40% - Accent1 2 6" xfId="536"/>
    <cellStyle name="40% - Accent1 3" xfId="65"/>
    <cellStyle name="40% - Accent1 3 2" xfId="126"/>
    <cellStyle name="40% - Accent1 3 2 2" xfId="247"/>
    <cellStyle name="40% - Accent1 3 2 2 2" xfId="488"/>
    <cellStyle name="40% - Accent1 3 2 2 2 2" xfId="969"/>
    <cellStyle name="40% - Accent1 3 2 2 3" xfId="729"/>
    <cellStyle name="40% - Accent1 3 2 3" xfId="368"/>
    <cellStyle name="40% - Accent1 3 2 3 2" xfId="849"/>
    <cellStyle name="40% - Accent1 3 2 4" xfId="609"/>
    <cellStyle name="40% - Accent1 3 3" xfId="187"/>
    <cellStyle name="40% - Accent1 3 3 2" xfId="428"/>
    <cellStyle name="40% - Accent1 3 3 2 2" xfId="909"/>
    <cellStyle name="40% - Accent1 3 3 3" xfId="669"/>
    <cellStyle name="40% - Accent1 3 4" xfId="308"/>
    <cellStyle name="40% - Accent1 3 4 2" xfId="789"/>
    <cellStyle name="40% - Accent1 3 5" xfId="549"/>
    <cellStyle name="40% - Accent1 4" xfId="94"/>
    <cellStyle name="40% - Accent1 4 2" xfId="216"/>
    <cellStyle name="40% - Accent1 4 2 2" xfId="457"/>
    <cellStyle name="40% - Accent1 4 2 2 2" xfId="938"/>
    <cellStyle name="40% - Accent1 4 2 3" xfId="698"/>
    <cellStyle name="40% - Accent1 4 3" xfId="337"/>
    <cellStyle name="40% - Accent1 4 3 2" xfId="818"/>
    <cellStyle name="40% - Accent1 4 4" xfId="578"/>
    <cellStyle name="40% - Accent1 5" xfId="155"/>
    <cellStyle name="40% - Accent1 5 2" xfId="397"/>
    <cellStyle name="40% - Accent1 5 2 2" xfId="878"/>
    <cellStyle name="40% - Accent1 5 3" xfId="638"/>
    <cellStyle name="40% - Accent1 6" xfId="276"/>
    <cellStyle name="40% - Accent1 6 2" xfId="758"/>
    <cellStyle name="40% - Accent1 7" xfId="517"/>
    <cellStyle name="40% - Accent2" xfId="26" builtinId="35" customBuiltin="1"/>
    <cellStyle name="40% - Accent2 2" xfId="54"/>
    <cellStyle name="40% - Accent2 2 2" xfId="83"/>
    <cellStyle name="40% - Accent2 2 2 2" xfId="144"/>
    <cellStyle name="40% - Accent2 2 2 2 2" xfId="265"/>
    <cellStyle name="40% - Accent2 2 2 2 2 2" xfId="506"/>
    <cellStyle name="40% - Accent2 2 2 2 2 2 2" xfId="987"/>
    <cellStyle name="40% - Accent2 2 2 2 2 3" xfId="747"/>
    <cellStyle name="40% - Accent2 2 2 2 3" xfId="386"/>
    <cellStyle name="40% - Accent2 2 2 2 3 2" xfId="867"/>
    <cellStyle name="40% - Accent2 2 2 2 4" xfId="627"/>
    <cellStyle name="40% - Accent2 2 2 3" xfId="205"/>
    <cellStyle name="40% - Accent2 2 2 3 2" xfId="446"/>
    <cellStyle name="40% - Accent2 2 2 3 2 2" xfId="927"/>
    <cellStyle name="40% - Accent2 2 2 3 3" xfId="687"/>
    <cellStyle name="40% - Accent2 2 2 4" xfId="326"/>
    <cellStyle name="40% - Accent2 2 2 4 2" xfId="807"/>
    <cellStyle name="40% - Accent2 2 2 5" xfId="567"/>
    <cellStyle name="40% - Accent2 2 3" xfId="115"/>
    <cellStyle name="40% - Accent2 2 3 2" xfId="236"/>
    <cellStyle name="40% - Accent2 2 3 2 2" xfId="477"/>
    <cellStyle name="40% - Accent2 2 3 2 2 2" xfId="958"/>
    <cellStyle name="40% - Accent2 2 3 2 3" xfId="718"/>
    <cellStyle name="40% - Accent2 2 3 3" xfId="357"/>
    <cellStyle name="40% - Accent2 2 3 3 2" xfId="838"/>
    <cellStyle name="40% - Accent2 2 3 4" xfId="598"/>
    <cellStyle name="40% - Accent2 2 4" xfId="176"/>
    <cellStyle name="40% - Accent2 2 4 2" xfId="417"/>
    <cellStyle name="40% - Accent2 2 4 2 2" xfId="898"/>
    <cellStyle name="40% - Accent2 2 4 3" xfId="658"/>
    <cellStyle name="40% - Accent2 2 5" xfId="297"/>
    <cellStyle name="40% - Accent2 2 5 2" xfId="778"/>
    <cellStyle name="40% - Accent2 2 6" xfId="538"/>
    <cellStyle name="40% - Accent2 3" xfId="67"/>
    <cellStyle name="40% - Accent2 3 2" xfId="128"/>
    <cellStyle name="40% - Accent2 3 2 2" xfId="249"/>
    <cellStyle name="40% - Accent2 3 2 2 2" xfId="490"/>
    <cellStyle name="40% - Accent2 3 2 2 2 2" xfId="971"/>
    <cellStyle name="40% - Accent2 3 2 2 3" xfId="731"/>
    <cellStyle name="40% - Accent2 3 2 3" xfId="370"/>
    <cellStyle name="40% - Accent2 3 2 3 2" xfId="851"/>
    <cellStyle name="40% - Accent2 3 2 4" xfId="611"/>
    <cellStyle name="40% - Accent2 3 3" xfId="189"/>
    <cellStyle name="40% - Accent2 3 3 2" xfId="430"/>
    <cellStyle name="40% - Accent2 3 3 2 2" xfId="911"/>
    <cellStyle name="40% - Accent2 3 3 3" xfId="671"/>
    <cellStyle name="40% - Accent2 3 4" xfId="310"/>
    <cellStyle name="40% - Accent2 3 4 2" xfId="791"/>
    <cellStyle name="40% - Accent2 3 5" xfId="551"/>
    <cellStyle name="40% - Accent2 4" xfId="96"/>
    <cellStyle name="40% - Accent2 4 2" xfId="218"/>
    <cellStyle name="40% - Accent2 4 2 2" xfId="459"/>
    <cellStyle name="40% - Accent2 4 2 2 2" xfId="940"/>
    <cellStyle name="40% - Accent2 4 2 3" xfId="700"/>
    <cellStyle name="40% - Accent2 4 3" xfId="339"/>
    <cellStyle name="40% - Accent2 4 3 2" xfId="820"/>
    <cellStyle name="40% - Accent2 4 4" xfId="580"/>
    <cellStyle name="40% - Accent2 5" xfId="157"/>
    <cellStyle name="40% - Accent2 5 2" xfId="399"/>
    <cellStyle name="40% - Accent2 5 2 2" xfId="880"/>
    <cellStyle name="40% - Accent2 5 3" xfId="640"/>
    <cellStyle name="40% - Accent2 6" xfId="278"/>
    <cellStyle name="40% - Accent2 6 2" xfId="760"/>
    <cellStyle name="40% - Accent2 7" xfId="519"/>
    <cellStyle name="40% - Accent3" xfId="30" builtinId="39" customBuiltin="1"/>
    <cellStyle name="40% - Accent3 2" xfId="56"/>
    <cellStyle name="40% - Accent3 2 2" xfId="85"/>
    <cellStyle name="40% - Accent3 2 2 2" xfId="146"/>
    <cellStyle name="40% - Accent3 2 2 2 2" xfId="267"/>
    <cellStyle name="40% - Accent3 2 2 2 2 2" xfId="508"/>
    <cellStyle name="40% - Accent3 2 2 2 2 2 2" xfId="989"/>
    <cellStyle name="40% - Accent3 2 2 2 2 3" xfId="749"/>
    <cellStyle name="40% - Accent3 2 2 2 3" xfId="388"/>
    <cellStyle name="40% - Accent3 2 2 2 3 2" xfId="869"/>
    <cellStyle name="40% - Accent3 2 2 2 4" xfId="629"/>
    <cellStyle name="40% - Accent3 2 2 3" xfId="207"/>
    <cellStyle name="40% - Accent3 2 2 3 2" xfId="448"/>
    <cellStyle name="40% - Accent3 2 2 3 2 2" xfId="929"/>
    <cellStyle name="40% - Accent3 2 2 3 3" xfId="689"/>
    <cellStyle name="40% - Accent3 2 2 4" xfId="328"/>
    <cellStyle name="40% - Accent3 2 2 4 2" xfId="809"/>
    <cellStyle name="40% - Accent3 2 2 5" xfId="569"/>
    <cellStyle name="40% - Accent3 2 3" xfId="117"/>
    <cellStyle name="40% - Accent3 2 3 2" xfId="238"/>
    <cellStyle name="40% - Accent3 2 3 2 2" xfId="479"/>
    <cellStyle name="40% - Accent3 2 3 2 2 2" xfId="960"/>
    <cellStyle name="40% - Accent3 2 3 2 3" xfId="720"/>
    <cellStyle name="40% - Accent3 2 3 3" xfId="359"/>
    <cellStyle name="40% - Accent3 2 3 3 2" xfId="840"/>
    <cellStyle name="40% - Accent3 2 3 4" xfId="600"/>
    <cellStyle name="40% - Accent3 2 4" xfId="178"/>
    <cellStyle name="40% - Accent3 2 4 2" xfId="419"/>
    <cellStyle name="40% - Accent3 2 4 2 2" xfId="900"/>
    <cellStyle name="40% - Accent3 2 4 3" xfId="660"/>
    <cellStyle name="40% - Accent3 2 5" xfId="299"/>
    <cellStyle name="40% - Accent3 2 5 2" xfId="780"/>
    <cellStyle name="40% - Accent3 2 6" xfId="540"/>
    <cellStyle name="40% - Accent3 3" xfId="69"/>
    <cellStyle name="40% - Accent3 3 2" xfId="130"/>
    <cellStyle name="40% - Accent3 3 2 2" xfId="251"/>
    <cellStyle name="40% - Accent3 3 2 2 2" xfId="492"/>
    <cellStyle name="40% - Accent3 3 2 2 2 2" xfId="973"/>
    <cellStyle name="40% - Accent3 3 2 2 3" xfId="733"/>
    <cellStyle name="40% - Accent3 3 2 3" xfId="372"/>
    <cellStyle name="40% - Accent3 3 2 3 2" xfId="853"/>
    <cellStyle name="40% - Accent3 3 2 4" xfId="613"/>
    <cellStyle name="40% - Accent3 3 3" xfId="191"/>
    <cellStyle name="40% - Accent3 3 3 2" xfId="432"/>
    <cellStyle name="40% - Accent3 3 3 2 2" xfId="913"/>
    <cellStyle name="40% - Accent3 3 3 3" xfId="673"/>
    <cellStyle name="40% - Accent3 3 4" xfId="312"/>
    <cellStyle name="40% - Accent3 3 4 2" xfId="793"/>
    <cellStyle name="40% - Accent3 3 5" xfId="553"/>
    <cellStyle name="40% - Accent3 4" xfId="98"/>
    <cellStyle name="40% - Accent3 4 2" xfId="220"/>
    <cellStyle name="40% - Accent3 4 2 2" xfId="461"/>
    <cellStyle name="40% - Accent3 4 2 2 2" xfId="942"/>
    <cellStyle name="40% - Accent3 4 2 3" xfId="702"/>
    <cellStyle name="40% - Accent3 4 3" xfId="341"/>
    <cellStyle name="40% - Accent3 4 3 2" xfId="822"/>
    <cellStyle name="40% - Accent3 4 4" xfId="582"/>
    <cellStyle name="40% - Accent3 5" xfId="159"/>
    <cellStyle name="40% - Accent3 5 2" xfId="401"/>
    <cellStyle name="40% - Accent3 5 2 2" xfId="882"/>
    <cellStyle name="40% - Accent3 5 3" xfId="642"/>
    <cellStyle name="40% - Accent3 6" xfId="280"/>
    <cellStyle name="40% - Accent3 6 2" xfId="762"/>
    <cellStyle name="40% - Accent3 7" xfId="521"/>
    <cellStyle name="40% - Accent4" xfId="34" builtinId="43" customBuiltin="1"/>
    <cellStyle name="40% - Accent4 2" xfId="58"/>
    <cellStyle name="40% - Accent4 2 2" xfId="87"/>
    <cellStyle name="40% - Accent4 2 2 2" xfId="148"/>
    <cellStyle name="40% - Accent4 2 2 2 2" xfId="269"/>
    <cellStyle name="40% - Accent4 2 2 2 2 2" xfId="510"/>
    <cellStyle name="40% - Accent4 2 2 2 2 2 2" xfId="991"/>
    <cellStyle name="40% - Accent4 2 2 2 2 3" xfId="751"/>
    <cellStyle name="40% - Accent4 2 2 2 3" xfId="390"/>
    <cellStyle name="40% - Accent4 2 2 2 3 2" xfId="871"/>
    <cellStyle name="40% - Accent4 2 2 2 4" xfId="631"/>
    <cellStyle name="40% - Accent4 2 2 3" xfId="209"/>
    <cellStyle name="40% - Accent4 2 2 3 2" xfId="450"/>
    <cellStyle name="40% - Accent4 2 2 3 2 2" xfId="931"/>
    <cellStyle name="40% - Accent4 2 2 3 3" xfId="691"/>
    <cellStyle name="40% - Accent4 2 2 4" xfId="330"/>
    <cellStyle name="40% - Accent4 2 2 4 2" xfId="811"/>
    <cellStyle name="40% - Accent4 2 2 5" xfId="571"/>
    <cellStyle name="40% - Accent4 2 3" xfId="119"/>
    <cellStyle name="40% - Accent4 2 3 2" xfId="240"/>
    <cellStyle name="40% - Accent4 2 3 2 2" xfId="481"/>
    <cellStyle name="40% - Accent4 2 3 2 2 2" xfId="962"/>
    <cellStyle name="40% - Accent4 2 3 2 3" xfId="722"/>
    <cellStyle name="40% - Accent4 2 3 3" xfId="361"/>
    <cellStyle name="40% - Accent4 2 3 3 2" xfId="842"/>
    <cellStyle name="40% - Accent4 2 3 4" xfId="602"/>
    <cellStyle name="40% - Accent4 2 4" xfId="180"/>
    <cellStyle name="40% - Accent4 2 4 2" xfId="421"/>
    <cellStyle name="40% - Accent4 2 4 2 2" xfId="902"/>
    <cellStyle name="40% - Accent4 2 4 3" xfId="662"/>
    <cellStyle name="40% - Accent4 2 5" xfId="301"/>
    <cellStyle name="40% - Accent4 2 5 2" xfId="782"/>
    <cellStyle name="40% - Accent4 2 6" xfId="542"/>
    <cellStyle name="40% - Accent4 3" xfId="71"/>
    <cellStyle name="40% - Accent4 3 2" xfId="132"/>
    <cellStyle name="40% - Accent4 3 2 2" xfId="253"/>
    <cellStyle name="40% - Accent4 3 2 2 2" xfId="494"/>
    <cellStyle name="40% - Accent4 3 2 2 2 2" xfId="975"/>
    <cellStyle name="40% - Accent4 3 2 2 3" xfId="735"/>
    <cellStyle name="40% - Accent4 3 2 3" xfId="374"/>
    <cellStyle name="40% - Accent4 3 2 3 2" xfId="855"/>
    <cellStyle name="40% - Accent4 3 2 4" xfId="615"/>
    <cellStyle name="40% - Accent4 3 3" xfId="193"/>
    <cellStyle name="40% - Accent4 3 3 2" xfId="434"/>
    <cellStyle name="40% - Accent4 3 3 2 2" xfId="915"/>
    <cellStyle name="40% - Accent4 3 3 3" xfId="675"/>
    <cellStyle name="40% - Accent4 3 4" xfId="314"/>
    <cellStyle name="40% - Accent4 3 4 2" xfId="795"/>
    <cellStyle name="40% - Accent4 3 5" xfId="555"/>
    <cellStyle name="40% - Accent4 4" xfId="100"/>
    <cellStyle name="40% - Accent4 4 2" xfId="222"/>
    <cellStyle name="40% - Accent4 4 2 2" xfId="463"/>
    <cellStyle name="40% - Accent4 4 2 2 2" xfId="944"/>
    <cellStyle name="40% - Accent4 4 2 3" xfId="704"/>
    <cellStyle name="40% - Accent4 4 3" xfId="343"/>
    <cellStyle name="40% - Accent4 4 3 2" xfId="824"/>
    <cellStyle name="40% - Accent4 4 4" xfId="584"/>
    <cellStyle name="40% - Accent4 5" xfId="161"/>
    <cellStyle name="40% - Accent4 5 2" xfId="403"/>
    <cellStyle name="40% - Accent4 5 2 2" xfId="884"/>
    <cellStyle name="40% - Accent4 5 3" xfId="644"/>
    <cellStyle name="40% - Accent4 6" xfId="282"/>
    <cellStyle name="40% - Accent4 6 2" xfId="764"/>
    <cellStyle name="40% - Accent4 7" xfId="523"/>
    <cellStyle name="40% - Accent5" xfId="38" builtinId="47" customBuiltin="1"/>
    <cellStyle name="40% - Accent5 2" xfId="60"/>
    <cellStyle name="40% - Accent5 2 2" xfId="89"/>
    <cellStyle name="40% - Accent5 2 2 2" xfId="150"/>
    <cellStyle name="40% - Accent5 2 2 2 2" xfId="271"/>
    <cellStyle name="40% - Accent5 2 2 2 2 2" xfId="512"/>
    <cellStyle name="40% - Accent5 2 2 2 2 2 2" xfId="993"/>
    <cellStyle name="40% - Accent5 2 2 2 2 3" xfId="753"/>
    <cellStyle name="40% - Accent5 2 2 2 3" xfId="392"/>
    <cellStyle name="40% - Accent5 2 2 2 3 2" xfId="873"/>
    <cellStyle name="40% - Accent5 2 2 2 4" xfId="633"/>
    <cellStyle name="40% - Accent5 2 2 3" xfId="211"/>
    <cellStyle name="40% - Accent5 2 2 3 2" xfId="452"/>
    <cellStyle name="40% - Accent5 2 2 3 2 2" xfId="933"/>
    <cellStyle name="40% - Accent5 2 2 3 3" xfId="693"/>
    <cellStyle name="40% - Accent5 2 2 4" xfId="332"/>
    <cellStyle name="40% - Accent5 2 2 4 2" xfId="813"/>
    <cellStyle name="40% - Accent5 2 2 5" xfId="573"/>
    <cellStyle name="40% - Accent5 2 3" xfId="121"/>
    <cellStyle name="40% - Accent5 2 3 2" xfId="242"/>
    <cellStyle name="40% - Accent5 2 3 2 2" xfId="483"/>
    <cellStyle name="40% - Accent5 2 3 2 2 2" xfId="964"/>
    <cellStyle name="40% - Accent5 2 3 2 3" xfId="724"/>
    <cellStyle name="40% - Accent5 2 3 3" xfId="363"/>
    <cellStyle name="40% - Accent5 2 3 3 2" xfId="844"/>
    <cellStyle name="40% - Accent5 2 3 4" xfId="604"/>
    <cellStyle name="40% - Accent5 2 4" xfId="182"/>
    <cellStyle name="40% - Accent5 2 4 2" xfId="423"/>
    <cellStyle name="40% - Accent5 2 4 2 2" xfId="904"/>
    <cellStyle name="40% - Accent5 2 4 3" xfId="664"/>
    <cellStyle name="40% - Accent5 2 5" xfId="303"/>
    <cellStyle name="40% - Accent5 2 5 2" xfId="784"/>
    <cellStyle name="40% - Accent5 2 6" xfId="544"/>
    <cellStyle name="40% - Accent5 3" xfId="73"/>
    <cellStyle name="40% - Accent5 3 2" xfId="134"/>
    <cellStyle name="40% - Accent5 3 2 2" xfId="255"/>
    <cellStyle name="40% - Accent5 3 2 2 2" xfId="496"/>
    <cellStyle name="40% - Accent5 3 2 2 2 2" xfId="977"/>
    <cellStyle name="40% - Accent5 3 2 2 3" xfId="737"/>
    <cellStyle name="40% - Accent5 3 2 3" xfId="376"/>
    <cellStyle name="40% - Accent5 3 2 3 2" xfId="857"/>
    <cellStyle name="40% - Accent5 3 2 4" xfId="617"/>
    <cellStyle name="40% - Accent5 3 3" xfId="195"/>
    <cellStyle name="40% - Accent5 3 3 2" xfId="436"/>
    <cellStyle name="40% - Accent5 3 3 2 2" xfId="917"/>
    <cellStyle name="40% - Accent5 3 3 3" xfId="677"/>
    <cellStyle name="40% - Accent5 3 4" xfId="316"/>
    <cellStyle name="40% - Accent5 3 4 2" xfId="797"/>
    <cellStyle name="40% - Accent5 3 5" xfId="557"/>
    <cellStyle name="40% - Accent5 4" xfId="102"/>
    <cellStyle name="40% - Accent5 4 2" xfId="224"/>
    <cellStyle name="40% - Accent5 4 2 2" xfId="465"/>
    <cellStyle name="40% - Accent5 4 2 2 2" xfId="946"/>
    <cellStyle name="40% - Accent5 4 2 3" xfId="706"/>
    <cellStyle name="40% - Accent5 4 3" xfId="345"/>
    <cellStyle name="40% - Accent5 4 3 2" xfId="826"/>
    <cellStyle name="40% - Accent5 4 4" xfId="586"/>
    <cellStyle name="40% - Accent5 5" xfId="163"/>
    <cellStyle name="40% - Accent5 5 2" xfId="405"/>
    <cellStyle name="40% - Accent5 5 2 2" xfId="886"/>
    <cellStyle name="40% - Accent5 5 3" xfId="646"/>
    <cellStyle name="40% - Accent5 6" xfId="284"/>
    <cellStyle name="40% - Accent5 6 2" xfId="766"/>
    <cellStyle name="40% - Accent5 7" xfId="525"/>
    <cellStyle name="40% - Accent6" xfId="42" builtinId="51" customBuiltin="1"/>
    <cellStyle name="40% - Accent6 2" xfId="62"/>
    <cellStyle name="40% - Accent6 2 2" xfId="91"/>
    <cellStyle name="40% - Accent6 2 2 2" xfId="152"/>
    <cellStyle name="40% - Accent6 2 2 2 2" xfId="273"/>
    <cellStyle name="40% - Accent6 2 2 2 2 2" xfId="514"/>
    <cellStyle name="40% - Accent6 2 2 2 2 2 2" xfId="995"/>
    <cellStyle name="40% - Accent6 2 2 2 2 3" xfId="755"/>
    <cellStyle name="40% - Accent6 2 2 2 3" xfId="394"/>
    <cellStyle name="40% - Accent6 2 2 2 3 2" xfId="875"/>
    <cellStyle name="40% - Accent6 2 2 2 4" xfId="635"/>
    <cellStyle name="40% - Accent6 2 2 3" xfId="213"/>
    <cellStyle name="40% - Accent6 2 2 3 2" xfId="454"/>
    <cellStyle name="40% - Accent6 2 2 3 2 2" xfId="935"/>
    <cellStyle name="40% - Accent6 2 2 3 3" xfId="695"/>
    <cellStyle name="40% - Accent6 2 2 4" xfId="334"/>
    <cellStyle name="40% - Accent6 2 2 4 2" xfId="815"/>
    <cellStyle name="40% - Accent6 2 2 5" xfId="575"/>
    <cellStyle name="40% - Accent6 2 3" xfId="123"/>
    <cellStyle name="40% - Accent6 2 3 2" xfId="244"/>
    <cellStyle name="40% - Accent6 2 3 2 2" xfId="485"/>
    <cellStyle name="40% - Accent6 2 3 2 2 2" xfId="966"/>
    <cellStyle name="40% - Accent6 2 3 2 3" xfId="726"/>
    <cellStyle name="40% - Accent6 2 3 3" xfId="365"/>
    <cellStyle name="40% - Accent6 2 3 3 2" xfId="846"/>
    <cellStyle name="40% - Accent6 2 3 4" xfId="606"/>
    <cellStyle name="40% - Accent6 2 4" xfId="184"/>
    <cellStyle name="40% - Accent6 2 4 2" xfId="425"/>
    <cellStyle name="40% - Accent6 2 4 2 2" xfId="906"/>
    <cellStyle name="40% - Accent6 2 4 3" xfId="666"/>
    <cellStyle name="40% - Accent6 2 5" xfId="305"/>
    <cellStyle name="40% - Accent6 2 5 2" xfId="786"/>
    <cellStyle name="40% - Accent6 2 6" xfId="546"/>
    <cellStyle name="40% - Accent6 3" xfId="75"/>
    <cellStyle name="40% - Accent6 3 2" xfId="136"/>
    <cellStyle name="40% - Accent6 3 2 2" xfId="257"/>
    <cellStyle name="40% - Accent6 3 2 2 2" xfId="498"/>
    <cellStyle name="40% - Accent6 3 2 2 2 2" xfId="979"/>
    <cellStyle name="40% - Accent6 3 2 2 3" xfId="739"/>
    <cellStyle name="40% - Accent6 3 2 3" xfId="378"/>
    <cellStyle name="40% - Accent6 3 2 3 2" xfId="859"/>
    <cellStyle name="40% - Accent6 3 2 4" xfId="619"/>
    <cellStyle name="40% - Accent6 3 3" xfId="197"/>
    <cellStyle name="40% - Accent6 3 3 2" xfId="438"/>
    <cellStyle name="40% - Accent6 3 3 2 2" xfId="919"/>
    <cellStyle name="40% - Accent6 3 3 3" xfId="679"/>
    <cellStyle name="40% - Accent6 3 4" xfId="318"/>
    <cellStyle name="40% - Accent6 3 4 2" xfId="799"/>
    <cellStyle name="40% - Accent6 3 5" xfId="559"/>
    <cellStyle name="40% - Accent6 4" xfId="104"/>
    <cellStyle name="40% - Accent6 4 2" xfId="226"/>
    <cellStyle name="40% - Accent6 4 2 2" xfId="467"/>
    <cellStyle name="40% - Accent6 4 2 2 2" xfId="948"/>
    <cellStyle name="40% - Accent6 4 2 3" xfId="708"/>
    <cellStyle name="40% - Accent6 4 3" xfId="347"/>
    <cellStyle name="40% - Accent6 4 3 2" xfId="828"/>
    <cellStyle name="40% - Accent6 4 4" xfId="588"/>
    <cellStyle name="40% - Accent6 5" xfId="165"/>
    <cellStyle name="40% - Accent6 5 2" xfId="407"/>
    <cellStyle name="40% - Accent6 5 2 2" xfId="888"/>
    <cellStyle name="40% - Accent6 5 3" xfId="648"/>
    <cellStyle name="40% - Accent6 6" xfId="286"/>
    <cellStyle name="40% - Accent6 6 2" xfId="768"/>
    <cellStyle name="40% - Accent6 7" xfId="52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87"/>
    <cellStyle name="Normal 11" xfId="274"/>
    <cellStyle name="Normal 11 2" xfId="756"/>
    <cellStyle name="Normal 12" xfId="528"/>
    <cellStyle name="Normal 13" xfId="515"/>
    <cellStyle name="Normal 2" xfId="46"/>
    <cellStyle name="Normal 3" xfId="47"/>
    <cellStyle name="Normal 3 2" xfId="3"/>
    <cellStyle name="Normal 3 2 2" xfId="45"/>
    <cellStyle name="Normal 3 2 2 2" xfId="107"/>
    <cellStyle name="Normal 3 2 2 2 2" xfId="228"/>
    <cellStyle name="Normal 3 2 2 2 2 2" xfId="469"/>
    <cellStyle name="Normal 3 2 2 2 2 2 2" xfId="950"/>
    <cellStyle name="Normal 3 2 2 2 2 3" xfId="710"/>
    <cellStyle name="Normal 3 2 2 2 3" xfId="349"/>
    <cellStyle name="Normal 3 2 2 2 3 2" xfId="830"/>
    <cellStyle name="Normal 3 2 2 2 4" xfId="590"/>
    <cellStyle name="Normal 3 2 2 3" xfId="168"/>
    <cellStyle name="Normal 3 2 2 3 2" xfId="409"/>
    <cellStyle name="Normal 3 2 2 3 2 2" xfId="890"/>
    <cellStyle name="Normal 3 2 2 3 3" xfId="650"/>
    <cellStyle name="Normal 3 2 2 4" xfId="289"/>
    <cellStyle name="Normal 3 2 2 4 2" xfId="770"/>
    <cellStyle name="Normal 3 2 2 5" xfId="530"/>
    <cellStyle name="Normal 3 2 3" xfId="63"/>
    <cellStyle name="Normal 3 2 3 2" xfId="124"/>
    <cellStyle name="Normal 3 2 3 2 2" xfId="245"/>
    <cellStyle name="Normal 3 2 3 2 2 2" xfId="486"/>
    <cellStyle name="Normal 3 2 3 2 2 2 2" xfId="967"/>
    <cellStyle name="Normal 3 2 3 2 2 3" xfId="727"/>
    <cellStyle name="Normal 3 2 3 2 3" xfId="366"/>
    <cellStyle name="Normal 3 2 3 2 3 2" xfId="847"/>
    <cellStyle name="Normal 3 2 3 2 4" xfId="607"/>
    <cellStyle name="Normal 3 2 3 3" xfId="185"/>
    <cellStyle name="Normal 3 2 3 3 2" xfId="426"/>
    <cellStyle name="Normal 3 2 3 3 2 2" xfId="907"/>
    <cellStyle name="Normal 3 2 3 3 3" xfId="667"/>
    <cellStyle name="Normal 3 2 3 4" xfId="306"/>
    <cellStyle name="Normal 3 2 3 4 2" xfId="787"/>
    <cellStyle name="Normal 3 2 3 5" xfId="547"/>
    <cellStyle name="Normal 3 2 4" xfId="106"/>
    <cellStyle name="Normal 3 2 4 2" xfId="227"/>
    <cellStyle name="Normal 3 2 4 2 2" xfId="468"/>
    <cellStyle name="Normal 3 2 4 2 2 2" xfId="949"/>
    <cellStyle name="Normal 3 2 4 2 3" xfId="709"/>
    <cellStyle name="Normal 3 2 4 3" xfId="348"/>
    <cellStyle name="Normal 3 2 4 3 2" xfId="829"/>
    <cellStyle name="Normal 3 2 4 4" xfId="589"/>
    <cellStyle name="Normal 3 2 5" xfId="167"/>
    <cellStyle name="Normal 3 2 5 2" xfId="408"/>
    <cellStyle name="Normal 3 2 5 2 2" xfId="889"/>
    <cellStyle name="Normal 3 2 5 3" xfId="649"/>
    <cellStyle name="Normal 3 2 6" xfId="288"/>
    <cellStyle name="Normal 3 2 6 2" xfId="769"/>
    <cellStyle name="Normal 3 2 7" xfId="529"/>
    <cellStyle name="Normal 3 3" xfId="76"/>
    <cellStyle name="Normal 3 3 2" xfId="137"/>
    <cellStyle name="Normal 3 3 2 2" xfId="258"/>
    <cellStyle name="Normal 3 3 2 2 2" xfId="499"/>
    <cellStyle name="Normal 3 3 2 2 2 2" xfId="980"/>
    <cellStyle name="Normal 3 3 2 2 3" xfId="740"/>
    <cellStyle name="Normal 3 3 2 3" xfId="379"/>
    <cellStyle name="Normal 3 3 2 3 2" xfId="860"/>
    <cellStyle name="Normal 3 3 2 4" xfId="620"/>
    <cellStyle name="Normal 3 3 3" xfId="198"/>
    <cellStyle name="Normal 3 3 3 2" xfId="439"/>
    <cellStyle name="Normal 3 3 3 2 2" xfId="920"/>
    <cellStyle name="Normal 3 3 3 3" xfId="680"/>
    <cellStyle name="Normal 3 3 4" xfId="319"/>
    <cellStyle name="Normal 3 3 4 2" xfId="800"/>
    <cellStyle name="Normal 3 3 5" xfId="560"/>
    <cellStyle name="Normal 3 4" xfId="108"/>
    <cellStyle name="Normal 3 4 2" xfId="229"/>
    <cellStyle name="Normal 3 4 2 2" xfId="470"/>
    <cellStyle name="Normal 3 4 2 2 2" xfId="951"/>
    <cellStyle name="Normal 3 4 2 3" xfId="711"/>
    <cellStyle name="Normal 3 4 3" xfId="350"/>
    <cellStyle name="Normal 3 4 3 2" xfId="831"/>
    <cellStyle name="Normal 3 4 4" xfId="591"/>
    <cellStyle name="Normal 3 5" xfId="169"/>
    <cellStyle name="Normal 3 5 2" xfId="410"/>
    <cellStyle name="Normal 3 5 2 2" xfId="891"/>
    <cellStyle name="Normal 3 5 3" xfId="651"/>
    <cellStyle name="Normal 3 6" xfId="290"/>
    <cellStyle name="Normal 3 6 2" xfId="771"/>
    <cellStyle name="Normal 3 7" xfId="531"/>
    <cellStyle name="Normal 4" xfId="49"/>
    <cellStyle name="Normal 4 2" xfId="78"/>
    <cellStyle name="Normal 4 2 2" xfId="139"/>
    <cellStyle name="Normal 4 2 2 2" xfId="260"/>
    <cellStyle name="Normal 4 2 2 2 2" xfId="501"/>
    <cellStyle name="Normal 4 2 2 2 2 2" xfId="982"/>
    <cellStyle name="Normal 4 2 2 2 3" xfId="742"/>
    <cellStyle name="Normal 4 2 2 3" xfId="381"/>
    <cellStyle name="Normal 4 2 2 3 2" xfId="862"/>
    <cellStyle name="Normal 4 2 2 4" xfId="622"/>
    <cellStyle name="Normal 4 2 3" xfId="200"/>
    <cellStyle name="Normal 4 2 3 2" xfId="441"/>
    <cellStyle name="Normal 4 2 3 2 2" xfId="922"/>
    <cellStyle name="Normal 4 2 3 3" xfId="682"/>
    <cellStyle name="Normal 4 2 4" xfId="321"/>
    <cellStyle name="Normal 4 2 4 2" xfId="802"/>
    <cellStyle name="Normal 4 2 5" xfId="562"/>
    <cellStyle name="Normal 4 3" xfId="110"/>
    <cellStyle name="Normal 4 3 2" xfId="231"/>
    <cellStyle name="Normal 4 3 2 2" xfId="472"/>
    <cellStyle name="Normal 4 3 2 2 2" xfId="953"/>
    <cellStyle name="Normal 4 3 2 3" xfId="713"/>
    <cellStyle name="Normal 4 3 3" xfId="352"/>
    <cellStyle name="Normal 4 3 3 2" xfId="833"/>
    <cellStyle name="Normal 4 3 4" xfId="593"/>
    <cellStyle name="Normal 4 4" xfId="171"/>
    <cellStyle name="Normal 4 4 2" xfId="412"/>
    <cellStyle name="Normal 4 4 2 2" xfId="893"/>
    <cellStyle name="Normal 4 4 3" xfId="653"/>
    <cellStyle name="Normal 4 5" xfId="292"/>
    <cellStyle name="Normal 4 5 2" xfId="773"/>
    <cellStyle name="Normal 4 6" xfId="533"/>
    <cellStyle name="Normal 5" xfId="44"/>
    <cellStyle name="Normal 6" xfId="105"/>
    <cellStyle name="Normal 7" xfId="92"/>
    <cellStyle name="Normal 7 2" xfId="214"/>
    <cellStyle name="Normal 7 2 2" xfId="455"/>
    <cellStyle name="Normal 7 2 2 2" xfId="936"/>
    <cellStyle name="Normal 7 2 3" xfId="696"/>
    <cellStyle name="Normal 7 3" xfId="335"/>
    <cellStyle name="Normal 7 3 2" xfId="816"/>
    <cellStyle name="Normal 7 4" xfId="576"/>
    <cellStyle name="Normal 8" xfId="166"/>
    <cellStyle name="Normal 9" xfId="153"/>
    <cellStyle name="Normal 9 2" xfId="395"/>
    <cellStyle name="Normal 9 2 2" xfId="876"/>
    <cellStyle name="Normal 9 3" xfId="636"/>
    <cellStyle name="Normal_BarLoader" xfId="2"/>
    <cellStyle name="Note 2" xfId="48"/>
    <cellStyle name="Note 2 2" xfId="77"/>
    <cellStyle name="Note 2 2 2" xfId="138"/>
    <cellStyle name="Note 2 2 2 2" xfId="259"/>
    <cellStyle name="Note 2 2 2 2 2" xfId="500"/>
    <cellStyle name="Note 2 2 2 2 2 2" xfId="981"/>
    <cellStyle name="Note 2 2 2 2 3" xfId="741"/>
    <cellStyle name="Note 2 2 2 3" xfId="380"/>
    <cellStyle name="Note 2 2 2 3 2" xfId="861"/>
    <cellStyle name="Note 2 2 2 4" xfId="621"/>
    <cellStyle name="Note 2 2 3" xfId="199"/>
    <cellStyle name="Note 2 2 3 2" xfId="440"/>
    <cellStyle name="Note 2 2 3 2 2" xfId="921"/>
    <cellStyle name="Note 2 2 3 3" xfId="681"/>
    <cellStyle name="Note 2 2 4" xfId="320"/>
    <cellStyle name="Note 2 2 4 2" xfId="801"/>
    <cellStyle name="Note 2 2 5" xfId="561"/>
    <cellStyle name="Note 2 3" xfId="109"/>
    <cellStyle name="Note 2 3 2" xfId="230"/>
    <cellStyle name="Note 2 3 2 2" xfId="471"/>
    <cellStyle name="Note 2 3 2 2 2" xfId="952"/>
    <cellStyle name="Note 2 3 2 3" xfId="712"/>
    <cellStyle name="Note 2 3 3" xfId="351"/>
    <cellStyle name="Note 2 3 3 2" xfId="832"/>
    <cellStyle name="Note 2 3 4" xfId="592"/>
    <cellStyle name="Note 2 4" xfId="170"/>
    <cellStyle name="Note 2 4 2" xfId="411"/>
    <cellStyle name="Note 2 4 2 2" xfId="892"/>
    <cellStyle name="Note 2 4 3" xfId="652"/>
    <cellStyle name="Note 2 5" xfId="291"/>
    <cellStyle name="Note 2 5 2" xfId="772"/>
    <cellStyle name="Note 2 6" xfId="532"/>
    <cellStyle name="Note 3" xfId="50"/>
    <cellStyle name="Note 3 2" xfId="79"/>
    <cellStyle name="Note 3 2 2" xfId="140"/>
    <cellStyle name="Note 3 2 2 2" xfId="261"/>
    <cellStyle name="Note 3 2 2 2 2" xfId="502"/>
    <cellStyle name="Note 3 2 2 2 2 2" xfId="983"/>
    <cellStyle name="Note 3 2 2 2 3" xfId="743"/>
    <cellStyle name="Note 3 2 2 3" xfId="382"/>
    <cellStyle name="Note 3 2 2 3 2" xfId="863"/>
    <cellStyle name="Note 3 2 2 4" xfId="623"/>
    <cellStyle name="Note 3 2 3" xfId="201"/>
    <cellStyle name="Note 3 2 3 2" xfId="442"/>
    <cellStyle name="Note 3 2 3 2 2" xfId="923"/>
    <cellStyle name="Note 3 2 3 3" xfId="683"/>
    <cellStyle name="Note 3 2 4" xfId="322"/>
    <cellStyle name="Note 3 2 4 2" xfId="803"/>
    <cellStyle name="Note 3 2 5" xfId="563"/>
    <cellStyle name="Note 3 3" xfId="111"/>
    <cellStyle name="Note 3 3 2" xfId="232"/>
    <cellStyle name="Note 3 3 2 2" xfId="473"/>
    <cellStyle name="Note 3 3 2 2 2" xfId="954"/>
    <cellStyle name="Note 3 3 2 3" xfId="714"/>
    <cellStyle name="Note 3 3 3" xfId="353"/>
    <cellStyle name="Note 3 3 3 2" xfId="834"/>
    <cellStyle name="Note 3 3 4" xfId="594"/>
    <cellStyle name="Note 3 4" xfId="172"/>
    <cellStyle name="Note 3 4 2" xfId="413"/>
    <cellStyle name="Note 3 4 2 2" xfId="894"/>
    <cellStyle name="Note 3 4 3" xfId="654"/>
    <cellStyle name="Note 3 5" xfId="293"/>
    <cellStyle name="Note 3 5 2" xfId="774"/>
    <cellStyle name="Note 3 6" xfId="53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243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02E-2"/>
          <c:y val="4.8192550941851799E-2"/>
          <c:w val="0.86732025657671796"/>
          <c:h val="0.90249817133513999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7160888"/>
        <c:axId val="617162456"/>
      </c:barChart>
      <c:catAx>
        <c:axId val="617160888"/>
        <c:scaling>
          <c:orientation val="minMax"/>
        </c:scaling>
        <c:delete val="1"/>
        <c:axPos val="l"/>
        <c:majorTickMark val="out"/>
        <c:minorTickMark val="none"/>
        <c:tickLblPos val="none"/>
        <c:crossAx val="617162456"/>
        <c:crosses val="autoZero"/>
        <c:auto val="1"/>
        <c:lblAlgn val="ctr"/>
        <c:lblOffset val="100"/>
        <c:noMultiLvlLbl val="0"/>
      </c:catAx>
      <c:valAx>
        <c:axId val="617162456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617160888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599E-2"/>
          <c:w val="0.83183427128575305"/>
          <c:h val="0.89156888756849995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7161672"/>
        <c:axId val="617162064"/>
      </c:barChart>
      <c:catAx>
        <c:axId val="617161672"/>
        <c:scaling>
          <c:orientation val="minMax"/>
        </c:scaling>
        <c:delete val="1"/>
        <c:axPos val="l"/>
        <c:majorTickMark val="out"/>
        <c:minorTickMark val="none"/>
        <c:tickLblPos val="none"/>
        <c:crossAx val="617162064"/>
        <c:crosses val="autoZero"/>
        <c:auto val="1"/>
        <c:lblAlgn val="ctr"/>
        <c:lblOffset val="100"/>
        <c:noMultiLvlLbl val="0"/>
      </c:catAx>
      <c:valAx>
        <c:axId val="617162064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617161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/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57150</xdr:rowOff>
    </xdr:from>
    <xdr:to>
      <xdr:col>1</xdr:col>
      <xdr:colOff>1609725</xdr:colOff>
      <xdr:row>0</xdr:row>
      <xdr:rowOff>409575</xdr:rowOff>
    </xdr:to>
    <xdr:sp macro="[0]!WeighIn" textlink="">
      <xdr:nvSpPr>
        <xdr:cNvPr id="24578" name="Rectangle 2"/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/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/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/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/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16</xdr:col>
      <xdr:colOff>38100</xdr:colOff>
      <xdr:row>5</xdr:row>
      <xdr:rowOff>217714</xdr:rowOff>
    </xdr:to>
    <xdr:graphicFrame macro="">
      <xdr:nvGraphicFramePr>
        <xdr:cNvPr id="57518" name="Chart 3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/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409575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256137</xdr:colOff>
      <xdr:row>7</xdr:row>
      <xdr:rowOff>226519</xdr:rowOff>
    </xdr:from>
    <xdr:to>
      <xdr:col>14</xdr:col>
      <xdr:colOff>215315</xdr:colOff>
      <xdr:row>14</xdr:row>
      <xdr:rowOff>271343</xdr:rowOff>
    </xdr:to>
    <xdr:graphicFrame macro="">
      <xdr:nvGraphicFramePr>
        <xdr:cNvPr id="3" name="Chart 30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BF246"/>
  <sheetViews>
    <sheetView topLeftCell="B1" workbookViewId="0">
      <selection activeCell="K22" sqref="K2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42578125" style="8" customWidth="1"/>
    <col min="4" max="4" width="7.85546875" style="8" customWidth="1"/>
    <col min="5" max="5" width="8" style="8" customWidth="1"/>
    <col min="6" max="6" width="8.42578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hidden="1" customWidth="1"/>
    <col min="11" max="11" width="9.140625" style="76"/>
    <col min="12" max="12" width="9.140625" style="7" hidden="1" customWidth="1"/>
    <col min="13" max="13" width="9.140625" style="169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42578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22" t="s">
        <v>349</v>
      </c>
      <c r="D2" s="323"/>
      <c r="E2" s="323"/>
      <c r="F2" s="323"/>
      <c r="G2" s="323"/>
      <c r="H2" s="324"/>
      <c r="K2" s="325" t="s">
        <v>350</v>
      </c>
      <c r="L2" s="326"/>
      <c r="M2" s="327"/>
      <c r="O2" s="300" t="s">
        <v>62</v>
      </c>
      <c r="P2" s="301"/>
      <c r="Q2" s="302"/>
      <c r="S2" s="283" t="s">
        <v>107</v>
      </c>
      <c r="T2" s="284"/>
      <c r="X2" s="7" t="s">
        <v>161</v>
      </c>
    </row>
    <row r="3" spans="3:58" ht="13.5" thickBot="1" x14ac:dyDescent="0.25">
      <c r="X3" s="7" t="s">
        <v>162</v>
      </c>
      <c r="AD3" s="257" t="s">
        <v>353</v>
      </c>
      <c r="AE3" s="258">
        <f>$G$22</f>
        <v>30</v>
      </c>
      <c r="AF3" s="7">
        <f>$D$22</f>
        <v>65</v>
      </c>
    </row>
    <row r="4" spans="3:58" ht="13.5" customHeight="1" x14ac:dyDescent="0.2">
      <c r="C4" s="294" t="s">
        <v>79</v>
      </c>
      <c r="D4" s="295"/>
      <c r="E4" s="295"/>
      <c r="F4" s="295"/>
      <c r="G4" s="320"/>
      <c r="H4" s="303" t="s">
        <v>156</v>
      </c>
      <c r="K4" s="314" t="s">
        <v>84</v>
      </c>
      <c r="L4" s="315"/>
      <c r="M4" s="316"/>
      <c r="O4" s="294" t="s">
        <v>86</v>
      </c>
      <c r="P4" s="295"/>
      <c r="Q4" s="296"/>
      <c r="S4" s="285" t="s">
        <v>76</v>
      </c>
      <c r="T4" s="287" t="s">
        <v>108</v>
      </c>
      <c r="AD4" s="257" t="s">
        <v>33</v>
      </c>
      <c r="AE4" s="258">
        <f>$G$23</f>
        <v>22.5</v>
      </c>
      <c r="AF4" s="7">
        <f>$D$23</f>
        <v>55</v>
      </c>
    </row>
    <row r="5" spans="3:58" ht="13.5" customHeight="1" x14ac:dyDescent="0.2">
      <c r="C5" s="297"/>
      <c r="D5" s="298"/>
      <c r="E5" s="298"/>
      <c r="F5" s="298"/>
      <c r="G5" s="321"/>
      <c r="H5" s="304"/>
      <c r="K5" s="317"/>
      <c r="L5" s="318"/>
      <c r="M5" s="319"/>
      <c r="O5" s="297"/>
      <c r="P5" s="298"/>
      <c r="Q5" s="299"/>
      <c r="S5" s="286"/>
      <c r="T5" s="288"/>
      <c r="AD5" s="257" t="s">
        <v>35</v>
      </c>
      <c r="AE5" s="258">
        <f>$G$24</f>
        <v>25</v>
      </c>
      <c r="AF5" s="7">
        <f>$D$24</f>
        <v>55</v>
      </c>
    </row>
    <row r="6" spans="3:58" ht="13.5" customHeight="1" x14ac:dyDescent="0.2">
      <c r="C6" s="291" t="s">
        <v>61</v>
      </c>
      <c r="D6" s="292"/>
      <c r="E6" s="292"/>
      <c r="F6" s="292" t="s">
        <v>75</v>
      </c>
      <c r="G6" s="292"/>
      <c r="H6" s="305"/>
      <c r="K6" s="308" t="s">
        <v>157</v>
      </c>
      <c r="L6" s="309"/>
      <c r="M6" s="310"/>
      <c r="O6" s="233" t="s">
        <v>87</v>
      </c>
      <c r="P6" s="232" t="s">
        <v>88</v>
      </c>
      <c r="Q6" s="234" t="s">
        <v>89</v>
      </c>
      <c r="S6" s="78">
        <v>1</v>
      </c>
      <c r="T6" s="122">
        <v>3</v>
      </c>
    </row>
    <row r="7" spans="3:58" x14ac:dyDescent="0.2">
      <c r="C7" s="68" t="str">
        <f>LEFT(TRIM(Lifting!B3),1)</f>
        <v>S</v>
      </c>
      <c r="D7" s="6" t="e">
        <f ca="1">ABS(Lifting!D3)</f>
        <v>#N/A</v>
      </c>
      <c r="E7" s="6"/>
      <c r="F7" s="6"/>
      <c r="G7" s="6" t="e">
        <f ca="1">ABS(Lifting!D3)</f>
        <v>#N/A</v>
      </c>
      <c r="H7" s="10"/>
      <c r="I7" s="8"/>
      <c r="K7" s="311"/>
      <c r="L7" s="312"/>
      <c r="M7" s="313"/>
      <c r="O7" s="247" t="s">
        <v>168</v>
      </c>
      <c r="P7" s="248" t="s">
        <v>356</v>
      </c>
      <c r="Q7" s="249">
        <v>1</v>
      </c>
      <c r="S7" s="78"/>
      <c r="T7" s="122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8" t="s">
        <v>9</v>
      </c>
      <c r="L8" s="77"/>
      <c r="M8" s="170" t="s">
        <v>10</v>
      </c>
      <c r="O8" s="247" t="s">
        <v>169</v>
      </c>
      <c r="P8" s="248" t="s">
        <v>357</v>
      </c>
      <c r="Q8" s="249">
        <v>1</v>
      </c>
      <c r="S8" s="78"/>
      <c r="T8" s="122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72">
        <v>10</v>
      </c>
      <c r="K9" s="173">
        <v>52</v>
      </c>
      <c r="L9" s="221">
        <v>10</v>
      </c>
      <c r="M9" s="175">
        <v>44</v>
      </c>
      <c r="O9" s="247" t="s">
        <v>358</v>
      </c>
      <c r="P9" s="248" t="s">
        <v>359</v>
      </c>
      <c r="Q9" s="249">
        <v>1</v>
      </c>
      <c r="S9" s="78"/>
      <c r="T9" s="122">
        <v>0</v>
      </c>
    </row>
    <row r="10" spans="3:58" x14ac:dyDescent="0.2">
      <c r="C10" s="11">
        <v>0</v>
      </c>
      <c r="D10" s="6">
        <v>110</v>
      </c>
      <c r="E10" s="6" t="e">
        <f ca="1">IF(OR(D7=0,H4="Kg"),0,MIN(INT(($D$7-VLOOKUP($C$7,$AD$3:$AF$5,3,FALSE))/(2*D10)),C10/2))</f>
        <v>#N/A</v>
      </c>
      <c r="F10" s="236">
        <v>0</v>
      </c>
      <c r="G10" s="235">
        <v>50</v>
      </c>
      <c r="H10" s="251" t="e">
        <f ca="1">IF(OR(G7=0,H4="Lb"),0,MIN(INT(($G$7-VLOOKUP($C$7,$AD$3:$AF$5,2,FALSE))/(2*G10)),F10/2))</f>
        <v>#N/A</v>
      </c>
      <c r="I10" s="8"/>
      <c r="J10" s="172">
        <f>IF(K9="SHW",1000,IF(K10="",J9+1,IF(ISERROR(VLOOKUP(K9,DATA!$F$32:$G$59,2,FALSE)),K9,VLOOKUP(K9,DATA!$F$32:$G$59,2,FALSE))+0.0001))</f>
        <v>52.000100000000003</v>
      </c>
      <c r="K10" s="173">
        <v>56</v>
      </c>
      <c r="L10" s="221">
        <v>44.000100000000003</v>
      </c>
      <c r="M10" s="175">
        <v>48</v>
      </c>
      <c r="O10" s="247" t="s">
        <v>360</v>
      </c>
      <c r="P10" s="248" t="s">
        <v>361</v>
      </c>
      <c r="Q10" s="249">
        <v>1</v>
      </c>
      <c r="S10" s="78"/>
      <c r="T10" s="122">
        <v>0</v>
      </c>
    </row>
    <row r="11" spans="3:58" x14ac:dyDescent="0.2">
      <c r="C11" s="11">
        <v>8</v>
      </c>
      <c r="D11" s="6">
        <v>100</v>
      </c>
      <c r="E11" s="6" t="e">
        <f ca="1">IF(OR(D7=0,H4="Kg"),0,MIN(INT(($D$7-VLOOKUP($C$7,$AD$3:$AF$5,3,FALSE)-2*E10*D10)/(2*D11)),C11/2))</f>
        <v>#N/A</v>
      </c>
      <c r="F11" s="236">
        <v>0</v>
      </c>
      <c r="G11" s="235">
        <v>45</v>
      </c>
      <c r="H11" s="251" t="e">
        <f ca="1">IF(OR(G7=0,H4="Lb"),0,MIN(INT(($G$7-VLOOKUP($C$7,$AD$3:$AF$5,2,FALSE)-2*H10*G10)/(2*G11)),F11/2))</f>
        <v>#N/A</v>
      </c>
      <c r="I11" s="8"/>
      <c r="J11" s="172">
        <f>IF(K10="SHW",1000,IF(K11="",J10+1,IF(ISERROR(VLOOKUP(K10,DATA!$F$32:$G$59,2,FALSE)),K10,VLOOKUP(K10,DATA!$F$32:$G$59,2,FALSE))+0.001))</f>
        <v>56.000999999999998</v>
      </c>
      <c r="K11" s="173">
        <v>60</v>
      </c>
      <c r="L11" s="221">
        <v>48.000999999999998</v>
      </c>
      <c r="M11" s="175">
        <v>52</v>
      </c>
      <c r="O11" s="247" t="s">
        <v>170</v>
      </c>
      <c r="P11" s="248" t="s">
        <v>362</v>
      </c>
      <c r="Q11" s="249">
        <v>1</v>
      </c>
      <c r="S11" s="78"/>
      <c r="T11" s="122">
        <v>0</v>
      </c>
    </row>
    <row r="12" spans="3:58" x14ac:dyDescent="0.2">
      <c r="C12" s="11">
        <v>0</v>
      </c>
      <c r="D12" s="6">
        <v>50</v>
      </c>
      <c r="E12" s="6" t="e">
        <f ca="1">IF(OR(D7=0,H4="Kg"),0,MIN(INT(($D$7-VLOOKUP($C$7,$AD$3:$AF$5,3,FALSE)-2*E10*D10-2*E11*D11)/(2*D12)),C12/2))</f>
        <v>#N/A</v>
      </c>
      <c r="F12" s="236">
        <v>20</v>
      </c>
      <c r="G12" s="235">
        <v>25</v>
      </c>
      <c r="H12" s="251" t="e">
        <f ca="1">IF(OR(G7=0,H4="Lb"),0,MIN(INT(($G$7-VLOOKUP($C$7,$AD$3:$AF$5,2,FALSE)-2*H10*G10-2*H11*G11)/(2*G12)),F12/2))</f>
        <v>#N/A</v>
      </c>
      <c r="I12" s="8"/>
      <c r="J12" s="172">
        <f>IF(K11="SHW",1000,IF(K12="",J11+1,IF(ISERROR(VLOOKUP(K11,DATA!$F$32:$G$59,2,FALSE)),K11,VLOOKUP(K11,DATA!$F$32:$G$59,2,FALSE))+0.001))</f>
        <v>60.000999999999998</v>
      </c>
      <c r="K12" s="173">
        <v>67.5</v>
      </c>
      <c r="L12" s="221">
        <v>52.000999999999998</v>
      </c>
      <c r="M12" s="175">
        <v>56</v>
      </c>
      <c r="O12" s="247" t="s">
        <v>171</v>
      </c>
      <c r="P12" s="248" t="s">
        <v>363</v>
      </c>
      <c r="Q12" s="249">
        <v>1</v>
      </c>
      <c r="S12" s="78"/>
      <c r="T12" s="122">
        <v>0</v>
      </c>
    </row>
    <row r="13" spans="3:58" x14ac:dyDescent="0.2">
      <c r="C13" s="11">
        <v>10</v>
      </c>
      <c r="D13" s="6">
        <v>45</v>
      </c>
      <c r="E13" s="6" t="e">
        <f ca="1">IF(OR(D7=0,H4="Kg"),0,MIN(INT(($D$7-VLOOKUP($C$7,$AD$3:$AF$5,3,FALSE)-2*E10*D10-2*E11*D11-2*E12*D12)/(2*D13)),C13/2))</f>
        <v>#N/A</v>
      </c>
      <c r="F13" s="236">
        <v>2</v>
      </c>
      <c r="G13" s="235">
        <v>20</v>
      </c>
      <c r="H13" s="251" t="e">
        <f ca="1">IF(OR(G7=0,H4="Lb"),0,MIN(INT(($G$7-VLOOKUP($C$7,$AD$3:$AF$5,2,FALSE)-2*H10*G10-2*H11*G11-2*H12*G12)/(2*G13)),F13/2))</f>
        <v>#N/A</v>
      </c>
      <c r="I13" s="8"/>
      <c r="J13" s="172">
        <f>IF(K12="SHW",1000,IF(K13="",J12+1,IF(ISERROR(VLOOKUP(K12,DATA!$F$32:$G$59,2,FALSE)),K12,VLOOKUP(K12,DATA!$F$32:$G$59,2,FALSE))+0.001))</f>
        <v>67.501000000000005</v>
      </c>
      <c r="K13" s="173">
        <v>75</v>
      </c>
      <c r="L13" s="221">
        <v>56.000999999999998</v>
      </c>
      <c r="M13" s="175">
        <v>60</v>
      </c>
      <c r="O13" s="247" t="s">
        <v>172</v>
      </c>
      <c r="P13" s="248" t="s">
        <v>364</v>
      </c>
      <c r="Q13" s="249">
        <v>1</v>
      </c>
      <c r="S13" s="78"/>
      <c r="T13" s="122">
        <v>0</v>
      </c>
    </row>
    <row r="14" spans="3:58" x14ac:dyDescent="0.2">
      <c r="C14" s="11">
        <v>2</v>
      </c>
      <c r="D14" s="6">
        <v>35</v>
      </c>
      <c r="E14" s="6" t="e">
        <f ca="1">IF(OR(D7=0,H4="Kg"),0,MIN(INT(($D$7-VLOOKUP($C$7,$AD$3:$AF$5,3,FALSE)-2*E10*D10-2*E11*D11-2*E12*D12-2*E13*D13)/(2*D14)),C14/2))</f>
        <v>#N/A</v>
      </c>
      <c r="F14" s="236">
        <v>0</v>
      </c>
      <c r="G14" s="235">
        <v>15</v>
      </c>
      <c r="H14" s="251" t="e">
        <f ca="1">IF(OR(G7=0,H4="Lb"),0,MIN(INT(($G$7-VLOOKUP($C$7,$AD$3:$AF$5,2,FALSE)-2*H10*G10-2*H11*G11-2*H12*G12-2*H13*G13)/(2*G14)),F14/2))</f>
        <v>#N/A</v>
      </c>
      <c r="I14" s="8"/>
      <c r="J14" s="172">
        <f>IF(K13="SHW",1000,IF(K14="",J13+1,IF(ISERROR(VLOOKUP(K13,DATA!$F$32:$G$59,2,FALSE)),K13,VLOOKUP(K13,DATA!$F$32:$G$59,2,FALSE))+0.001))</f>
        <v>75.001000000000005</v>
      </c>
      <c r="K14" s="173">
        <v>82.5</v>
      </c>
      <c r="L14" s="221">
        <v>60.000999999999998</v>
      </c>
      <c r="M14" s="175">
        <v>67.5</v>
      </c>
      <c r="O14" s="247" t="s">
        <v>173</v>
      </c>
      <c r="P14" s="248" t="s">
        <v>365</v>
      </c>
      <c r="Q14" s="249">
        <v>1</v>
      </c>
      <c r="S14" s="78"/>
      <c r="T14" s="122">
        <v>0</v>
      </c>
      <c r="V14" s="258"/>
    </row>
    <row r="15" spans="3:58" ht="13.5" thickBot="1" x14ac:dyDescent="0.25">
      <c r="C15" s="11">
        <v>2</v>
      </c>
      <c r="D15" s="6">
        <v>25</v>
      </c>
      <c r="E15" s="6" t="e">
        <f ca="1">IF(OR(D7=0,H4="Kg"),0,MIN(INT(($D$7-VLOOKUP($C$7,$AD$3:$AF$5,3,FALSE)-2*E10*D10-2*E11*D11-2*E12*D12-2*E13*D13-2*E14*D14)/(2*D15)),C15/2))</f>
        <v>#N/A</v>
      </c>
      <c r="F15" s="236">
        <v>2</v>
      </c>
      <c r="G15" s="235">
        <v>10</v>
      </c>
      <c r="H15" s="251" t="e">
        <f ca="1">IF(OR(G7=0,H4="Lb"),0,MIN(INT(($G$7-VLOOKUP($C$7,$AD$3:$AF$5,2,FALSE)-2*H10*G10-2*H11*G11-2*H12*G12-2*H13*G13-2*H14*G14)/(2*G15)),F15/2))</f>
        <v>#N/A</v>
      </c>
      <c r="I15" s="8"/>
      <c r="J15" s="172">
        <f>IF(K14="SHW",1000,IF(K15="",J14+1,IF(ISERROR(VLOOKUP(K14,DATA!$F$32:$G$59,2,FALSE)),K14,VLOOKUP(K14,DATA!$F$32:$G$59,2,FALSE))+0.001))</f>
        <v>82.501000000000005</v>
      </c>
      <c r="K15" s="173">
        <v>90</v>
      </c>
      <c r="L15" s="221">
        <v>67.501000000000005</v>
      </c>
      <c r="M15" s="175">
        <v>75</v>
      </c>
      <c r="O15" s="247" t="s">
        <v>174</v>
      </c>
      <c r="P15" s="248" t="s">
        <v>366</v>
      </c>
      <c r="Q15" s="249">
        <v>1</v>
      </c>
      <c r="S15" s="79"/>
      <c r="T15" s="123">
        <v>0</v>
      </c>
    </row>
    <row r="16" spans="3:58" x14ac:dyDescent="0.2">
      <c r="C16" s="11">
        <v>4</v>
      </c>
      <c r="D16" s="6">
        <v>10</v>
      </c>
      <c r="E16" s="6" t="e">
        <f ca="1">IF(OR(D7=0,H4="Kg"),0,MIN(INT(($D$7-VLOOKUP($C$7,$AD$3:$AF$5,3,FALSE)-2*E10*D10-2*E11*D11-2*E12*D12-2*E13*D13-2*E14*D14-2*E15*D15)/(2*D16)),C16/2))</f>
        <v>#N/A</v>
      </c>
      <c r="F16" s="236">
        <v>2</v>
      </c>
      <c r="G16" s="235">
        <v>5</v>
      </c>
      <c r="H16" s="251" t="e">
        <f ca="1">IF(OR(G7=0,H4="Lb"),0,MIN(INT(($G$7-VLOOKUP($C$7,$AD$3:$AF$5,2,FALSE)-2*H10*G10-2*H11*G11-2*H12*G12-2*H13*G13-2*H14*G14-2*H15*G15)/(2*G16)),F16/2))</f>
        <v>#N/A</v>
      </c>
      <c r="I16" s="8"/>
      <c r="J16" s="172">
        <f>IF(K15="SHW",1000,IF(K16="",J15+1,IF(ISERROR(VLOOKUP(K15,DATA!$F$32:$G$59,2,FALSE)),K15,VLOOKUP(K15,DATA!$F$32:$G$59,2,FALSE))+0.001))</f>
        <v>90.001000000000005</v>
      </c>
      <c r="K16" s="173">
        <v>100</v>
      </c>
      <c r="L16" s="221">
        <v>75.001000000000005</v>
      </c>
      <c r="M16" s="175">
        <v>82.5</v>
      </c>
      <c r="O16" s="247" t="s">
        <v>175</v>
      </c>
      <c r="P16" s="248" t="s">
        <v>367</v>
      </c>
      <c r="Q16" s="249">
        <v>1</v>
      </c>
    </row>
    <row r="17" spans="3:17" x14ac:dyDescent="0.2">
      <c r="C17" s="11">
        <v>2</v>
      </c>
      <c r="D17" s="6">
        <v>5</v>
      </c>
      <c r="E17" s="6" t="e">
        <f ca="1">IF(OR(D7=0,H4="Kg"),0,MIN(INT(($D$7-VLOOKUP($C$7,$AD$3:$AF$5,3,FALSE)-2*E10*D10-2*E11*D11-2*E12*D12-2*E13*D13-2*E14*D14-2*E15*D15-2*E16*D16)/(2*D17)),C17/2))</f>
        <v>#N/A</v>
      </c>
      <c r="F17" s="236">
        <v>2</v>
      </c>
      <c r="G17" s="235">
        <v>2.5</v>
      </c>
      <c r="H17" s="251" t="e">
        <f ca="1">IF(OR(G7=0,H4="Lb"),0,MIN(INT(($G$7-VLOOKUP($C$7,$AD$3:$AF$5,2,FALSE)-2*H10*G10-2*H11*G11-2*H12*G12-2*H13*G13-2*H14*G14-2*H15*G15-2*H16*G16)/(2*G17)),F17/2))</f>
        <v>#N/A</v>
      </c>
      <c r="I17" s="8"/>
      <c r="J17" s="172">
        <f>IF(K16="SHW",1000,IF(K17="",J16+1,IF(ISERROR(VLOOKUP(K16,DATA!$F$32:$G$59,2,FALSE)),K16,VLOOKUP(K16,DATA!$F$32:$G$59,2,FALSE))+0.001))</f>
        <v>100.001</v>
      </c>
      <c r="K17" s="173">
        <v>110</v>
      </c>
      <c r="L17" s="221">
        <v>82.501000000000005</v>
      </c>
      <c r="M17" s="175">
        <v>90</v>
      </c>
      <c r="O17" s="247" t="s">
        <v>368</v>
      </c>
      <c r="P17" s="248" t="s">
        <v>369</v>
      </c>
      <c r="Q17" s="249">
        <v>1</v>
      </c>
    </row>
    <row r="18" spans="3:17" x14ac:dyDescent="0.2">
      <c r="C18" s="11">
        <v>2</v>
      </c>
      <c r="D18" s="6">
        <v>2.5</v>
      </c>
      <c r="E18" s="6" t="e">
        <f ca="1">IF(OR(D7=0,H4="Kg"),0,MIN(INT(($D$7-VLOOKUP($C$7,$AD$3:$AF$5,3,FALSE)-2*E10*D10-2*E11*D11-2*E12*D12-2*E13*D13-2*E14*D14-2*E15*D15-2*E16*D16-2*E17*D17)/(2*D18)),C18/2))</f>
        <v>#N/A</v>
      </c>
      <c r="F18" s="236">
        <v>2</v>
      </c>
      <c r="G18" s="235">
        <v>1.25</v>
      </c>
      <c r="H18" s="251" t="e">
        <f ca="1">IF(OR(G7=0,H4="Lb"),0,INT(($G$7-VLOOKUP($C$7,$AD$3:$AF$5,2,FALSE)-2*H10*G10-2*H11*G11-2*H12*G12-2*H13*G13-2*H14*G14-2*H15*G15-2*H16*G16-2*H17*G17)/(2*G18)))</f>
        <v>#N/A</v>
      </c>
      <c r="I18" s="8"/>
      <c r="J18" s="172">
        <f>IF(K17="SHW",1000,IF(K18="",J17+1,IF(ISERROR(VLOOKUP(K17,DATA!$F$32:$G$59,2,FALSE)),K17,VLOOKUP(K17,DATA!$F$32:$G$59,2,FALSE))+0.001))</f>
        <v>110.001</v>
      </c>
      <c r="K18" s="173">
        <v>125</v>
      </c>
      <c r="L18" s="221">
        <v>90.001000000000005</v>
      </c>
      <c r="M18" s="175" t="s">
        <v>81</v>
      </c>
      <c r="O18" s="247" t="s">
        <v>370</v>
      </c>
      <c r="P18" s="248" t="s">
        <v>371</v>
      </c>
      <c r="Q18" s="249">
        <v>1</v>
      </c>
    </row>
    <row r="19" spans="3:17" x14ac:dyDescent="0.2">
      <c r="C19" s="11">
        <v>0</v>
      </c>
      <c r="D19" s="6">
        <v>1</v>
      </c>
      <c r="E19" s="6" t="e">
        <f ca="1">IF(OR(D7=0,H4="Kg"),0,MIN(INT(($D$7-VLOOKUP($C$7,$AD$3:$AF$5,3,FALSE)-2*E10*D10-2*E11*D11-2*E12*D12-2*E13*D13-2*E14*D14-2*E15*D15-2*E16*D16-2*E17*D17-2*E18*D18)/(2*D19)),C19/2))</f>
        <v>#N/A</v>
      </c>
      <c r="F19" s="236">
        <v>2</v>
      </c>
      <c r="G19" s="235">
        <v>0.5</v>
      </c>
      <c r="H19" s="251" t="e">
        <f ca="1">IF(OR(G7=0,H4="Lb"),0,INT(($G$7-VLOOKUP($C$7,$AD$3:$AF$5,2,FALSE)-2*H10*G10-2*H11*G11-2*H12*G12-2*H13*G13-2*H14*G14-2*H15*G15-2*H16*G16-2*H17*G17-2*H18*G18)/(2*G19)))</f>
        <v>#N/A</v>
      </c>
      <c r="I19" s="8"/>
      <c r="J19" s="172">
        <f>IF(K18="SHW",1000,IF(K19="",J18+1,IF(ISERROR(VLOOKUP(K18,DATA!$F$32:$G$59,2,FALSE)),K18,VLOOKUP(K18,DATA!$F$32:$G$59,2,FALSE))+0.001))</f>
        <v>125.001</v>
      </c>
      <c r="K19" s="173">
        <v>140</v>
      </c>
      <c r="L19" s="221">
        <v>1000</v>
      </c>
      <c r="M19" s="175"/>
      <c r="O19" s="247" t="s">
        <v>176</v>
      </c>
      <c r="P19" s="248" t="s">
        <v>372</v>
      </c>
      <c r="Q19" s="249">
        <v>1</v>
      </c>
    </row>
    <row r="20" spans="3:17" x14ac:dyDescent="0.2">
      <c r="C20" s="11">
        <v>0</v>
      </c>
      <c r="D20" s="6">
        <v>0.5</v>
      </c>
      <c r="E20" s="6" t="e">
        <f ca="1">IF(OR(D7=0,H4="Kg"),0,MIN(INT(($D$7-VLOOKUP($C$7,$AD$3:$AF$5,3,FALSE)-2*E10*D10-2*E11*D11-2*E12*D12-2*E13*D13-2*E14*D14-2*E15*D15-2*E16*D16-2*E17*D17-2*E18*D18-2*E19*D19)/(2*D20)),C20/2))</f>
        <v>#N/A</v>
      </c>
      <c r="F20" s="236">
        <v>0</v>
      </c>
      <c r="G20" s="235">
        <v>0.25</v>
      </c>
      <c r="H20" s="251" t="e">
        <f ca="1">IF(OR(G7=0,H4="Lb"),0,INT(($G$7-VLOOKUP($C$7,$AD$3:$AF$5,2,FALSE)-2*H10*G10-2*H11*G11-2*H12*G12-2*H13*G13-2*H14*G14-2*H15*G15-2*H16*G16-2*H17*G17-2*H18*G18-2*H19*G19)/(2*G20)))</f>
        <v>#N/A</v>
      </c>
      <c r="I20" s="8"/>
      <c r="J20" s="172">
        <f>IF(K19="SHW",1000,IF(K20="",J19+1,IF(ISERROR(VLOOKUP(K19,DATA!$F$32:$G$59,2,FALSE)),K19,VLOOKUP(K19,DATA!$F$32:$G$59,2,FALSE))+0.001))</f>
        <v>140.001</v>
      </c>
      <c r="K20" s="173" t="s">
        <v>81</v>
      </c>
      <c r="L20" s="221">
        <v>1001</v>
      </c>
      <c r="M20" s="175"/>
      <c r="O20" s="247" t="s">
        <v>177</v>
      </c>
      <c r="P20" s="248" t="s">
        <v>373</v>
      </c>
      <c r="Q20" s="249">
        <v>1</v>
      </c>
    </row>
    <row r="21" spans="3:17" ht="13.5" thickBot="1" x14ac:dyDescent="0.25">
      <c r="C21" s="291" t="s">
        <v>78</v>
      </c>
      <c r="D21" s="292"/>
      <c r="E21" s="6">
        <v>1</v>
      </c>
      <c r="F21" s="293" t="s">
        <v>78</v>
      </c>
      <c r="G21" s="293"/>
      <c r="H21" s="10">
        <v>1</v>
      </c>
      <c r="I21" s="8"/>
      <c r="J21" s="172">
        <f>IF(K20="SHW",1000,IF(K21="",J20+1,IF(ISERROR(VLOOKUP(K20,DATA!$F$32:$G$59,2,FALSE)),K20,VLOOKUP(K20,DATA!$F$32:$G$59,2,FALSE))+0.001))</f>
        <v>1000</v>
      </c>
      <c r="K21" s="173"/>
      <c r="L21" s="172">
        <f>IF(M20="SHW",1000,IF(M21="",L20+1,IF(ISERROR(VLOOKUP(M20,DATA!$F$32:$G$59,2,FALSE)),M20,VLOOKUP(M20,DATA!$F$32:$G$59,2,FALSE))+0.001))</f>
        <v>1002</v>
      </c>
      <c r="M21" s="175"/>
      <c r="O21" s="247" t="s">
        <v>178</v>
      </c>
      <c r="P21" s="248" t="s">
        <v>374</v>
      </c>
      <c r="Q21" s="249">
        <v>1</v>
      </c>
    </row>
    <row r="22" spans="3:17" x14ac:dyDescent="0.2">
      <c r="C22" s="9" t="s">
        <v>77</v>
      </c>
      <c r="D22" s="62">
        <v>65</v>
      </c>
      <c r="E22" s="306" t="s">
        <v>61</v>
      </c>
      <c r="F22" s="250" t="s">
        <v>77</v>
      </c>
      <c r="G22" s="252">
        <v>30</v>
      </c>
      <c r="H22" s="289" t="s">
        <v>75</v>
      </c>
      <c r="I22" s="8"/>
      <c r="J22" s="172">
        <f>IF(K21="SHW",1000,IF(K22="",J21+1,IF(ISERROR(VLOOKUP(K21,DATA!$F$32:$G$59,2,FALSE)),K21,VLOOKUP(K21,DATA!$F$32:$G$59,2,FALSE))+0.001))</f>
        <v>1001</v>
      </c>
      <c r="K22" s="173"/>
      <c r="L22" s="172">
        <f>IF(M21="SHW",1000,IF(M22="",L21+1,IF(ISERROR(VLOOKUP(M21,DATA!$F$32:$G$59,2,FALSE)),M21,VLOOKUP(M21,DATA!$F$32:$G$59,2,FALSE))+0.001))</f>
        <v>1003</v>
      </c>
      <c r="M22" s="175"/>
      <c r="O22" s="247" t="s">
        <v>179</v>
      </c>
      <c r="P22" s="248" t="s">
        <v>375</v>
      </c>
      <c r="Q22" s="249">
        <v>1</v>
      </c>
    </row>
    <row r="23" spans="3:17" ht="13.5" thickBot="1" x14ac:dyDescent="0.25">
      <c r="C23" s="255" t="s">
        <v>351</v>
      </c>
      <c r="D23" s="67">
        <v>55</v>
      </c>
      <c r="E23" s="307"/>
      <c r="F23" s="253" t="s">
        <v>351</v>
      </c>
      <c r="G23" s="254">
        <v>22.5</v>
      </c>
      <c r="H23" s="290"/>
      <c r="I23" s="8"/>
      <c r="J23" s="172">
        <f>IF(K22="SHW",1000,IF(K23="",J22+1,IF(ISERROR(VLOOKUP(K22,DATA!$F$32:$G$59,2,FALSE)),K22,VLOOKUP(K22,DATA!$F$32:$G$59,2,FALSE))+0.001))</f>
        <v>1002</v>
      </c>
      <c r="K23" s="174"/>
      <c r="L23" s="172">
        <f>IF(M22="SHW",1000,IF(M23="",L22+1,IF(ISERROR(VLOOKUP(M22,DATA!$F$32:$G$59,2,FALSE)),M22,VLOOKUP(M22,DATA!$F$32:$G$59,2,FALSE))+0.001))</f>
        <v>1004</v>
      </c>
      <c r="M23" s="176"/>
      <c r="O23" s="247" t="s">
        <v>180</v>
      </c>
      <c r="P23" s="248" t="s">
        <v>376</v>
      </c>
      <c r="Q23" s="249">
        <v>1</v>
      </c>
    </row>
    <row r="24" spans="3:17" ht="13.5" thickBot="1" x14ac:dyDescent="0.25">
      <c r="C24" s="255" t="s">
        <v>352</v>
      </c>
      <c r="D24" s="67">
        <v>55</v>
      </c>
      <c r="F24" s="255" t="s">
        <v>352</v>
      </c>
      <c r="G24" s="256">
        <v>25</v>
      </c>
      <c r="H24" s="12"/>
      <c r="I24" s="8"/>
      <c r="O24" s="247" t="s">
        <v>181</v>
      </c>
      <c r="P24" s="248" t="s">
        <v>377</v>
      </c>
      <c r="Q24" s="249">
        <v>1</v>
      </c>
    </row>
    <row r="25" spans="3:17" ht="12.75" customHeight="1" x14ac:dyDescent="0.2">
      <c r="D25" s="314" t="s">
        <v>145</v>
      </c>
      <c r="E25" s="315"/>
      <c r="F25" s="316"/>
      <c r="G25" s="339" t="s">
        <v>154</v>
      </c>
      <c r="H25" s="12"/>
      <c r="I25" s="8"/>
      <c r="O25" s="247" t="s">
        <v>378</v>
      </c>
      <c r="P25" s="248" t="s">
        <v>379</v>
      </c>
      <c r="Q25" s="249">
        <v>1</v>
      </c>
    </row>
    <row r="26" spans="3:17" ht="12.75" customHeight="1" thickBot="1" x14ac:dyDescent="0.25">
      <c r="D26" s="336"/>
      <c r="E26" s="337"/>
      <c r="F26" s="338"/>
      <c r="G26" s="340"/>
      <c r="H26" s="12"/>
      <c r="I26" s="8"/>
      <c r="O26" s="247" t="s">
        <v>380</v>
      </c>
      <c r="P26" s="248" t="s">
        <v>381</v>
      </c>
      <c r="Q26" s="249">
        <v>1</v>
      </c>
    </row>
    <row r="27" spans="3:17" ht="13.5" thickBot="1" x14ac:dyDescent="0.25">
      <c r="H27" s="12"/>
      <c r="I27" s="8"/>
      <c r="O27" s="247" t="s">
        <v>182</v>
      </c>
      <c r="P27" s="248" t="s">
        <v>382</v>
      </c>
      <c r="Q27" s="249">
        <v>1</v>
      </c>
    </row>
    <row r="28" spans="3:17" x14ac:dyDescent="0.2">
      <c r="D28" s="352" t="s">
        <v>106</v>
      </c>
      <c r="E28" s="353"/>
      <c r="F28" s="353"/>
      <c r="G28" s="354"/>
      <c r="H28" s="12"/>
      <c r="I28" s="8"/>
      <c r="K28" s="358" t="s">
        <v>112</v>
      </c>
      <c r="L28" s="359"/>
      <c r="M28" s="360"/>
      <c r="O28" s="247" t="s">
        <v>183</v>
      </c>
      <c r="P28" s="248" t="s">
        <v>383</v>
      </c>
      <c r="Q28" s="249">
        <v>1</v>
      </c>
    </row>
    <row r="29" spans="3:17" ht="13.5" thickBot="1" x14ac:dyDescent="0.25">
      <c r="C29" s="80"/>
      <c r="D29" s="355"/>
      <c r="E29" s="356"/>
      <c r="F29" s="356"/>
      <c r="G29" s="357"/>
      <c r="H29" s="12"/>
      <c r="I29" s="8"/>
      <c r="K29" s="361"/>
      <c r="L29" s="362"/>
      <c r="M29" s="363"/>
      <c r="O29" s="247" t="s">
        <v>184</v>
      </c>
      <c r="P29" s="248" t="s">
        <v>384</v>
      </c>
      <c r="Q29" s="249">
        <v>1</v>
      </c>
    </row>
    <row r="30" spans="3:17" x14ac:dyDescent="0.2">
      <c r="H30" s="12"/>
      <c r="I30" s="8"/>
      <c r="K30" s="346" t="s">
        <v>155</v>
      </c>
      <c r="L30" s="347"/>
      <c r="M30" s="348"/>
      <c r="O30" s="247" t="s">
        <v>185</v>
      </c>
      <c r="P30" s="248" t="s">
        <v>385</v>
      </c>
      <c r="Q30" s="249">
        <v>1</v>
      </c>
    </row>
    <row r="31" spans="3:17" x14ac:dyDescent="0.2">
      <c r="K31" s="349"/>
      <c r="L31" s="350"/>
      <c r="M31" s="351"/>
      <c r="O31" s="247" t="s">
        <v>186</v>
      </c>
      <c r="P31" s="248" t="s">
        <v>386</v>
      </c>
      <c r="Q31" s="249">
        <v>1</v>
      </c>
    </row>
    <row r="32" spans="3:17" ht="13.5" thickBot="1" x14ac:dyDescent="0.25">
      <c r="O32" s="247" t="s">
        <v>187</v>
      </c>
      <c r="P32" s="248" t="s">
        <v>387</v>
      </c>
      <c r="Q32" s="249">
        <v>1</v>
      </c>
    </row>
    <row r="33" spans="3:17" x14ac:dyDescent="0.2">
      <c r="C33" s="343" t="s">
        <v>147</v>
      </c>
      <c r="D33" s="344"/>
      <c r="E33" s="344"/>
      <c r="F33" s="344" t="s">
        <v>159</v>
      </c>
      <c r="G33" s="344"/>
      <c r="H33" s="345"/>
      <c r="O33" s="247" t="s">
        <v>388</v>
      </c>
      <c r="P33" s="248" t="s">
        <v>389</v>
      </c>
      <c r="Q33" s="249">
        <v>1</v>
      </c>
    </row>
    <row r="34" spans="3:17" x14ac:dyDescent="0.2">
      <c r="C34" s="291" t="s">
        <v>148</v>
      </c>
      <c r="D34" s="292"/>
      <c r="E34" s="341"/>
      <c r="F34" s="341"/>
      <c r="G34" s="341"/>
      <c r="H34" s="342"/>
      <c r="O34" s="247" t="s">
        <v>390</v>
      </c>
      <c r="P34" s="248" t="s">
        <v>391</v>
      </c>
      <c r="Q34" s="249">
        <v>1</v>
      </c>
    </row>
    <row r="35" spans="3:17" x14ac:dyDescent="0.2">
      <c r="C35" s="291" t="s">
        <v>149</v>
      </c>
      <c r="D35" s="292"/>
      <c r="E35" s="364"/>
      <c r="F35" s="365"/>
      <c r="G35" s="365"/>
      <c r="H35" s="366"/>
      <c r="O35" s="247" t="s">
        <v>188</v>
      </c>
      <c r="P35" s="248" t="s">
        <v>392</v>
      </c>
      <c r="Q35" s="249">
        <v>1</v>
      </c>
    </row>
    <row r="36" spans="3:17" ht="13.5" thickBot="1" x14ac:dyDescent="0.25">
      <c r="C36" s="334" t="s">
        <v>150</v>
      </c>
      <c r="D36" s="335"/>
      <c r="E36" s="328"/>
      <c r="F36" s="329"/>
      <c r="G36" s="329"/>
      <c r="H36" s="330"/>
      <c r="O36" s="247" t="s">
        <v>189</v>
      </c>
      <c r="P36" s="248" t="s">
        <v>393</v>
      </c>
      <c r="Q36" s="249">
        <v>1</v>
      </c>
    </row>
    <row r="37" spans="3:17" ht="13.5" thickBot="1" x14ac:dyDescent="0.25">
      <c r="O37" s="247" t="s">
        <v>190</v>
      </c>
      <c r="P37" s="248" t="s">
        <v>394</v>
      </c>
      <c r="Q37" s="249">
        <v>1</v>
      </c>
    </row>
    <row r="38" spans="3:17" ht="13.5" thickBot="1" x14ac:dyDescent="0.25">
      <c r="C38" s="210"/>
      <c r="D38" s="209"/>
      <c r="E38" s="332" t="s">
        <v>151</v>
      </c>
      <c r="F38" s="333"/>
      <c r="G38" s="208"/>
      <c r="H38" s="208"/>
      <c r="O38" s="247" t="s">
        <v>191</v>
      </c>
      <c r="P38" s="248" t="s">
        <v>395</v>
      </c>
      <c r="Q38" s="249">
        <v>1</v>
      </c>
    </row>
    <row r="39" spans="3:17" x14ac:dyDescent="0.2">
      <c r="C39" s="331"/>
      <c r="D39" s="331"/>
      <c r="E39" s="331"/>
      <c r="F39" s="331"/>
      <c r="G39" s="331"/>
      <c r="H39" s="331"/>
      <c r="O39" s="247" t="s">
        <v>192</v>
      </c>
      <c r="P39" s="248" t="s">
        <v>396</v>
      </c>
      <c r="Q39" s="249">
        <v>1</v>
      </c>
    </row>
    <row r="40" spans="3:17" ht="13.5" thickBot="1" x14ac:dyDescent="0.25">
      <c r="O40" s="247" t="s">
        <v>193</v>
      </c>
      <c r="P40" s="248" t="s">
        <v>397</v>
      </c>
      <c r="Q40" s="249">
        <v>1</v>
      </c>
    </row>
    <row r="41" spans="3:17" x14ac:dyDescent="0.2">
      <c r="C41" s="343" t="s">
        <v>160</v>
      </c>
      <c r="D41" s="344"/>
      <c r="E41" s="344"/>
      <c r="F41" s="344" t="s">
        <v>159</v>
      </c>
      <c r="G41" s="344"/>
      <c r="H41" s="345"/>
      <c r="O41" s="247" t="s">
        <v>398</v>
      </c>
      <c r="P41" s="248" t="s">
        <v>399</v>
      </c>
      <c r="Q41" s="249">
        <v>1</v>
      </c>
    </row>
    <row r="42" spans="3:17" x14ac:dyDescent="0.2">
      <c r="C42" s="291" t="s">
        <v>162</v>
      </c>
      <c r="D42" s="292"/>
      <c r="E42" s="341" t="s">
        <v>163</v>
      </c>
      <c r="F42" s="341"/>
      <c r="G42" s="341"/>
      <c r="H42" s="342"/>
      <c r="O42" s="247" t="s">
        <v>400</v>
      </c>
      <c r="P42" s="248" t="s">
        <v>401</v>
      </c>
      <c r="Q42" s="249">
        <v>1</v>
      </c>
    </row>
    <row r="43" spans="3:17" x14ac:dyDescent="0.2">
      <c r="C43" s="291" t="s">
        <v>149</v>
      </c>
      <c r="D43" s="292"/>
      <c r="E43" s="364"/>
      <c r="F43" s="365"/>
      <c r="G43" s="365"/>
      <c r="H43" s="366"/>
      <c r="O43" s="247" t="s">
        <v>194</v>
      </c>
      <c r="P43" s="248" t="s">
        <v>402</v>
      </c>
      <c r="Q43" s="249">
        <v>1</v>
      </c>
    </row>
    <row r="44" spans="3:17" ht="13.5" thickBot="1" x14ac:dyDescent="0.25">
      <c r="C44" s="334" t="s">
        <v>150</v>
      </c>
      <c r="D44" s="335"/>
      <c r="E44" s="328" t="s">
        <v>164</v>
      </c>
      <c r="F44" s="329"/>
      <c r="G44" s="329"/>
      <c r="H44" s="330"/>
      <c r="O44" s="247" t="s">
        <v>195</v>
      </c>
      <c r="P44" s="248" t="s">
        <v>403</v>
      </c>
      <c r="Q44" s="249">
        <v>1</v>
      </c>
    </row>
    <row r="45" spans="3:17" ht="13.5" thickBot="1" x14ac:dyDescent="0.25">
      <c r="C45" s="230"/>
      <c r="D45" s="230"/>
      <c r="E45" s="230"/>
      <c r="F45" s="230"/>
      <c r="G45" s="230"/>
      <c r="H45" s="230"/>
      <c r="O45" s="247" t="s">
        <v>196</v>
      </c>
      <c r="P45" s="248" t="s">
        <v>404</v>
      </c>
      <c r="Q45" s="249">
        <v>1</v>
      </c>
    </row>
    <row r="46" spans="3:17" ht="13.5" thickBot="1" x14ac:dyDescent="0.25">
      <c r="C46" s="210"/>
      <c r="D46" s="209"/>
      <c r="E46" s="332" t="s">
        <v>151</v>
      </c>
      <c r="F46" s="333"/>
      <c r="G46" s="208"/>
      <c r="H46" s="208"/>
      <c r="O46" s="247" t="s">
        <v>197</v>
      </c>
      <c r="P46" s="248" t="s">
        <v>405</v>
      </c>
      <c r="Q46" s="249">
        <v>1</v>
      </c>
    </row>
    <row r="47" spans="3:17" x14ac:dyDescent="0.2">
      <c r="C47" s="331" t="s">
        <v>165</v>
      </c>
      <c r="D47" s="331"/>
      <c r="E47" s="331"/>
      <c r="F47" s="331"/>
      <c r="G47" s="331"/>
      <c r="H47" s="331"/>
      <c r="O47" s="247" t="s">
        <v>198</v>
      </c>
      <c r="P47" s="248" t="s">
        <v>406</v>
      </c>
      <c r="Q47" s="249">
        <v>1</v>
      </c>
    </row>
    <row r="48" spans="3:17" x14ac:dyDescent="0.2">
      <c r="O48" s="247" t="s">
        <v>199</v>
      </c>
      <c r="P48" s="248" t="s">
        <v>407</v>
      </c>
      <c r="Q48" s="249">
        <v>1</v>
      </c>
    </row>
    <row r="49" spans="15:17" x14ac:dyDescent="0.2">
      <c r="O49" s="247" t="s">
        <v>408</v>
      </c>
      <c r="P49" s="248" t="s">
        <v>409</v>
      </c>
      <c r="Q49" s="249">
        <v>1</v>
      </c>
    </row>
    <row r="50" spans="15:17" x14ac:dyDescent="0.2">
      <c r="O50" s="247" t="s">
        <v>410</v>
      </c>
      <c r="P50" s="248" t="s">
        <v>411</v>
      </c>
      <c r="Q50" s="249">
        <v>1</v>
      </c>
    </row>
    <row r="51" spans="15:17" x14ac:dyDescent="0.2">
      <c r="O51" s="247" t="s">
        <v>200</v>
      </c>
      <c r="P51" s="248" t="s">
        <v>412</v>
      </c>
      <c r="Q51" s="249">
        <v>1</v>
      </c>
    </row>
    <row r="52" spans="15:17" x14ac:dyDescent="0.2">
      <c r="O52" s="247" t="s">
        <v>201</v>
      </c>
      <c r="P52" s="248" t="s">
        <v>413</v>
      </c>
      <c r="Q52" s="249">
        <v>1</v>
      </c>
    </row>
    <row r="53" spans="15:17" x14ac:dyDescent="0.2">
      <c r="O53" s="247" t="s">
        <v>202</v>
      </c>
      <c r="P53" s="248" t="s">
        <v>414</v>
      </c>
      <c r="Q53" s="249">
        <v>1</v>
      </c>
    </row>
    <row r="54" spans="15:17" x14ac:dyDescent="0.2">
      <c r="O54" s="247" t="s">
        <v>203</v>
      </c>
      <c r="P54" s="248" t="s">
        <v>415</v>
      </c>
      <c r="Q54" s="249">
        <v>1</v>
      </c>
    </row>
    <row r="55" spans="15:17" x14ac:dyDescent="0.2">
      <c r="O55" s="247" t="s">
        <v>204</v>
      </c>
      <c r="P55" s="248" t="s">
        <v>416</v>
      </c>
      <c r="Q55" s="249">
        <v>1</v>
      </c>
    </row>
    <row r="56" spans="15:17" x14ac:dyDescent="0.2">
      <c r="O56" s="247" t="s">
        <v>205</v>
      </c>
      <c r="P56" s="248" t="s">
        <v>417</v>
      </c>
      <c r="Q56" s="249">
        <v>1</v>
      </c>
    </row>
    <row r="57" spans="15:17" x14ac:dyDescent="0.2">
      <c r="O57" s="247" t="s">
        <v>418</v>
      </c>
      <c r="P57" s="248" t="s">
        <v>419</v>
      </c>
      <c r="Q57" s="249">
        <v>1</v>
      </c>
    </row>
    <row r="58" spans="15:17" x14ac:dyDescent="0.2">
      <c r="O58" s="247" t="s">
        <v>420</v>
      </c>
      <c r="P58" s="248" t="s">
        <v>421</v>
      </c>
      <c r="Q58" s="249">
        <v>1</v>
      </c>
    </row>
    <row r="59" spans="15:17" x14ac:dyDescent="0.2">
      <c r="O59" s="247" t="s">
        <v>206</v>
      </c>
      <c r="P59" s="248" t="s">
        <v>422</v>
      </c>
      <c r="Q59" s="249">
        <v>1</v>
      </c>
    </row>
    <row r="60" spans="15:17" x14ac:dyDescent="0.2">
      <c r="O60" s="247" t="s">
        <v>207</v>
      </c>
      <c r="P60" s="248" t="s">
        <v>423</v>
      </c>
      <c r="Q60" s="249">
        <v>1</v>
      </c>
    </row>
    <row r="61" spans="15:17" x14ac:dyDescent="0.2">
      <c r="O61" s="247" t="s">
        <v>208</v>
      </c>
      <c r="P61" s="248" t="s">
        <v>424</v>
      </c>
      <c r="Q61" s="249">
        <v>1</v>
      </c>
    </row>
    <row r="62" spans="15:17" x14ac:dyDescent="0.2">
      <c r="O62" s="247" t="s">
        <v>209</v>
      </c>
      <c r="P62" s="248" t="s">
        <v>425</v>
      </c>
      <c r="Q62" s="249">
        <v>1</v>
      </c>
    </row>
    <row r="63" spans="15:17" x14ac:dyDescent="0.2">
      <c r="O63" s="247" t="s">
        <v>210</v>
      </c>
      <c r="P63" s="248" t="s">
        <v>426</v>
      </c>
      <c r="Q63" s="249">
        <v>1</v>
      </c>
    </row>
    <row r="64" spans="15:17" x14ac:dyDescent="0.2">
      <c r="O64" s="247" t="s">
        <v>211</v>
      </c>
      <c r="P64" s="248" t="s">
        <v>427</v>
      </c>
      <c r="Q64" s="249">
        <v>1</v>
      </c>
    </row>
    <row r="65" spans="15:17" x14ac:dyDescent="0.2">
      <c r="O65" s="247" t="s">
        <v>428</v>
      </c>
      <c r="P65" s="248" t="s">
        <v>429</v>
      </c>
      <c r="Q65" s="249">
        <v>1</v>
      </c>
    </row>
    <row r="66" spans="15:17" x14ac:dyDescent="0.2">
      <c r="O66" s="247" t="s">
        <v>430</v>
      </c>
      <c r="P66" s="248" t="s">
        <v>431</v>
      </c>
      <c r="Q66" s="249">
        <v>1</v>
      </c>
    </row>
    <row r="67" spans="15:17" x14ac:dyDescent="0.2">
      <c r="O67" s="247" t="s">
        <v>212</v>
      </c>
      <c r="P67" s="248" t="s">
        <v>432</v>
      </c>
      <c r="Q67" s="249">
        <v>1</v>
      </c>
    </row>
    <row r="68" spans="15:17" x14ac:dyDescent="0.2">
      <c r="O68" s="247" t="s">
        <v>213</v>
      </c>
      <c r="P68" s="248" t="s">
        <v>433</v>
      </c>
      <c r="Q68" s="249">
        <v>1</v>
      </c>
    </row>
    <row r="69" spans="15:17" x14ac:dyDescent="0.2">
      <c r="O69" s="247" t="s">
        <v>214</v>
      </c>
      <c r="P69" s="248" t="s">
        <v>434</v>
      </c>
      <c r="Q69" s="249">
        <v>1</v>
      </c>
    </row>
    <row r="70" spans="15:17" x14ac:dyDescent="0.2">
      <c r="O70" s="247" t="s">
        <v>215</v>
      </c>
      <c r="P70" s="248" t="s">
        <v>435</v>
      </c>
      <c r="Q70" s="249">
        <v>1</v>
      </c>
    </row>
    <row r="71" spans="15:17" x14ac:dyDescent="0.2">
      <c r="O71" s="247" t="s">
        <v>216</v>
      </c>
      <c r="P71" s="248" t="s">
        <v>436</v>
      </c>
      <c r="Q71" s="249">
        <v>1</v>
      </c>
    </row>
    <row r="72" spans="15:17" x14ac:dyDescent="0.2">
      <c r="O72" s="247" t="s">
        <v>217</v>
      </c>
      <c r="P72" s="248" t="s">
        <v>437</v>
      </c>
      <c r="Q72" s="249">
        <v>1</v>
      </c>
    </row>
    <row r="73" spans="15:17" x14ac:dyDescent="0.2">
      <c r="O73" s="247" t="s">
        <v>438</v>
      </c>
      <c r="P73" s="248" t="s">
        <v>439</v>
      </c>
      <c r="Q73" s="249">
        <v>1</v>
      </c>
    </row>
    <row r="74" spans="15:17" x14ac:dyDescent="0.2">
      <c r="O74" s="247" t="s">
        <v>440</v>
      </c>
      <c r="P74" s="248" t="s">
        <v>441</v>
      </c>
      <c r="Q74" s="249">
        <v>1</v>
      </c>
    </row>
    <row r="75" spans="15:17" x14ac:dyDescent="0.2">
      <c r="O75" s="247" t="s">
        <v>218</v>
      </c>
      <c r="P75" s="248" t="s">
        <v>442</v>
      </c>
      <c r="Q75" s="249">
        <v>1</v>
      </c>
    </row>
    <row r="76" spans="15:17" x14ac:dyDescent="0.2">
      <c r="O76" s="247" t="s">
        <v>219</v>
      </c>
      <c r="P76" s="248" t="s">
        <v>443</v>
      </c>
      <c r="Q76" s="249">
        <v>1</v>
      </c>
    </row>
    <row r="77" spans="15:17" x14ac:dyDescent="0.2">
      <c r="O77" s="247" t="s">
        <v>220</v>
      </c>
      <c r="P77" s="248" t="s">
        <v>444</v>
      </c>
      <c r="Q77" s="249">
        <v>1</v>
      </c>
    </row>
    <row r="78" spans="15:17" x14ac:dyDescent="0.2">
      <c r="O78" s="247" t="s">
        <v>221</v>
      </c>
      <c r="P78" s="248" t="s">
        <v>445</v>
      </c>
      <c r="Q78" s="249">
        <v>1</v>
      </c>
    </row>
    <row r="79" spans="15:17" x14ac:dyDescent="0.2">
      <c r="O79" s="247" t="s">
        <v>222</v>
      </c>
      <c r="P79" s="248" t="s">
        <v>446</v>
      </c>
      <c r="Q79" s="249">
        <v>1</v>
      </c>
    </row>
    <row r="80" spans="15:17" x14ac:dyDescent="0.2">
      <c r="O80" s="247" t="s">
        <v>223</v>
      </c>
      <c r="P80" s="248" t="s">
        <v>447</v>
      </c>
      <c r="Q80" s="249">
        <v>1</v>
      </c>
    </row>
    <row r="81" spans="15:17" x14ac:dyDescent="0.2">
      <c r="O81" s="247" t="s">
        <v>448</v>
      </c>
      <c r="P81" s="248" t="s">
        <v>449</v>
      </c>
      <c r="Q81" s="249">
        <v>1</v>
      </c>
    </row>
    <row r="82" spans="15:17" x14ac:dyDescent="0.2">
      <c r="O82" s="247" t="s">
        <v>450</v>
      </c>
      <c r="P82" s="248" t="s">
        <v>451</v>
      </c>
      <c r="Q82" s="249">
        <v>1</v>
      </c>
    </row>
    <row r="83" spans="15:17" x14ac:dyDescent="0.2">
      <c r="O83" s="247" t="s">
        <v>224</v>
      </c>
      <c r="P83" s="248" t="s">
        <v>452</v>
      </c>
      <c r="Q83" s="249">
        <v>1</v>
      </c>
    </row>
    <row r="84" spans="15:17" x14ac:dyDescent="0.2">
      <c r="O84" s="247" t="s">
        <v>225</v>
      </c>
      <c r="P84" s="248" t="s">
        <v>453</v>
      </c>
      <c r="Q84" s="249">
        <v>1</v>
      </c>
    </row>
    <row r="85" spans="15:17" x14ac:dyDescent="0.2">
      <c r="O85" s="247" t="s">
        <v>226</v>
      </c>
      <c r="P85" s="248" t="s">
        <v>454</v>
      </c>
      <c r="Q85" s="249">
        <v>1</v>
      </c>
    </row>
    <row r="86" spans="15:17" x14ac:dyDescent="0.2">
      <c r="O86" s="247" t="s">
        <v>227</v>
      </c>
      <c r="P86" s="248" t="s">
        <v>455</v>
      </c>
      <c r="Q86" s="249">
        <v>1</v>
      </c>
    </row>
    <row r="87" spans="15:17" x14ac:dyDescent="0.2">
      <c r="O87" s="247" t="s">
        <v>228</v>
      </c>
      <c r="P87" s="248" t="s">
        <v>456</v>
      </c>
      <c r="Q87" s="249">
        <v>1</v>
      </c>
    </row>
    <row r="88" spans="15:17" x14ac:dyDescent="0.2">
      <c r="O88" s="247" t="s">
        <v>229</v>
      </c>
      <c r="P88" s="248" t="s">
        <v>457</v>
      </c>
      <c r="Q88" s="249">
        <v>1</v>
      </c>
    </row>
    <row r="89" spans="15:17" x14ac:dyDescent="0.2">
      <c r="O89" s="247" t="s">
        <v>458</v>
      </c>
      <c r="P89" s="248" t="s">
        <v>459</v>
      </c>
      <c r="Q89" s="249">
        <v>1</v>
      </c>
    </row>
    <row r="90" spans="15:17" x14ac:dyDescent="0.2">
      <c r="O90" s="247" t="s">
        <v>460</v>
      </c>
      <c r="P90" s="248" t="s">
        <v>461</v>
      </c>
      <c r="Q90" s="249">
        <v>1</v>
      </c>
    </row>
    <row r="91" spans="15:17" x14ac:dyDescent="0.2">
      <c r="O91" s="247" t="s">
        <v>230</v>
      </c>
      <c r="P91" s="248" t="s">
        <v>462</v>
      </c>
      <c r="Q91" s="249">
        <v>1</v>
      </c>
    </row>
    <row r="92" spans="15:17" x14ac:dyDescent="0.2">
      <c r="O92" s="247" t="s">
        <v>231</v>
      </c>
      <c r="P92" s="248" t="s">
        <v>463</v>
      </c>
      <c r="Q92" s="249">
        <v>1</v>
      </c>
    </row>
    <row r="93" spans="15:17" x14ac:dyDescent="0.2">
      <c r="O93" s="247" t="s">
        <v>232</v>
      </c>
      <c r="P93" s="248" t="s">
        <v>464</v>
      </c>
      <c r="Q93" s="249">
        <v>1</v>
      </c>
    </row>
    <row r="94" spans="15:17" x14ac:dyDescent="0.2">
      <c r="O94" s="247" t="s">
        <v>233</v>
      </c>
      <c r="P94" s="248" t="s">
        <v>465</v>
      </c>
      <c r="Q94" s="249">
        <v>1</v>
      </c>
    </row>
    <row r="95" spans="15:17" x14ac:dyDescent="0.2">
      <c r="O95" s="247" t="s">
        <v>234</v>
      </c>
      <c r="P95" s="248" t="s">
        <v>466</v>
      </c>
      <c r="Q95" s="249">
        <v>1</v>
      </c>
    </row>
    <row r="96" spans="15:17" x14ac:dyDescent="0.2">
      <c r="O96" s="247" t="s">
        <v>235</v>
      </c>
      <c r="P96" s="248" t="s">
        <v>467</v>
      </c>
      <c r="Q96" s="249">
        <v>1</v>
      </c>
    </row>
    <row r="97" spans="15:17" x14ac:dyDescent="0.2">
      <c r="O97" s="247" t="s">
        <v>468</v>
      </c>
      <c r="P97" s="248" t="s">
        <v>469</v>
      </c>
      <c r="Q97" s="243">
        <v>1</v>
      </c>
    </row>
    <row r="98" spans="15:17" x14ac:dyDescent="0.2">
      <c r="O98" s="247" t="s">
        <v>470</v>
      </c>
      <c r="P98" s="248" t="s">
        <v>471</v>
      </c>
      <c r="Q98" s="243">
        <v>1</v>
      </c>
    </row>
    <row r="99" spans="15:17" x14ac:dyDescent="0.2">
      <c r="O99" s="247" t="s">
        <v>236</v>
      </c>
      <c r="P99" s="248" t="s">
        <v>472</v>
      </c>
      <c r="Q99" s="243">
        <v>1</v>
      </c>
    </row>
    <row r="100" spans="15:17" x14ac:dyDescent="0.2">
      <c r="O100" s="247" t="s">
        <v>237</v>
      </c>
      <c r="P100" s="248" t="s">
        <v>473</v>
      </c>
      <c r="Q100" s="243">
        <v>1</v>
      </c>
    </row>
    <row r="101" spans="15:17" x14ac:dyDescent="0.2">
      <c r="O101" s="247" t="s">
        <v>238</v>
      </c>
      <c r="P101" s="248" t="s">
        <v>474</v>
      </c>
      <c r="Q101" s="243">
        <v>1</v>
      </c>
    </row>
    <row r="102" spans="15:17" x14ac:dyDescent="0.2">
      <c r="O102" s="247" t="s">
        <v>239</v>
      </c>
      <c r="P102" s="248" t="s">
        <v>475</v>
      </c>
      <c r="Q102" s="243">
        <v>1</v>
      </c>
    </row>
    <row r="103" spans="15:17" x14ac:dyDescent="0.2">
      <c r="O103" s="247" t="s">
        <v>240</v>
      </c>
      <c r="P103" s="248" t="s">
        <v>476</v>
      </c>
      <c r="Q103" s="243">
        <v>1</v>
      </c>
    </row>
    <row r="104" spans="15:17" x14ac:dyDescent="0.2">
      <c r="O104" s="247" t="s">
        <v>241</v>
      </c>
      <c r="P104" s="248" t="s">
        <v>477</v>
      </c>
      <c r="Q104" s="243">
        <v>1</v>
      </c>
    </row>
    <row r="105" spans="15:17" x14ac:dyDescent="0.2">
      <c r="O105" s="247" t="s">
        <v>478</v>
      </c>
      <c r="P105" s="248" t="s">
        <v>479</v>
      </c>
      <c r="Q105" s="243">
        <v>1</v>
      </c>
    </row>
    <row r="106" spans="15:17" x14ac:dyDescent="0.2">
      <c r="O106" s="247" t="s">
        <v>480</v>
      </c>
      <c r="P106" s="248" t="s">
        <v>481</v>
      </c>
      <c r="Q106" s="243">
        <v>1</v>
      </c>
    </row>
    <row r="107" spans="15:17" x14ac:dyDescent="0.2">
      <c r="O107" s="247" t="s">
        <v>242</v>
      </c>
      <c r="P107" s="248" t="s">
        <v>482</v>
      </c>
      <c r="Q107" s="243">
        <v>1</v>
      </c>
    </row>
    <row r="108" spans="15:17" x14ac:dyDescent="0.2">
      <c r="O108" s="247" t="s">
        <v>243</v>
      </c>
      <c r="P108" s="248" t="s">
        <v>483</v>
      </c>
      <c r="Q108" s="243">
        <v>1</v>
      </c>
    </row>
    <row r="109" spans="15:17" x14ac:dyDescent="0.2">
      <c r="O109" s="247" t="s">
        <v>244</v>
      </c>
      <c r="P109" s="248" t="s">
        <v>484</v>
      </c>
      <c r="Q109" s="243">
        <v>1</v>
      </c>
    </row>
    <row r="110" spans="15:17" x14ac:dyDescent="0.2">
      <c r="O110" s="247" t="s">
        <v>245</v>
      </c>
      <c r="P110" s="248" t="s">
        <v>485</v>
      </c>
      <c r="Q110" s="243">
        <v>1</v>
      </c>
    </row>
    <row r="111" spans="15:17" x14ac:dyDescent="0.2">
      <c r="O111" s="247" t="s">
        <v>246</v>
      </c>
      <c r="P111" s="248" t="s">
        <v>486</v>
      </c>
      <c r="Q111" s="243">
        <v>1</v>
      </c>
    </row>
    <row r="112" spans="15:17" x14ac:dyDescent="0.2">
      <c r="O112" s="247" t="s">
        <v>247</v>
      </c>
      <c r="P112" s="248" t="s">
        <v>487</v>
      </c>
      <c r="Q112" s="243">
        <v>1</v>
      </c>
    </row>
    <row r="113" spans="15:17" x14ac:dyDescent="0.2">
      <c r="O113" s="247" t="s">
        <v>488</v>
      </c>
      <c r="P113" s="248" t="s">
        <v>489</v>
      </c>
      <c r="Q113" s="243">
        <v>1</v>
      </c>
    </row>
    <row r="114" spans="15:17" x14ac:dyDescent="0.2">
      <c r="O114" s="247" t="s">
        <v>490</v>
      </c>
      <c r="P114" s="248" t="s">
        <v>491</v>
      </c>
      <c r="Q114" s="243">
        <v>1</v>
      </c>
    </row>
    <row r="115" spans="15:17" x14ac:dyDescent="0.2">
      <c r="O115" s="247" t="s">
        <v>248</v>
      </c>
      <c r="P115" s="248" t="s">
        <v>492</v>
      </c>
      <c r="Q115" s="243">
        <v>1</v>
      </c>
    </row>
    <row r="116" spans="15:17" x14ac:dyDescent="0.2">
      <c r="O116" s="247" t="s">
        <v>249</v>
      </c>
      <c r="P116" s="248" t="s">
        <v>493</v>
      </c>
      <c r="Q116" s="243">
        <v>1</v>
      </c>
    </row>
    <row r="117" spans="15:17" x14ac:dyDescent="0.2">
      <c r="O117" s="247" t="s">
        <v>250</v>
      </c>
      <c r="P117" s="248" t="s">
        <v>494</v>
      </c>
      <c r="Q117" s="243">
        <v>1</v>
      </c>
    </row>
    <row r="118" spans="15:17" x14ac:dyDescent="0.2">
      <c r="O118" s="247" t="s">
        <v>251</v>
      </c>
      <c r="P118" s="248" t="s">
        <v>495</v>
      </c>
      <c r="Q118" s="243">
        <v>1</v>
      </c>
    </row>
    <row r="119" spans="15:17" x14ac:dyDescent="0.2">
      <c r="O119" s="247" t="s">
        <v>252</v>
      </c>
      <c r="P119" s="248" t="s">
        <v>496</v>
      </c>
      <c r="Q119" s="243">
        <v>1</v>
      </c>
    </row>
    <row r="120" spans="15:17" x14ac:dyDescent="0.2">
      <c r="O120" s="247" t="s">
        <v>253</v>
      </c>
      <c r="P120" s="248" t="s">
        <v>497</v>
      </c>
      <c r="Q120" s="243">
        <v>1</v>
      </c>
    </row>
    <row r="121" spans="15:17" x14ac:dyDescent="0.2">
      <c r="O121" s="247" t="s">
        <v>498</v>
      </c>
      <c r="P121" s="248" t="s">
        <v>499</v>
      </c>
      <c r="Q121" s="243">
        <v>1</v>
      </c>
    </row>
    <row r="122" spans="15:17" x14ac:dyDescent="0.2">
      <c r="O122" s="247" t="s">
        <v>500</v>
      </c>
      <c r="P122" s="248" t="s">
        <v>501</v>
      </c>
      <c r="Q122" s="243">
        <v>1</v>
      </c>
    </row>
    <row r="123" spans="15:17" x14ac:dyDescent="0.2">
      <c r="O123" s="247" t="s">
        <v>254</v>
      </c>
      <c r="P123" s="248" t="s">
        <v>502</v>
      </c>
      <c r="Q123" s="243">
        <v>1</v>
      </c>
    </row>
    <row r="124" spans="15:17" x14ac:dyDescent="0.2">
      <c r="O124" s="247" t="s">
        <v>255</v>
      </c>
      <c r="P124" s="248" t="s">
        <v>503</v>
      </c>
      <c r="Q124" s="243">
        <v>1</v>
      </c>
    </row>
    <row r="125" spans="15:17" x14ac:dyDescent="0.2">
      <c r="O125" s="247" t="s">
        <v>256</v>
      </c>
      <c r="P125" s="248" t="s">
        <v>504</v>
      </c>
      <c r="Q125" s="243">
        <v>1</v>
      </c>
    </row>
    <row r="126" spans="15:17" x14ac:dyDescent="0.2">
      <c r="O126" s="247" t="s">
        <v>257</v>
      </c>
      <c r="P126" s="248" t="s">
        <v>505</v>
      </c>
      <c r="Q126" s="243">
        <v>1</v>
      </c>
    </row>
    <row r="127" spans="15:17" x14ac:dyDescent="0.2">
      <c r="O127" s="247" t="s">
        <v>258</v>
      </c>
      <c r="P127" s="248" t="s">
        <v>506</v>
      </c>
      <c r="Q127" s="243">
        <v>1</v>
      </c>
    </row>
    <row r="128" spans="15:17" x14ac:dyDescent="0.2">
      <c r="O128" s="247" t="s">
        <v>259</v>
      </c>
      <c r="P128" s="248" t="s">
        <v>507</v>
      </c>
      <c r="Q128" s="243">
        <v>1</v>
      </c>
    </row>
    <row r="129" spans="15:17" x14ac:dyDescent="0.2">
      <c r="O129" s="247" t="s">
        <v>508</v>
      </c>
      <c r="P129" s="248" t="s">
        <v>509</v>
      </c>
      <c r="Q129" s="243">
        <v>1</v>
      </c>
    </row>
    <row r="130" spans="15:17" x14ac:dyDescent="0.2">
      <c r="O130" s="247" t="s">
        <v>510</v>
      </c>
      <c r="P130" s="248" t="s">
        <v>511</v>
      </c>
      <c r="Q130" s="243">
        <v>1</v>
      </c>
    </row>
    <row r="131" spans="15:17" x14ac:dyDescent="0.2">
      <c r="O131" s="247" t="s">
        <v>260</v>
      </c>
      <c r="P131" s="248" t="s">
        <v>512</v>
      </c>
      <c r="Q131" s="243">
        <v>1</v>
      </c>
    </row>
    <row r="132" spans="15:17" x14ac:dyDescent="0.2">
      <c r="O132" s="247" t="s">
        <v>261</v>
      </c>
      <c r="P132" s="248" t="s">
        <v>513</v>
      </c>
      <c r="Q132" s="243">
        <v>1</v>
      </c>
    </row>
    <row r="133" spans="15:17" x14ac:dyDescent="0.2">
      <c r="O133" s="247" t="s">
        <v>262</v>
      </c>
      <c r="P133" s="248" t="s">
        <v>514</v>
      </c>
      <c r="Q133" s="243">
        <v>1</v>
      </c>
    </row>
    <row r="134" spans="15:17" x14ac:dyDescent="0.2">
      <c r="O134" s="247" t="s">
        <v>263</v>
      </c>
      <c r="P134" s="248" t="s">
        <v>515</v>
      </c>
      <c r="Q134" s="243">
        <v>1</v>
      </c>
    </row>
    <row r="135" spans="15:17" x14ac:dyDescent="0.2">
      <c r="O135" s="247" t="s">
        <v>264</v>
      </c>
      <c r="P135" s="248" t="s">
        <v>516</v>
      </c>
      <c r="Q135" s="243">
        <v>1</v>
      </c>
    </row>
    <row r="136" spans="15:17" x14ac:dyDescent="0.2">
      <c r="O136" s="247" t="s">
        <v>265</v>
      </c>
      <c r="P136" s="248" t="s">
        <v>517</v>
      </c>
      <c r="Q136" s="243">
        <v>1</v>
      </c>
    </row>
    <row r="137" spans="15:17" x14ac:dyDescent="0.2">
      <c r="O137" s="247" t="s">
        <v>518</v>
      </c>
      <c r="P137" s="248" t="s">
        <v>519</v>
      </c>
      <c r="Q137" s="243">
        <v>1</v>
      </c>
    </row>
    <row r="138" spans="15:17" x14ac:dyDescent="0.2">
      <c r="O138" s="247" t="s">
        <v>520</v>
      </c>
      <c r="P138" s="248" t="s">
        <v>521</v>
      </c>
      <c r="Q138" s="243">
        <v>1</v>
      </c>
    </row>
    <row r="139" spans="15:17" x14ac:dyDescent="0.2">
      <c r="O139" s="247" t="s">
        <v>266</v>
      </c>
      <c r="P139" s="248" t="s">
        <v>522</v>
      </c>
      <c r="Q139" s="243">
        <v>1</v>
      </c>
    </row>
    <row r="140" spans="15:17" x14ac:dyDescent="0.2">
      <c r="O140" s="247" t="s">
        <v>267</v>
      </c>
      <c r="P140" s="248" t="s">
        <v>523</v>
      </c>
      <c r="Q140" s="243">
        <v>1</v>
      </c>
    </row>
    <row r="141" spans="15:17" x14ac:dyDescent="0.2">
      <c r="O141" s="247" t="s">
        <v>268</v>
      </c>
      <c r="P141" s="248" t="s">
        <v>524</v>
      </c>
      <c r="Q141" s="243">
        <v>1</v>
      </c>
    </row>
    <row r="142" spans="15:17" x14ac:dyDescent="0.2">
      <c r="O142" s="247" t="s">
        <v>269</v>
      </c>
      <c r="P142" s="248" t="s">
        <v>525</v>
      </c>
      <c r="Q142" s="243">
        <v>1</v>
      </c>
    </row>
    <row r="143" spans="15:17" x14ac:dyDescent="0.2">
      <c r="O143" s="247" t="s">
        <v>270</v>
      </c>
      <c r="P143" s="248" t="s">
        <v>526</v>
      </c>
      <c r="Q143" s="243">
        <v>1</v>
      </c>
    </row>
    <row r="144" spans="15:17" x14ac:dyDescent="0.2">
      <c r="O144" s="247" t="s">
        <v>271</v>
      </c>
      <c r="P144" s="248" t="s">
        <v>527</v>
      </c>
      <c r="Q144" s="243">
        <v>1</v>
      </c>
    </row>
    <row r="145" spans="15:17" x14ac:dyDescent="0.2">
      <c r="O145" s="247" t="s">
        <v>528</v>
      </c>
      <c r="P145" s="248" t="s">
        <v>529</v>
      </c>
      <c r="Q145" s="243">
        <v>1</v>
      </c>
    </row>
    <row r="146" spans="15:17" x14ac:dyDescent="0.2">
      <c r="O146" s="247" t="s">
        <v>530</v>
      </c>
      <c r="P146" s="248" t="s">
        <v>531</v>
      </c>
      <c r="Q146" s="243">
        <v>1</v>
      </c>
    </row>
    <row r="147" spans="15:17" x14ac:dyDescent="0.2">
      <c r="O147" s="247" t="s">
        <v>272</v>
      </c>
      <c r="P147" s="248" t="s">
        <v>532</v>
      </c>
      <c r="Q147" s="243">
        <v>1</v>
      </c>
    </row>
    <row r="148" spans="15:17" x14ac:dyDescent="0.2">
      <c r="O148" s="247" t="s">
        <v>273</v>
      </c>
      <c r="P148" s="248" t="s">
        <v>533</v>
      </c>
      <c r="Q148" s="243">
        <v>1</v>
      </c>
    </row>
    <row r="149" spans="15:17" x14ac:dyDescent="0.2">
      <c r="O149" s="247" t="s">
        <v>274</v>
      </c>
      <c r="P149" s="248" t="s">
        <v>534</v>
      </c>
      <c r="Q149" s="243">
        <v>1</v>
      </c>
    </row>
    <row r="150" spans="15:17" x14ac:dyDescent="0.2">
      <c r="O150" s="247" t="s">
        <v>275</v>
      </c>
      <c r="P150" s="248" t="s">
        <v>535</v>
      </c>
      <c r="Q150" s="243">
        <v>1</v>
      </c>
    </row>
    <row r="151" spans="15:17" x14ac:dyDescent="0.2">
      <c r="O151" s="247" t="s">
        <v>276</v>
      </c>
      <c r="P151" s="248" t="s">
        <v>536</v>
      </c>
      <c r="Q151" s="243">
        <v>1</v>
      </c>
    </row>
    <row r="152" spans="15:17" x14ac:dyDescent="0.2">
      <c r="O152" s="247" t="s">
        <v>277</v>
      </c>
      <c r="P152" s="248" t="s">
        <v>537</v>
      </c>
      <c r="Q152" s="243">
        <v>1</v>
      </c>
    </row>
    <row r="153" spans="15:17" x14ac:dyDescent="0.2">
      <c r="O153" s="247" t="s">
        <v>538</v>
      </c>
      <c r="P153" s="248" t="s">
        <v>539</v>
      </c>
      <c r="Q153" s="243">
        <v>1</v>
      </c>
    </row>
    <row r="154" spans="15:17" x14ac:dyDescent="0.2">
      <c r="O154" s="247" t="s">
        <v>540</v>
      </c>
      <c r="P154" s="248" t="s">
        <v>541</v>
      </c>
      <c r="Q154" s="243">
        <v>1</v>
      </c>
    </row>
    <row r="155" spans="15:17" x14ac:dyDescent="0.2">
      <c r="O155" s="247" t="s">
        <v>278</v>
      </c>
      <c r="P155" s="248" t="s">
        <v>542</v>
      </c>
      <c r="Q155" s="243">
        <v>1</v>
      </c>
    </row>
    <row r="156" spans="15:17" x14ac:dyDescent="0.2">
      <c r="O156" s="247" t="s">
        <v>279</v>
      </c>
      <c r="P156" s="248" t="s">
        <v>543</v>
      </c>
      <c r="Q156" s="243">
        <v>1</v>
      </c>
    </row>
    <row r="157" spans="15:17" x14ac:dyDescent="0.2">
      <c r="O157" s="247" t="s">
        <v>280</v>
      </c>
      <c r="P157" s="248" t="s">
        <v>544</v>
      </c>
      <c r="Q157" s="243">
        <v>1</v>
      </c>
    </row>
    <row r="158" spans="15:17" x14ac:dyDescent="0.2">
      <c r="O158" s="247" t="s">
        <v>281</v>
      </c>
      <c r="P158" s="248" t="s">
        <v>545</v>
      </c>
      <c r="Q158" s="243">
        <v>1</v>
      </c>
    </row>
    <row r="159" spans="15:17" x14ac:dyDescent="0.2">
      <c r="O159" s="247" t="s">
        <v>282</v>
      </c>
      <c r="P159" s="248" t="s">
        <v>546</v>
      </c>
      <c r="Q159" s="243">
        <v>1</v>
      </c>
    </row>
    <row r="160" spans="15:17" x14ac:dyDescent="0.2">
      <c r="O160" s="247" t="s">
        <v>283</v>
      </c>
      <c r="P160" s="248" t="s">
        <v>547</v>
      </c>
      <c r="Q160" s="243">
        <v>1</v>
      </c>
    </row>
    <row r="161" spans="15:17" x14ac:dyDescent="0.2">
      <c r="O161" s="247" t="s">
        <v>548</v>
      </c>
      <c r="P161" s="248" t="s">
        <v>549</v>
      </c>
      <c r="Q161" s="243">
        <v>1</v>
      </c>
    </row>
    <row r="162" spans="15:17" x14ac:dyDescent="0.2">
      <c r="O162" s="247" t="s">
        <v>550</v>
      </c>
      <c r="P162" s="248" t="s">
        <v>551</v>
      </c>
      <c r="Q162" s="243">
        <v>1</v>
      </c>
    </row>
    <row r="163" spans="15:17" x14ac:dyDescent="0.2">
      <c r="O163" s="247" t="s">
        <v>284</v>
      </c>
      <c r="P163" s="248" t="s">
        <v>552</v>
      </c>
      <c r="Q163" s="243">
        <v>1</v>
      </c>
    </row>
    <row r="164" spans="15:17" x14ac:dyDescent="0.2">
      <c r="O164" s="247" t="s">
        <v>285</v>
      </c>
      <c r="P164" s="248" t="s">
        <v>553</v>
      </c>
      <c r="Q164" s="243">
        <v>1</v>
      </c>
    </row>
    <row r="165" spans="15:17" x14ac:dyDescent="0.2">
      <c r="O165" s="247" t="s">
        <v>286</v>
      </c>
      <c r="P165" s="248" t="s">
        <v>554</v>
      </c>
      <c r="Q165" s="243">
        <v>1</v>
      </c>
    </row>
    <row r="166" spans="15:17" x14ac:dyDescent="0.2">
      <c r="O166" s="247" t="s">
        <v>287</v>
      </c>
      <c r="P166" s="248" t="s">
        <v>555</v>
      </c>
      <c r="Q166" s="243">
        <v>1</v>
      </c>
    </row>
    <row r="167" spans="15:17" x14ac:dyDescent="0.2">
      <c r="O167" s="247" t="s">
        <v>288</v>
      </c>
      <c r="P167" s="248" t="s">
        <v>556</v>
      </c>
      <c r="Q167" s="243">
        <v>1</v>
      </c>
    </row>
    <row r="168" spans="15:17" x14ac:dyDescent="0.2">
      <c r="O168" s="247" t="s">
        <v>289</v>
      </c>
      <c r="P168" s="248" t="s">
        <v>557</v>
      </c>
      <c r="Q168" s="243">
        <v>1</v>
      </c>
    </row>
    <row r="169" spans="15:17" x14ac:dyDescent="0.2">
      <c r="O169" s="247" t="s">
        <v>558</v>
      </c>
      <c r="P169" s="248" t="s">
        <v>559</v>
      </c>
      <c r="Q169" s="243">
        <v>1</v>
      </c>
    </row>
    <row r="170" spans="15:17" x14ac:dyDescent="0.2">
      <c r="O170" s="247" t="s">
        <v>560</v>
      </c>
      <c r="P170" s="248" t="s">
        <v>561</v>
      </c>
      <c r="Q170" s="243">
        <v>1</v>
      </c>
    </row>
    <row r="171" spans="15:17" x14ac:dyDescent="0.2">
      <c r="O171" s="247" t="s">
        <v>290</v>
      </c>
      <c r="P171" s="248" t="s">
        <v>562</v>
      </c>
      <c r="Q171" s="243">
        <v>1</v>
      </c>
    </row>
    <row r="172" spans="15:17" x14ac:dyDescent="0.2">
      <c r="O172" s="247" t="s">
        <v>291</v>
      </c>
      <c r="P172" s="248" t="s">
        <v>563</v>
      </c>
      <c r="Q172" s="243">
        <v>1</v>
      </c>
    </row>
    <row r="173" spans="15:17" x14ac:dyDescent="0.2">
      <c r="O173" s="247" t="s">
        <v>292</v>
      </c>
      <c r="P173" s="248" t="s">
        <v>564</v>
      </c>
      <c r="Q173" s="243">
        <v>1</v>
      </c>
    </row>
    <row r="174" spans="15:17" x14ac:dyDescent="0.2">
      <c r="O174" s="247" t="s">
        <v>293</v>
      </c>
      <c r="P174" s="248" t="s">
        <v>565</v>
      </c>
      <c r="Q174" s="243">
        <v>1</v>
      </c>
    </row>
    <row r="175" spans="15:17" x14ac:dyDescent="0.2">
      <c r="O175" s="247" t="s">
        <v>294</v>
      </c>
      <c r="P175" s="248" t="s">
        <v>566</v>
      </c>
      <c r="Q175" s="243">
        <v>1</v>
      </c>
    </row>
    <row r="176" spans="15:17" x14ac:dyDescent="0.2">
      <c r="O176" s="247" t="s">
        <v>295</v>
      </c>
      <c r="P176" s="248" t="s">
        <v>567</v>
      </c>
      <c r="Q176" s="243">
        <v>1</v>
      </c>
    </row>
    <row r="177" spans="15:17" x14ac:dyDescent="0.2">
      <c r="O177" s="247" t="s">
        <v>568</v>
      </c>
      <c r="P177" s="248" t="s">
        <v>569</v>
      </c>
      <c r="Q177" s="243">
        <v>1</v>
      </c>
    </row>
    <row r="178" spans="15:17" x14ac:dyDescent="0.2">
      <c r="O178" s="247" t="s">
        <v>570</v>
      </c>
      <c r="P178" s="248" t="s">
        <v>571</v>
      </c>
      <c r="Q178" s="243">
        <v>1</v>
      </c>
    </row>
    <row r="179" spans="15:17" x14ac:dyDescent="0.2">
      <c r="O179" s="247" t="s">
        <v>296</v>
      </c>
      <c r="P179" s="248" t="s">
        <v>572</v>
      </c>
      <c r="Q179" s="243">
        <v>1</v>
      </c>
    </row>
    <row r="180" spans="15:17" x14ac:dyDescent="0.2">
      <c r="O180" s="247" t="s">
        <v>297</v>
      </c>
      <c r="P180" s="248" t="s">
        <v>573</v>
      </c>
      <c r="Q180" s="243">
        <v>1</v>
      </c>
    </row>
    <row r="181" spans="15:17" x14ac:dyDescent="0.2">
      <c r="O181" s="247" t="s">
        <v>298</v>
      </c>
      <c r="P181" s="248" t="s">
        <v>574</v>
      </c>
      <c r="Q181" s="243">
        <v>1</v>
      </c>
    </row>
    <row r="182" spans="15:17" x14ac:dyDescent="0.2">
      <c r="O182" s="247" t="s">
        <v>299</v>
      </c>
      <c r="P182" s="248" t="s">
        <v>575</v>
      </c>
      <c r="Q182" s="243">
        <v>1</v>
      </c>
    </row>
    <row r="183" spans="15:17" x14ac:dyDescent="0.2">
      <c r="O183" s="247" t="s">
        <v>300</v>
      </c>
      <c r="P183" s="248" t="s">
        <v>576</v>
      </c>
      <c r="Q183" s="243">
        <v>1</v>
      </c>
    </row>
    <row r="184" spans="15:17" x14ac:dyDescent="0.2">
      <c r="O184" s="247" t="s">
        <v>301</v>
      </c>
      <c r="P184" s="248" t="s">
        <v>577</v>
      </c>
      <c r="Q184" s="243">
        <v>1</v>
      </c>
    </row>
    <row r="185" spans="15:17" x14ac:dyDescent="0.2">
      <c r="O185" s="247" t="s">
        <v>578</v>
      </c>
      <c r="P185" s="248" t="s">
        <v>579</v>
      </c>
      <c r="Q185" s="243">
        <v>1</v>
      </c>
    </row>
    <row r="186" spans="15:17" x14ac:dyDescent="0.2">
      <c r="O186" s="247" t="s">
        <v>580</v>
      </c>
      <c r="P186" s="248" t="s">
        <v>581</v>
      </c>
      <c r="Q186" s="243">
        <v>1</v>
      </c>
    </row>
    <row r="187" spans="15:17" x14ac:dyDescent="0.2">
      <c r="O187" s="247" t="s">
        <v>302</v>
      </c>
      <c r="P187" s="248" t="s">
        <v>582</v>
      </c>
      <c r="Q187" s="243">
        <v>1</v>
      </c>
    </row>
    <row r="188" spans="15:17" x14ac:dyDescent="0.2">
      <c r="O188" s="247" t="s">
        <v>303</v>
      </c>
      <c r="P188" s="248" t="s">
        <v>583</v>
      </c>
      <c r="Q188" s="243">
        <v>1</v>
      </c>
    </row>
    <row r="189" spans="15:17" x14ac:dyDescent="0.2">
      <c r="O189" s="247" t="s">
        <v>304</v>
      </c>
      <c r="P189" s="248" t="s">
        <v>584</v>
      </c>
      <c r="Q189" s="243">
        <v>1</v>
      </c>
    </row>
    <row r="190" spans="15:17" x14ac:dyDescent="0.2">
      <c r="O190" s="247" t="s">
        <v>305</v>
      </c>
      <c r="P190" s="248" t="s">
        <v>585</v>
      </c>
      <c r="Q190" s="243">
        <v>1</v>
      </c>
    </row>
    <row r="191" spans="15:17" x14ac:dyDescent="0.2">
      <c r="O191" s="247" t="s">
        <v>306</v>
      </c>
      <c r="P191" s="248" t="s">
        <v>586</v>
      </c>
      <c r="Q191" s="243">
        <v>1</v>
      </c>
    </row>
    <row r="192" spans="15:17" x14ac:dyDescent="0.2">
      <c r="O192" s="247" t="s">
        <v>307</v>
      </c>
      <c r="P192" s="248" t="s">
        <v>587</v>
      </c>
      <c r="Q192" s="243">
        <v>1</v>
      </c>
    </row>
    <row r="193" spans="15:17" x14ac:dyDescent="0.2">
      <c r="O193" s="247" t="s">
        <v>588</v>
      </c>
      <c r="P193" s="248" t="s">
        <v>589</v>
      </c>
      <c r="Q193" s="243">
        <v>1</v>
      </c>
    </row>
    <row r="194" spans="15:17" x14ac:dyDescent="0.2">
      <c r="O194" s="247" t="s">
        <v>590</v>
      </c>
      <c r="P194" s="248" t="s">
        <v>591</v>
      </c>
      <c r="Q194" s="243">
        <v>1</v>
      </c>
    </row>
    <row r="195" spans="15:17" x14ac:dyDescent="0.2">
      <c r="O195" s="247" t="s">
        <v>308</v>
      </c>
      <c r="P195" s="248" t="s">
        <v>592</v>
      </c>
      <c r="Q195" s="243">
        <v>1</v>
      </c>
    </row>
    <row r="196" spans="15:17" x14ac:dyDescent="0.2">
      <c r="O196" s="247" t="s">
        <v>309</v>
      </c>
      <c r="P196" s="248" t="s">
        <v>593</v>
      </c>
      <c r="Q196" s="243">
        <v>1</v>
      </c>
    </row>
    <row r="197" spans="15:17" x14ac:dyDescent="0.2">
      <c r="O197" s="247" t="s">
        <v>310</v>
      </c>
      <c r="P197" s="248" t="s">
        <v>594</v>
      </c>
      <c r="Q197" s="243">
        <v>1</v>
      </c>
    </row>
    <row r="198" spans="15:17" x14ac:dyDescent="0.2">
      <c r="O198" s="247" t="s">
        <v>311</v>
      </c>
      <c r="P198" s="248" t="s">
        <v>595</v>
      </c>
      <c r="Q198" s="243">
        <v>1</v>
      </c>
    </row>
    <row r="199" spans="15:17" x14ac:dyDescent="0.2">
      <c r="O199" s="247" t="s">
        <v>312</v>
      </c>
      <c r="P199" s="248" t="s">
        <v>596</v>
      </c>
      <c r="Q199" s="243">
        <v>1</v>
      </c>
    </row>
    <row r="200" spans="15:17" x14ac:dyDescent="0.2">
      <c r="O200" s="247" t="s">
        <v>313</v>
      </c>
      <c r="P200" s="248" t="s">
        <v>597</v>
      </c>
      <c r="Q200" s="243">
        <v>1</v>
      </c>
    </row>
    <row r="201" spans="15:17" x14ac:dyDescent="0.2">
      <c r="O201" s="247" t="s">
        <v>598</v>
      </c>
      <c r="P201" s="248" t="s">
        <v>599</v>
      </c>
      <c r="Q201" s="243">
        <v>1</v>
      </c>
    </row>
    <row r="202" spans="15:17" x14ac:dyDescent="0.2">
      <c r="O202" s="247" t="s">
        <v>600</v>
      </c>
      <c r="P202" s="248" t="s">
        <v>601</v>
      </c>
      <c r="Q202" s="243">
        <v>1</v>
      </c>
    </row>
    <row r="203" spans="15:17" x14ac:dyDescent="0.2">
      <c r="O203" s="247" t="s">
        <v>314</v>
      </c>
      <c r="P203" s="248" t="s">
        <v>602</v>
      </c>
      <c r="Q203" s="243">
        <v>1</v>
      </c>
    </row>
    <row r="204" spans="15:17" x14ac:dyDescent="0.2">
      <c r="O204" s="247" t="s">
        <v>315</v>
      </c>
      <c r="P204" s="248" t="s">
        <v>603</v>
      </c>
      <c r="Q204" s="243">
        <v>1</v>
      </c>
    </row>
    <row r="205" spans="15:17" x14ac:dyDescent="0.2">
      <c r="O205" s="247" t="s">
        <v>316</v>
      </c>
      <c r="P205" s="248" t="s">
        <v>604</v>
      </c>
      <c r="Q205" s="243">
        <v>1</v>
      </c>
    </row>
    <row r="206" spans="15:17" x14ac:dyDescent="0.2">
      <c r="O206" s="247" t="s">
        <v>317</v>
      </c>
      <c r="P206" s="248" t="s">
        <v>605</v>
      </c>
      <c r="Q206" s="243">
        <v>1</v>
      </c>
    </row>
    <row r="207" spans="15:17" x14ac:dyDescent="0.2">
      <c r="O207" s="247" t="s">
        <v>318</v>
      </c>
      <c r="P207" s="248" t="s">
        <v>606</v>
      </c>
      <c r="Q207" s="243">
        <v>1</v>
      </c>
    </row>
    <row r="208" spans="15:17" x14ac:dyDescent="0.2">
      <c r="O208" s="247" t="s">
        <v>319</v>
      </c>
      <c r="P208" s="248" t="s">
        <v>607</v>
      </c>
      <c r="Q208" s="243">
        <v>1</v>
      </c>
    </row>
    <row r="209" spans="15:17" x14ac:dyDescent="0.2">
      <c r="O209" s="247" t="s">
        <v>608</v>
      </c>
      <c r="P209" s="248" t="s">
        <v>609</v>
      </c>
      <c r="Q209" s="243">
        <v>1</v>
      </c>
    </row>
    <row r="210" spans="15:17" x14ac:dyDescent="0.2">
      <c r="O210" s="247" t="s">
        <v>610</v>
      </c>
      <c r="P210" s="248" t="s">
        <v>611</v>
      </c>
      <c r="Q210" s="243">
        <v>1</v>
      </c>
    </row>
    <row r="211" spans="15:17" x14ac:dyDescent="0.2">
      <c r="O211" s="247" t="s">
        <v>320</v>
      </c>
      <c r="P211" s="248" t="s">
        <v>612</v>
      </c>
      <c r="Q211" s="243">
        <v>1</v>
      </c>
    </row>
    <row r="212" spans="15:17" x14ac:dyDescent="0.2">
      <c r="O212" s="247" t="s">
        <v>321</v>
      </c>
      <c r="P212" s="248" t="s">
        <v>613</v>
      </c>
      <c r="Q212" s="243">
        <v>1</v>
      </c>
    </row>
    <row r="213" spans="15:17" x14ac:dyDescent="0.2">
      <c r="O213" s="247" t="s">
        <v>322</v>
      </c>
      <c r="P213" s="248" t="s">
        <v>614</v>
      </c>
      <c r="Q213" s="243">
        <v>1</v>
      </c>
    </row>
    <row r="214" spans="15:17" x14ac:dyDescent="0.2">
      <c r="O214" s="247" t="s">
        <v>323</v>
      </c>
      <c r="P214" s="248" t="s">
        <v>615</v>
      </c>
      <c r="Q214" s="243">
        <v>1</v>
      </c>
    </row>
    <row r="215" spans="15:17" x14ac:dyDescent="0.2">
      <c r="O215" s="247" t="s">
        <v>324</v>
      </c>
      <c r="P215" s="248" t="s">
        <v>616</v>
      </c>
      <c r="Q215" s="243">
        <v>1</v>
      </c>
    </row>
    <row r="216" spans="15:17" x14ac:dyDescent="0.2">
      <c r="O216" s="247" t="s">
        <v>325</v>
      </c>
      <c r="P216" s="248" t="s">
        <v>617</v>
      </c>
      <c r="Q216" s="243">
        <v>1</v>
      </c>
    </row>
    <row r="217" spans="15:17" x14ac:dyDescent="0.2">
      <c r="O217" s="247" t="s">
        <v>618</v>
      </c>
      <c r="P217" s="248" t="s">
        <v>619</v>
      </c>
      <c r="Q217" s="243">
        <v>1</v>
      </c>
    </row>
    <row r="218" spans="15:17" x14ac:dyDescent="0.2">
      <c r="O218" s="247" t="s">
        <v>620</v>
      </c>
      <c r="P218" s="248" t="s">
        <v>621</v>
      </c>
      <c r="Q218" s="243">
        <v>1</v>
      </c>
    </row>
    <row r="219" spans="15:17" x14ac:dyDescent="0.2">
      <c r="O219" s="247" t="s">
        <v>326</v>
      </c>
      <c r="P219" s="248" t="s">
        <v>622</v>
      </c>
      <c r="Q219" s="243">
        <v>1</v>
      </c>
    </row>
    <row r="220" spans="15:17" x14ac:dyDescent="0.2">
      <c r="O220" s="247" t="s">
        <v>327</v>
      </c>
      <c r="P220" s="248" t="s">
        <v>623</v>
      </c>
      <c r="Q220" s="243">
        <v>1</v>
      </c>
    </row>
    <row r="221" spans="15:17" x14ac:dyDescent="0.2">
      <c r="O221" s="247" t="s">
        <v>328</v>
      </c>
      <c r="P221" s="248" t="s">
        <v>624</v>
      </c>
      <c r="Q221" s="243">
        <v>1</v>
      </c>
    </row>
    <row r="222" spans="15:17" x14ac:dyDescent="0.2">
      <c r="O222" s="247" t="s">
        <v>329</v>
      </c>
      <c r="P222" s="248" t="s">
        <v>625</v>
      </c>
      <c r="Q222" s="243">
        <v>1</v>
      </c>
    </row>
    <row r="223" spans="15:17" x14ac:dyDescent="0.2">
      <c r="O223" s="247" t="s">
        <v>330</v>
      </c>
      <c r="P223" s="248" t="s">
        <v>626</v>
      </c>
      <c r="Q223" s="243">
        <v>1</v>
      </c>
    </row>
    <row r="224" spans="15:17" x14ac:dyDescent="0.2">
      <c r="O224" s="247" t="s">
        <v>331</v>
      </c>
      <c r="P224" s="248" t="s">
        <v>627</v>
      </c>
      <c r="Q224" s="243">
        <v>1</v>
      </c>
    </row>
    <row r="225" spans="15:17" x14ac:dyDescent="0.2">
      <c r="O225" s="247" t="s">
        <v>628</v>
      </c>
      <c r="P225" s="248" t="s">
        <v>629</v>
      </c>
      <c r="Q225" s="243">
        <v>1</v>
      </c>
    </row>
    <row r="226" spans="15:17" x14ac:dyDescent="0.2">
      <c r="O226" s="247" t="s">
        <v>630</v>
      </c>
      <c r="P226" s="248" t="s">
        <v>631</v>
      </c>
      <c r="Q226" s="243">
        <v>1</v>
      </c>
    </row>
    <row r="227" spans="15:17" x14ac:dyDescent="0.2">
      <c r="O227" s="247" t="s">
        <v>332</v>
      </c>
      <c r="P227" s="248" t="s">
        <v>632</v>
      </c>
      <c r="Q227" s="243">
        <v>1</v>
      </c>
    </row>
    <row r="228" spans="15:17" x14ac:dyDescent="0.2">
      <c r="O228" s="247" t="s">
        <v>333</v>
      </c>
      <c r="P228" s="248" t="s">
        <v>633</v>
      </c>
      <c r="Q228" s="243">
        <v>1</v>
      </c>
    </row>
    <row r="229" spans="15:17" x14ac:dyDescent="0.2">
      <c r="O229" s="247" t="s">
        <v>334</v>
      </c>
      <c r="P229" s="248" t="s">
        <v>634</v>
      </c>
      <c r="Q229" s="243">
        <v>1</v>
      </c>
    </row>
    <row r="230" spans="15:17" x14ac:dyDescent="0.2">
      <c r="O230" s="247" t="s">
        <v>335</v>
      </c>
      <c r="P230" s="248" t="s">
        <v>635</v>
      </c>
      <c r="Q230" s="243">
        <v>1</v>
      </c>
    </row>
    <row r="231" spans="15:17" x14ac:dyDescent="0.2">
      <c r="O231" s="247" t="s">
        <v>336</v>
      </c>
      <c r="P231" s="248" t="s">
        <v>636</v>
      </c>
      <c r="Q231" s="243">
        <v>1</v>
      </c>
    </row>
    <row r="232" spans="15:17" x14ac:dyDescent="0.2">
      <c r="O232" s="247" t="s">
        <v>337</v>
      </c>
      <c r="P232" s="248" t="s">
        <v>637</v>
      </c>
      <c r="Q232" s="243">
        <v>1</v>
      </c>
    </row>
    <row r="233" spans="15:17" x14ac:dyDescent="0.2">
      <c r="O233" s="247" t="s">
        <v>638</v>
      </c>
      <c r="P233" s="248" t="s">
        <v>639</v>
      </c>
      <c r="Q233" s="243">
        <v>1</v>
      </c>
    </row>
    <row r="234" spans="15:17" x14ac:dyDescent="0.2">
      <c r="O234" s="247" t="s">
        <v>640</v>
      </c>
      <c r="P234" s="248" t="s">
        <v>641</v>
      </c>
      <c r="Q234" s="243">
        <v>1</v>
      </c>
    </row>
    <row r="235" spans="15:17" x14ac:dyDescent="0.2">
      <c r="O235" s="247" t="s">
        <v>338</v>
      </c>
      <c r="P235" s="248" t="s">
        <v>642</v>
      </c>
      <c r="Q235" s="243">
        <v>1</v>
      </c>
    </row>
    <row r="236" spans="15:17" x14ac:dyDescent="0.2">
      <c r="O236" s="247" t="s">
        <v>339</v>
      </c>
      <c r="P236" s="248" t="s">
        <v>643</v>
      </c>
      <c r="Q236" s="243">
        <v>1</v>
      </c>
    </row>
    <row r="237" spans="15:17" x14ac:dyDescent="0.2">
      <c r="O237" s="247" t="s">
        <v>340</v>
      </c>
      <c r="P237" s="248" t="s">
        <v>644</v>
      </c>
      <c r="Q237" s="243">
        <v>1</v>
      </c>
    </row>
    <row r="238" spans="15:17" x14ac:dyDescent="0.2">
      <c r="O238" s="247" t="s">
        <v>341</v>
      </c>
      <c r="P238" s="248" t="s">
        <v>645</v>
      </c>
      <c r="Q238" s="243">
        <v>1</v>
      </c>
    </row>
    <row r="239" spans="15:17" x14ac:dyDescent="0.2">
      <c r="O239" s="247" t="s">
        <v>342</v>
      </c>
      <c r="P239" s="248" t="s">
        <v>646</v>
      </c>
      <c r="Q239" s="243">
        <v>1</v>
      </c>
    </row>
    <row r="240" spans="15:17" x14ac:dyDescent="0.2">
      <c r="O240" s="247" t="s">
        <v>343</v>
      </c>
      <c r="P240" s="248" t="s">
        <v>647</v>
      </c>
      <c r="Q240" s="243">
        <v>1</v>
      </c>
    </row>
    <row r="241" spans="15:17" x14ac:dyDescent="0.2">
      <c r="O241" s="247" t="s">
        <v>648</v>
      </c>
      <c r="P241" s="248" t="s">
        <v>649</v>
      </c>
      <c r="Q241" s="243">
        <v>1</v>
      </c>
    </row>
    <row r="242" spans="15:17" x14ac:dyDescent="0.2">
      <c r="O242" s="247" t="s">
        <v>650</v>
      </c>
      <c r="P242" s="248" t="s">
        <v>651</v>
      </c>
      <c r="Q242" s="243">
        <v>1</v>
      </c>
    </row>
    <row r="243" spans="15:17" x14ac:dyDescent="0.2">
      <c r="O243" s="247" t="s">
        <v>344</v>
      </c>
      <c r="P243" s="248" t="s">
        <v>652</v>
      </c>
      <c r="Q243" s="243">
        <v>1</v>
      </c>
    </row>
    <row r="244" spans="15:17" x14ac:dyDescent="0.2">
      <c r="O244" s="247" t="s">
        <v>345</v>
      </c>
      <c r="P244" s="248" t="s">
        <v>653</v>
      </c>
      <c r="Q244" s="243">
        <v>1</v>
      </c>
    </row>
    <row r="245" spans="15:17" x14ac:dyDescent="0.2">
      <c r="O245" s="247" t="s">
        <v>346</v>
      </c>
      <c r="P245" s="248" t="s">
        <v>654</v>
      </c>
      <c r="Q245" s="243">
        <v>1</v>
      </c>
    </row>
    <row r="246" spans="15:17" x14ac:dyDescent="0.2">
      <c r="O246" s="247" t="s">
        <v>347</v>
      </c>
      <c r="P246" s="248" t="s">
        <v>655</v>
      </c>
      <c r="Q246" s="243">
        <v>1</v>
      </c>
    </row>
  </sheetData>
  <mergeCells count="42"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</mergeCells>
  <phoneticPr fontId="0" type="noConversion"/>
  <conditionalFormatting sqref="D6:E23 C6 C8:C23">
    <cfRule type="expression" dxfId="242" priority="5" stopIfTrue="1">
      <formula>AND($H$4="Kg")</formula>
    </cfRule>
  </conditionalFormatting>
  <conditionalFormatting sqref="F6:H9 F21:H23">
    <cfRule type="expression" dxfId="241" priority="6" stopIfTrue="1">
      <formula>AND($H$4="Lb")</formula>
    </cfRule>
  </conditionalFormatting>
  <conditionalFormatting sqref="F10:G20">
    <cfRule type="expression" dxfId="240" priority="4" stopIfTrue="1">
      <formula>AND($H$4="Lb")</formula>
    </cfRule>
  </conditionalFormatting>
  <conditionalFormatting sqref="F24:G24">
    <cfRule type="expression" dxfId="239" priority="3" stopIfTrue="1">
      <formula>AND($H$4="Lb")</formula>
    </cfRule>
  </conditionalFormatting>
  <conditionalFormatting sqref="H10:H20">
    <cfRule type="expression" dxfId="238" priority="2" stopIfTrue="1">
      <formula>AND($H$4="Lb")</formula>
    </cfRule>
  </conditionalFormatting>
  <conditionalFormatting sqref="C24:D24">
    <cfRule type="expression" dxfId="237" priority="1" stopIfTrue="1">
      <formula>AND($H$4="Kg")</formula>
    </cfRule>
  </conditionalFormatting>
  <dataValidations xWindow="324" yWindow="610" count="15">
    <dataValidation type="list" allowBlank="1" showInputMessage="1" showErrorMessage="1" sqref="O2 D2">
      <formula1>$BB$1:$BF$1</formula1>
    </dataValidation>
    <dataValidation type="list" allowBlank="1" showInputMessage="1" showErrorMessage="1" sqref="C10:C12 C14 F14 F10:F11 J24:J25">
      <formula1>"0,2,4,6,8,10,12,14,16,18,20"</formula1>
    </dataValidation>
    <dataValidation type="list" allowBlank="1" showInputMessage="1" showErrorMessage="1" sqref="J26:J28 C13 C15:C18 F13 F15:F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>
      <formula1>"20,22.5,25,27.5,30,32.5,35"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 F41:H41">
      <formula1>"Enable,Disable"</formula1>
    </dataValidation>
    <dataValidation type="list" allowBlank="1" showInputMessage="1" showErrorMessage="1" sqref="C42:D42">
      <formula1>$X$2:$X$3</formula1>
    </dataValidation>
    <dataValidation type="list" allowBlank="1" showInputMessage="1" showErrorMessage="1" sqref="F12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>
      <formula1>"1,2,3"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101"/>
  <sheetViews>
    <sheetView workbookViewId="0">
      <selection activeCell="D10" sqref="D10"/>
    </sheetView>
  </sheetViews>
  <sheetFormatPr defaultColWidth="8.85546875" defaultRowHeight="12.75" x14ac:dyDescent="0.2"/>
  <sheetData>
    <row r="1" s="121" customFormat="1" ht="24" thickBot="1" x14ac:dyDescent="0.25"/>
    <row r="2" s="91" customFormat="1" ht="24.75" customHeight="1" thickBot="1" x14ac:dyDescent="0.25"/>
    <row r="3" s="244" customFormat="1" x14ac:dyDescent="0.2"/>
    <row r="10" s="244" customFormat="1" x14ac:dyDescent="0.2"/>
    <row r="11" s="245" customFormat="1" x14ac:dyDescent="0.2"/>
    <row r="12" s="121" customFormat="1" ht="23.25" x14ac:dyDescent="0.2"/>
    <row r="13" s="121" customFormat="1" ht="23.25" x14ac:dyDescent="0.2"/>
    <row r="15" s="244" customFormat="1" x14ac:dyDescent="0.2"/>
    <row r="30" s="244" customFormat="1" x14ac:dyDescent="0.2"/>
    <row r="37" s="245" customFormat="1" x14ac:dyDescent="0.2"/>
    <row r="51" s="244" customFormat="1" x14ac:dyDescent="0.2"/>
    <row r="55" s="244" customFormat="1" x14ac:dyDescent="0.2"/>
    <row r="88" s="244" customFormat="1" x14ac:dyDescent="0.2"/>
    <row r="89" s="245" customFormat="1" x14ac:dyDescent="0.2"/>
    <row r="101" s="121" customFormat="1" ht="23.25" x14ac:dyDescent="0.2"/>
  </sheetData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ColWidth="8.85546875" defaultRowHeight="12.75" x14ac:dyDescent="0.2"/>
  <cols>
    <col min="1" max="2" width="8.85546875" style="5"/>
    <col min="5" max="5" width="8.28515625" customWidth="1"/>
    <col min="6" max="6" width="9.42578125" customWidth="1"/>
    <col min="7" max="7" width="16.42578125" customWidth="1"/>
    <col min="8" max="8" width="9.28515625" customWidth="1"/>
    <col min="9" max="9" width="6.7109375" customWidth="1"/>
    <col min="12" max="22" width="8.85546875" style="2"/>
  </cols>
  <sheetData>
    <row r="1" spans="1:22" ht="36" x14ac:dyDescent="0.2">
      <c r="A1" s="43" t="s">
        <v>1</v>
      </c>
      <c r="B1" s="43" t="s">
        <v>3</v>
      </c>
      <c r="E1" s="69" t="s">
        <v>40</v>
      </c>
      <c r="F1" s="69"/>
      <c r="G1" s="69"/>
      <c r="H1" s="69"/>
      <c r="L1" s="92" t="s">
        <v>82</v>
      </c>
      <c r="M1" s="124" t="s">
        <v>113</v>
      </c>
      <c r="N1" s="124" t="s">
        <v>114</v>
      </c>
      <c r="O1" s="93" t="s">
        <v>118</v>
      </c>
      <c r="P1" s="93" t="s">
        <v>117</v>
      </c>
      <c r="Q1" s="92" t="s">
        <v>91</v>
      </c>
      <c r="R1" s="92" t="s">
        <v>92</v>
      </c>
      <c r="S1" s="93" t="s">
        <v>115</v>
      </c>
      <c r="T1" s="93" t="s">
        <v>116</v>
      </c>
      <c r="U1" s="93" t="s">
        <v>152</v>
      </c>
      <c r="V1" s="93" t="s">
        <v>153</v>
      </c>
    </row>
    <row r="2" spans="1:22" x14ac:dyDescent="0.2">
      <c r="A2" s="44">
        <v>14</v>
      </c>
      <c r="B2" s="44">
        <v>1.23</v>
      </c>
      <c r="C2" s="410" t="s">
        <v>72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4">
        <v>15</v>
      </c>
      <c r="B3" s="44">
        <v>1.18</v>
      </c>
      <c r="C3" s="410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4">
        <v>16</v>
      </c>
      <c r="B4" s="44">
        <v>1.1299999999999999</v>
      </c>
      <c r="C4" s="410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5">
        <v>17</v>
      </c>
      <c r="B5" s="45">
        <v>1.08</v>
      </c>
      <c r="C5" s="410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5">
        <v>18</v>
      </c>
      <c r="B6" s="45">
        <v>1.06</v>
      </c>
      <c r="C6" s="410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5">
        <v>19</v>
      </c>
      <c r="B7" s="45">
        <v>1.04</v>
      </c>
      <c r="C7" s="410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5">
        <v>20</v>
      </c>
      <c r="B8" s="45">
        <v>1.03</v>
      </c>
      <c r="C8" s="410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5">
        <v>21</v>
      </c>
      <c r="B9" s="45">
        <v>1.02</v>
      </c>
      <c r="C9" s="410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5">
        <v>22</v>
      </c>
      <c r="B10" s="45">
        <v>1.01</v>
      </c>
      <c r="C10" s="410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10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70"/>
      <c r="E12" s="408" t="s">
        <v>39</v>
      </c>
      <c r="F12" s="409"/>
      <c r="G12" s="71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6">
        <v>40</v>
      </c>
      <c r="B13" s="46">
        <v>1</v>
      </c>
      <c r="C13" s="411" t="s">
        <v>73</v>
      </c>
      <c r="D13" s="64"/>
      <c r="E13" s="72" t="s">
        <v>82</v>
      </c>
      <c r="F13" s="74" t="s">
        <v>83</v>
      </c>
      <c r="G13" s="3" t="s">
        <v>131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6">
        <v>41</v>
      </c>
      <c r="B14" s="46">
        <v>1.01</v>
      </c>
      <c r="C14" s="411"/>
      <c r="D14" s="64"/>
      <c r="E14" s="72">
        <v>44</v>
      </c>
      <c r="F14" s="74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6">
        <v>42</v>
      </c>
      <c r="B15" s="46">
        <v>1.02</v>
      </c>
      <c r="C15" s="411"/>
      <c r="D15" s="64"/>
      <c r="E15" s="72">
        <v>48</v>
      </c>
      <c r="F15" s="74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6">
        <v>43</v>
      </c>
      <c r="B16" s="46">
        <v>1.0309999999999999</v>
      </c>
      <c r="C16" s="411"/>
      <c r="D16" s="64"/>
      <c r="E16" s="72">
        <v>52</v>
      </c>
      <c r="F16" s="74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6">
        <v>44</v>
      </c>
      <c r="B17" s="46">
        <v>1.0429999999999999</v>
      </c>
      <c r="C17" s="411"/>
      <c r="D17" s="64"/>
      <c r="E17" s="72">
        <v>56</v>
      </c>
      <c r="F17" s="74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6">
        <v>45</v>
      </c>
      <c r="B18" s="46">
        <v>1.0549999999999999</v>
      </c>
      <c r="C18" s="411"/>
      <c r="D18" s="64"/>
      <c r="E18" s="72">
        <v>60</v>
      </c>
      <c r="F18" s="74">
        <v>132</v>
      </c>
      <c r="G18" s="3">
        <v>132.27600000000001</v>
      </c>
      <c r="J18" s="63"/>
      <c r="K18" s="63"/>
      <c r="L18" s="94">
        <v>41.7</v>
      </c>
      <c r="M18" s="94">
        <v>1.2562500000000001</v>
      </c>
      <c r="N18" s="94">
        <v>1.3065</v>
      </c>
      <c r="O18" s="94">
        <v>1.2466999999999999</v>
      </c>
      <c r="P18" s="94">
        <v>1.1578999999999999</v>
      </c>
      <c r="Q18" s="94">
        <v>1.2658</v>
      </c>
      <c r="R18" s="94">
        <v>1.4574</v>
      </c>
      <c r="S18" s="2">
        <v>1.2562500000000001</v>
      </c>
      <c r="T18" s="2">
        <v>1.3065</v>
      </c>
      <c r="V18" s="2">
        <v>2.9018000000000002</v>
      </c>
      <c r="W18" s="63"/>
      <c r="X18" s="64"/>
      <c r="Y18" s="64"/>
    </row>
    <row r="19" spans="1:25" ht="12.75" customHeight="1" x14ac:dyDescent="0.2">
      <c r="A19" s="46">
        <v>46</v>
      </c>
      <c r="B19" s="46">
        <v>1.0680000000000001</v>
      </c>
      <c r="C19" s="411"/>
      <c r="D19" s="64"/>
      <c r="E19" s="72">
        <v>67.5</v>
      </c>
      <c r="F19" s="74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6">
        <v>47</v>
      </c>
      <c r="B20" s="46">
        <v>1.0820000000000001</v>
      </c>
      <c r="C20" s="411"/>
      <c r="D20" s="64"/>
      <c r="E20" s="72">
        <v>75</v>
      </c>
      <c r="F20" s="74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6">
        <v>48</v>
      </c>
      <c r="B21" s="46">
        <v>1.097</v>
      </c>
      <c r="C21" s="411"/>
      <c r="D21" s="64"/>
      <c r="E21" s="72">
        <v>82.5</v>
      </c>
      <c r="F21" s="74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6">
        <v>49</v>
      </c>
      <c r="B22" s="46">
        <v>1.113</v>
      </c>
      <c r="C22" s="411"/>
      <c r="D22" s="64"/>
      <c r="E22" s="72">
        <v>90</v>
      </c>
      <c r="F22" s="74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6">
        <v>50</v>
      </c>
      <c r="B23" s="46">
        <v>1.1299999999999999</v>
      </c>
      <c r="D23" s="64"/>
      <c r="E23" s="72">
        <v>100</v>
      </c>
      <c r="F23" s="74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6">
        <v>51</v>
      </c>
      <c r="B24" s="46">
        <v>1.147</v>
      </c>
      <c r="D24" s="64"/>
      <c r="E24" s="72">
        <v>110</v>
      </c>
      <c r="F24" s="74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6">
        <v>52</v>
      </c>
      <c r="B25" s="46">
        <v>1.165</v>
      </c>
      <c r="D25" s="64"/>
      <c r="E25" s="72">
        <v>125</v>
      </c>
      <c r="F25" s="74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6">
        <v>53</v>
      </c>
      <c r="B26" s="46">
        <v>1.1839999999999999</v>
      </c>
      <c r="D26" s="64"/>
      <c r="E26" s="72">
        <v>140</v>
      </c>
      <c r="F26" s="74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6">
        <v>54</v>
      </c>
      <c r="B27" s="46">
        <v>1.204</v>
      </c>
      <c r="D27" s="64"/>
      <c r="E27" s="72">
        <v>145</v>
      </c>
      <c r="F27" s="74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6">
        <v>55</v>
      </c>
      <c r="B28" s="46">
        <v>1.2250000000000001</v>
      </c>
      <c r="D28" s="64"/>
      <c r="E28" s="73" t="s">
        <v>81</v>
      </c>
      <c r="F28" s="75" t="s">
        <v>81</v>
      </c>
      <c r="G28" s="171" t="s">
        <v>132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6">
        <v>56</v>
      </c>
      <c r="B29" s="46">
        <v>1.246</v>
      </c>
      <c r="D29" s="64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7">
        <v>57</v>
      </c>
      <c r="B30" s="47">
        <v>1.268</v>
      </c>
      <c r="D30" s="64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8">
        <v>58</v>
      </c>
      <c r="B31" s="48">
        <v>1.2909999999999999</v>
      </c>
      <c r="D31" s="64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8">
        <v>59</v>
      </c>
      <c r="B32" s="48">
        <v>1.3149999999999999</v>
      </c>
      <c r="D32" s="64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8">
        <v>60</v>
      </c>
      <c r="B33" s="48">
        <v>1.34</v>
      </c>
      <c r="D33" s="64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8">
        <v>61</v>
      </c>
      <c r="B34" s="48">
        <v>1.3660000000000001</v>
      </c>
      <c r="D34" s="64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8">
        <v>62</v>
      </c>
      <c r="B35" s="48">
        <v>1.393</v>
      </c>
      <c r="D35" s="64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8">
        <v>63</v>
      </c>
      <c r="B36" s="48">
        <v>1.421</v>
      </c>
      <c r="D36" s="64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8">
        <v>64</v>
      </c>
      <c r="B37" s="48">
        <v>1.45</v>
      </c>
      <c r="D37" s="64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8">
        <v>65</v>
      </c>
      <c r="B38" s="48">
        <v>1.48</v>
      </c>
      <c r="D38" s="64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8">
        <v>66</v>
      </c>
      <c r="B39" s="48">
        <v>1.5109999999999999</v>
      </c>
      <c r="D39" s="64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8">
        <v>67</v>
      </c>
      <c r="B40" s="48">
        <v>1.5429999999999999</v>
      </c>
      <c r="D40" s="64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8">
        <v>68</v>
      </c>
      <c r="B41" s="48">
        <v>1.5760000000000001</v>
      </c>
      <c r="D41" s="64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8">
        <v>69</v>
      </c>
      <c r="B42" s="48">
        <v>1.61</v>
      </c>
      <c r="D42" s="64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8">
        <v>70</v>
      </c>
      <c r="B43" s="48">
        <v>1.645</v>
      </c>
      <c r="D43" s="64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8">
        <v>71</v>
      </c>
      <c r="B44" s="48">
        <v>1.681</v>
      </c>
      <c r="D44" s="64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8">
        <v>72</v>
      </c>
      <c r="B45" s="48">
        <v>1.718</v>
      </c>
      <c r="D45" s="64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8">
        <v>73</v>
      </c>
      <c r="B46" s="48">
        <v>1.756</v>
      </c>
      <c r="D46" s="64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8">
        <v>74</v>
      </c>
      <c r="B47" s="48">
        <v>1.7949999999999999</v>
      </c>
      <c r="D47" s="64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8">
        <v>75</v>
      </c>
      <c r="B48" s="48">
        <v>1.835</v>
      </c>
      <c r="D48" s="64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8">
        <v>76</v>
      </c>
      <c r="B49" s="48">
        <v>1.8759999999999999</v>
      </c>
      <c r="D49" s="64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8">
        <v>77</v>
      </c>
      <c r="B50" s="48">
        <v>1.9179999999999999</v>
      </c>
      <c r="D50" s="64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8">
        <v>78</v>
      </c>
      <c r="B51" s="48">
        <v>1.9610000000000001</v>
      </c>
      <c r="D51" s="64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8">
        <v>79</v>
      </c>
      <c r="B52" s="48">
        <v>2.0049999999999999</v>
      </c>
      <c r="D52" s="64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8">
        <v>80</v>
      </c>
      <c r="B53" s="48">
        <v>2.0499999999999998</v>
      </c>
      <c r="D53" s="64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2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2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2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2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2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2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2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2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2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2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2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2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2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2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2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2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2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2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2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2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2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2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2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2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2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2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2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2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2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2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2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2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2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2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2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2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2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2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2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2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2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2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2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2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2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2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2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2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2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2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2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2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2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12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2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2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2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2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2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2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2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2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2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2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2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2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2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2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2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2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2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2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2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2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2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2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2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2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2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2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2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2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2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2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2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2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2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2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2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2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2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2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2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2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2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2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2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2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2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2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2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2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2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2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2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2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2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2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2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2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2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2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2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2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2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2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2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2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2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2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2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2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2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2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2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2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2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2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2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2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2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2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2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2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2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2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2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2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2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2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2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2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2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2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2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2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2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2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93</v>
      </c>
      <c r="P860" s="12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2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2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2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2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2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2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2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2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2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2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2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2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2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2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2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2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2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2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2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2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2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2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2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2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2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2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2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2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2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2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2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2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2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2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2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2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2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2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2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2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2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2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2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2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2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2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2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2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2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12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2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2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2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2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2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2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2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2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2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2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12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2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2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2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2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2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2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2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2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2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2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2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2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2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2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2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2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2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2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2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2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2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2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2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2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2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2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2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2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2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2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2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2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2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2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2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2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2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2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12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2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2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2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2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2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2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2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2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2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2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2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2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2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2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2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2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2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2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2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2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2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2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2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2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2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2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2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2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2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2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2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2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2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2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2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2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2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2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2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2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2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2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2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2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2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2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2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2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2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2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12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2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2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2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2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2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2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2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2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2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2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2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2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2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2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2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2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2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2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2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2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2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2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2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2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2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2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2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2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2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2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2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2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2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2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2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2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2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2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2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2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2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2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2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12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2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2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2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2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2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2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2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2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2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2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2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2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2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2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2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2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2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2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2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2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2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2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2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2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12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2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2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2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2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2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2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2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2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2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12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2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2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2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2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2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2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2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2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2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2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2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2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2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2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2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2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2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2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2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2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2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2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2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2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2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2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2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2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2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2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2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2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2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2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2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12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2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2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2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2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12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2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2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2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2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2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2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2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2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2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2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2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2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2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2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2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2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2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2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2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2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2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2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2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2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2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2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2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2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2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2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2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2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2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2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2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2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2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2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2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2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2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2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2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2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2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2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2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2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2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2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2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2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2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2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2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2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2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2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2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2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2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2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2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2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2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2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2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2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2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12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2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2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2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2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2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2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2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2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2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2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2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2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2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2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2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2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2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2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2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2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2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2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2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2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2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2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2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2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2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2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2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2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2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2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2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2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2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2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2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12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2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2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2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2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2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2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2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2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2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2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2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2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2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2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2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2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2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2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2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2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2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2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2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2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2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2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2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2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2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2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2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2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2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2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2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2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2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2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2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2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2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2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2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2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2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2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2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2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2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2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2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2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2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2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2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2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2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2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2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2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2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2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2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2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2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2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2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2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2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2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2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2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2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2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2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2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2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2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2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2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2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2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2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2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2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2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2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2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2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2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2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2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2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2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2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2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2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2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2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2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2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2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2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2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2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2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2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2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2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2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2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2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2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2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2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2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2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2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2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2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2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2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2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2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2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2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2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2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2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2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2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2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2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2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2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2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2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2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2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2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2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2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2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2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2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2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2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2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2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2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2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2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2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2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2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2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2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2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2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2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2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2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2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2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2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2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2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2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2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2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2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2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2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2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2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2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2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2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2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2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2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2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2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2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2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2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2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2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2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2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2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2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2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2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2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2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2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2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2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2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2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2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2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2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2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2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2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2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2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2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2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2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2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2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2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2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2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2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2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2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2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2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2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2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2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2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2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2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2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2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2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2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2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2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2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2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2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2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2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2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2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2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2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2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2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2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2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2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2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2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2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2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2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2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2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2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2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2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2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2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2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2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2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2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2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2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2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2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2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2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2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2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2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2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2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2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2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2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2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2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2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2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2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2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2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2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2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2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2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2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2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2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2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2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2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2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2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2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2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2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2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2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2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2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2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2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2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2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2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2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2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2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2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2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2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2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2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2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2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2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2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2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2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2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2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2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2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2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2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2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2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2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2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2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2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2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2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2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2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2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2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2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2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2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2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2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2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2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2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2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2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2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2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2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2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2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2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2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2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2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2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2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2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2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2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2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2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2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2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2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2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2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2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2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2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2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2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2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2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2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2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2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2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2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2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2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2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2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2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2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2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2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2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2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2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2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2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2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2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2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2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2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2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2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2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2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2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2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2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2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2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2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2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2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2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2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2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2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2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2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2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2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2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2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2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2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2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2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2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2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2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2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2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2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2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2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2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2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2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2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2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2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2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2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2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2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2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2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2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2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2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2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2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2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2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2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2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2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2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2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2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2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2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2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2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2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2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2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2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2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2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2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2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2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2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2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2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2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2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2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2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2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2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2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2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2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2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2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2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2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2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2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2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2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2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2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2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2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2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2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2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2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2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2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2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2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2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2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2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2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2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2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2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2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2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2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2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2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2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2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2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2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2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2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2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2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2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2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2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2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2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2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2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2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2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2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2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2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2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2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2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2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2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2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2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2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2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2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2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2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2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2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2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2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2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2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2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2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2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2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2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2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2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2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2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2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2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2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2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2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2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2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2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2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2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2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2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2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2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2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2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2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2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2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2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2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2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2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2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2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2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2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2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2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2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2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2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2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2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2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2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2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2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2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2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2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2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2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2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2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2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2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2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2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2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2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2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2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2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2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2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2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2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2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2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2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2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2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2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2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2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2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2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2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2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2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2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2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2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2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2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2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2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2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2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2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2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2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2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2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2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2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2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2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2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2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2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2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2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2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2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2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2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2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2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2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2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2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2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" right="0.7" top="0.75" bottom="0.75" header="0.3" footer="0.3"/>
      <pageSetup orientation="portrait"/>
      <headerFooter alignWithMargins="0"/>
    </customSheetView>
    <customSheetView guid="{2277625D-7ADF-41CA-830E-413FDD10097D}" showRuler="0">
      <pageMargins left="0.7" right="0.7" top="0.75" bottom="0.75" header="0.3" footer="0.3"/>
      <pageSetup orientation="portrait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90"/>
  <sheetViews>
    <sheetView topLeftCell="H73" workbookViewId="0">
      <selection sqref="A1:T99"/>
    </sheetView>
  </sheetViews>
  <sheetFormatPr defaultColWidth="8.85546875" defaultRowHeight="12.75" x14ac:dyDescent="0.2"/>
  <sheetData>
    <row r="1" s="121" customFormat="1" ht="24" thickBot="1" x14ac:dyDescent="0.25"/>
    <row r="2" s="91" customFormat="1" ht="13.5" thickBot="1" x14ac:dyDescent="0.25"/>
    <row r="5" s="121" customFormat="1" ht="14.25" customHeight="1" x14ac:dyDescent="0.2"/>
    <row r="29" ht="12.75" customHeight="1" x14ac:dyDescent="0.2"/>
    <row r="38" ht="13.5" customHeight="1" x14ac:dyDescent="0.2"/>
    <row r="40" ht="12.75" customHeight="1" x14ac:dyDescent="0.2"/>
    <row r="51" s="121" customFormat="1" ht="23.25" x14ac:dyDescent="0.2"/>
    <row r="90" ht="13.5" customHeight="1" x14ac:dyDescent="0.2"/>
  </sheetData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464"/>
  <sheetViews>
    <sheetView topLeftCell="C1" workbookViewId="0">
      <selection activeCell="F8" sqref="F8"/>
    </sheetView>
  </sheetViews>
  <sheetFormatPr defaultColWidth="9.140625" defaultRowHeight="11.25" x14ac:dyDescent="0.2"/>
  <cols>
    <col min="1" max="1" width="9.140625" style="50" hidden="1" customWidth="1"/>
    <col min="2" max="2" width="3.140625" style="49" hidden="1" customWidth="1"/>
    <col min="3" max="3" width="15.85546875" style="60" customWidth="1"/>
    <col min="4" max="4" width="4.140625" style="49" customWidth="1"/>
    <col min="5" max="5" width="4.7109375" style="49" customWidth="1"/>
    <col min="6" max="6" width="5.85546875" style="49" customWidth="1"/>
    <col min="7" max="7" width="5.42578125" style="49" customWidth="1"/>
    <col min="8" max="8" width="8.28515625" style="54" customWidth="1"/>
    <col min="9" max="9" width="3.7109375" style="49" hidden="1" customWidth="1"/>
    <col min="10" max="10" width="5.7109375" style="49" hidden="1" customWidth="1"/>
    <col min="11" max="13" width="5.7109375" style="49" customWidth="1"/>
    <col min="14" max="16" width="5.7109375" style="49" hidden="1" customWidth="1"/>
    <col min="17" max="19" width="5.7109375" style="49" customWidth="1"/>
    <col min="20" max="22" width="5.7109375" style="49" hidden="1" customWidth="1"/>
    <col min="23" max="25" width="5.7109375" style="51" customWidth="1"/>
    <col min="26" max="27" width="5.7109375" style="49" hidden="1" customWidth="1"/>
    <col min="28" max="28" width="7" style="55" customWidth="1"/>
    <col min="29" max="30" width="7" style="58" customWidth="1"/>
    <col min="31" max="31" width="5.28515625" style="103" customWidth="1"/>
    <col min="32" max="32" width="7.85546875" style="103" customWidth="1"/>
    <col min="33" max="33" width="7" style="58" customWidth="1"/>
    <col min="34" max="34" width="8.7109375" style="58" customWidth="1"/>
    <col min="35" max="35" width="8.42578125" style="56" customWidth="1"/>
    <col min="36" max="36" width="9.140625" style="50" hidden="1" customWidth="1"/>
    <col min="37" max="47" width="0" style="50" hidden="1" customWidth="1"/>
    <col min="48" max="16384" width="9.140625" style="50"/>
  </cols>
  <sheetData>
    <row r="1" spans="1:35" ht="28.5" customHeight="1" thickBot="1" x14ac:dyDescent="0.45">
      <c r="C1" s="149" t="str">
        <f>Setup!K2</f>
        <v>Date</v>
      </c>
      <c r="D1" s="412" t="str">
        <f>Setup!C2</f>
        <v>Contest Name</v>
      </c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4"/>
    </row>
    <row r="2" spans="1:35" s="150" customFormat="1" ht="34.5" customHeight="1" thickBot="1" x14ac:dyDescent="0.25">
      <c r="A2" s="150" t="s">
        <v>31</v>
      </c>
      <c r="B2" s="151" t="s">
        <v>105</v>
      </c>
      <c r="C2" s="152" t="s">
        <v>0</v>
      </c>
      <c r="D2" s="153" t="s">
        <v>1</v>
      </c>
      <c r="E2" s="153" t="s">
        <v>29</v>
      </c>
      <c r="F2" s="153" t="str">
        <f>Lifting!F8</f>
        <v>BWt (Kg)</v>
      </c>
      <c r="G2" s="153" t="str">
        <f>Lifting!G8</f>
        <v>WtCls (Kg)</v>
      </c>
      <c r="H2" s="154" t="str">
        <f>Lifting!H8</f>
        <v>Glossbrenner</v>
      </c>
      <c r="I2" s="153" t="s">
        <v>2</v>
      </c>
      <c r="J2" s="153" t="s">
        <v>26</v>
      </c>
      <c r="K2" s="153" t="s">
        <v>22</v>
      </c>
      <c r="L2" s="153" t="s">
        <v>23</v>
      </c>
      <c r="M2" s="153" t="s">
        <v>24</v>
      </c>
      <c r="N2" s="153" t="s">
        <v>25</v>
      </c>
      <c r="O2" s="153" t="s">
        <v>11</v>
      </c>
      <c r="P2" s="153" t="s">
        <v>27</v>
      </c>
      <c r="Q2" s="153" t="s">
        <v>12</v>
      </c>
      <c r="R2" s="153" t="s">
        <v>13</v>
      </c>
      <c r="S2" s="153" t="s">
        <v>14</v>
      </c>
      <c r="T2" s="153" t="s">
        <v>28</v>
      </c>
      <c r="U2" s="153" t="s">
        <v>15</v>
      </c>
      <c r="V2" s="153" t="s">
        <v>16</v>
      </c>
      <c r="W2" s="153" t="s">
        <v>17</v>
      </c>
      <c r="X2" s="153" t="s">
        <v>18</v>
      </c>
      <c r="Y2" s="153" t="s">
        <v>19</v>
      </c>
      <c r="Z2" s="153" t="s">
        <v>20</v>
      </c>
      <c r="AA2" s="153" t="s">
        <v>21</v>
      </c>
      <c r="AB2" s="155" t="str">
        <f>Lifting!AB8</f>
        <v>PL Total</v>
      </c>
      <c r="AC2" s="156" t="s">
        <v>90</v>
      </c>
      <c r="AD2" s="156" t="s">
        <v>95</v>
      </c>
      <c r="AE2" s="156" t="s">
        <v>100</v>
      </c>
      <c r="AF2" s="156" t="s">
        <v>30</v>
      </c>
      <c r="AG2" s="156" t="s">
        <v>37</v>
      </c>
      <c r="AH2" s="156" t="s">
        <v>44</v>
      </c>
      <c r="AI2" s="157" t="s">
        <v>101</v>
      </c>
    </row>
    <row r="3" spans="1:35" ht="14.25" customHeight="1" x14ac:dyDescent="0.2">
      <c r="B3" s="51"/>
      <c r="C3" s="61"/>
      <c r="D3" s="51"/>
      <c r="E3" s="51"/>
      <c r="F3" s="51"/>
      <c r="G3" s="51"/>
      <c r="H3" s="52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Z3" s="51"/>
      <c r="AA3" s="51"/>
      <c r="AB3" s="57"/>
      <c r="AC3" s="59"/>
      <c r="AD3" s="59"/>
      <c r="AE3" s="102"/>
      <c r="AF3" s="102"/>
      <c r="AG3" s="59"/>
      <c r="AH3" s="59"/>
      <c r="AI3" s="53"/>
    </row>
    <row r="4" spans="1:35" ht="14.25" customHeight="1" x14ac:dyDescent="0.2">
      <c r="B4" s="51"/>
      <c r="C4" s="61"/>
      <c r="D4" s="51"/>
      <c r="E4" s="51"/>
      <c r="F4" s="51"/>
      <c r="G4" s="51"/>
      <c r="H4" s="52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Z4" s="51"/>
      <c r="AA4" s="51"/>
      <c r="AB4" s="57"/>
      <c r="AC4" s="59"/>
      <c r="AD4" s="59"/>
      <c r="AE4" s="102"/>
      <c r="AF4" s="102"/>
      <c r="AG4" s="59"/>
      <c r="AH4" s="59"/>
      <c r="AI4" s="53"/>
    </row>
    <row r="5" spans="1:35" ht="14.25" customHeight="1" x14ac:dyDescent="0.2">
      <c r="B5" s="51"/>
      <c r="C5" s="61"/>
      <c r="D5" s="51"/>
      <c r="E5" s="51"/>
      <c r="F5" s="51"/>
      <c r="G5" s="51"/>
      <c r="H5" s="52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Z5" s="51"/>
      <c r="AA5" s="51"/>
      <c r="AB5" s="57"/>
      <c r="AC5" s="59"/>
      <c r="AD5" s="59"/>
      <c r="AE5" s="102"/>
      <c r="AF5" s="102"/>
      <c r="AG5" s="59"/>
      <c r="AH5" s="59"/>
      <c r="AI5" s="53"/>
    </row>
    <row r="6" spans="1:35" ht="14.25" customHeight="1" x14ac:dyDescent="0.2">
      <c r="B6" s="51"/>
      <c r="C6" s="61"/>
      <c r="D6" s="51"/>
      <c r="E6" s="51"/>
      <c r="F6" s="51"/>
      <c r="G6" s="51"/>
      <c r="H6" s="52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Z6" s="51"/>
      <c r="AA6" s="51"/>
      <c r="AB6" s="57"/>
      <c r="AC6" s="59"/>
      <c r="AD6" s="59"/>
      <c r="AE6" s="102"/>
      <c r="AF6" s="102"/>
      <c r="AG6" s="59"/>
      <c r="AH6" s="59"/>
      <c r="AI6" s="53"/>
    </row>
    <row r="7" spans="1:35" ht="14.25" customHeight="1" x14ac:dyDescent="0.2">
      <c r="B7" s="51"/>
      <c r="C7" s="61"/>
      <c r="D7" s="51"/>
      <c r="E7" s="51"/>
      <c r="F7" s="51"/>
      <c r="G7" s="51"/>
      <c r="H7" s="52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Z7" s="51"/>
      <c r="AA7" s="51"/>
      <c r="AB7" s="57"/>
      <c r="AC7" s="59"/>
      <c r="AD7" s="59"/>
      <c r="AE7" s="102"/>
      <c r="AF7" s="102"/>
      <c r="AG7" s="59"/>
      <c r="AH7" s="59"/>
      <c r="AI7" s="53"/>
    </row>
    <row r="8" spans="1:35" ht="14.25" customHeight="1" x14ac:dyDescent="0.2">
      <c r="B8" s="51"/>
      <c r="C8" s="61"/>
      <c r="D8" s="51"/>
      <c r="E8" s="51"/>
      <c r="F8" s="51"/>
      <c r="G8" s="51"/>
      <c r="H8" s="52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Z8" s="51"/>
      <c r="AA8" s="51"/>
      <c r="AB8" s="57"/>
      <c r="AC8" s="59"/>
      <c r="AD8" s="59"/>
      <c r="AE8" s="102"/>
      <c r="AF8" s="102"/>
      <c r="AG8" s="59"/>
      <c r="AH8" s="59"/>
      <c r="AI8" s="53"/>
    </row>
    <row r="9" spans="1:35" ht="14.25" customHeight="1" x14ac:dyDescent="0.2">
      <c r="B9" s="51"/>
      <c r="C9" s="61"/>
      <c r="D9" s="51"/>
      <c r="E9" s="51"/>
      <c r="F9" s="51"/>
      <c r="G9" s="51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Z9" s="51"/>
      <c r="AA9" s="51"/>
      <c r="AB9" s="57"/>
      <c r="AC9" s="59"/>
      <c r="AD9" s="59"/>
      <c r="AE9" s="102"/>
      <c r="AF9" s="102"/>
      <c r="AG9" s="59"/>
      <c r="AH9" s="59"/>
      <c r="AI9" s="53"/>
    </row>
    <row r="10" spans="1:35" ht="14.25" customHeight="1" x14ac:dyDescent="0.2">
      <c r="B10" s="51"/>
      <c r="C10" s="61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Z10" s="51"/>
      <c r="AA10" s="51"/>
      <c r="AB10" s="57"/>
      <c r="AC10" s="59"/>
      <c r="AD10" s="59"/>
      <c r="AE10" s="102"/>
      <c r="AF10" s="102"/>
      <c r="AG10" s="59"/>
      <c r="AH10" s="59"/>
      <c r="AI10" s="53"/>
    </row>
    <row r="11" spans="1:35" ht="14.25" customHeight="1" x14ac:dyDescent="0.2">
      <c r="B11" s="51"/>
      <c r="C11" s="61"/>
      <c r="D11" s="51"/>
      <c r="E11" s="51"/>
      <c r="F11" s="51"/>
      <c r="G11" s="51"/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Z11" s="51"/>
      <c r="AA11" s="51"/>
      <c r="AB11" s="57"/>
      <c r="AC11" s="59"/>
      <c r="AD11" s="59"/>
      <c r="AE11" s="102"/>
      <c r="AF11" s="102"/>
      <c r="AG11" s="59"/>
      <c r="AH11" s="59"/>
      <c r="AI11" s="53"/>
    </row>
    <row r="12" spans="1:35" ht="14.25" customHeight="1" x14ac:dyDescent="0.2">
      <c r="B12" s="51"/>
      <c r="C12" s="61"/>
      <c r="D12" s="51"/>
      <c r="E12" s="51"/>
      <c r="F12" s="51"/>
      <c r="G12" s="51"/>
      <c r="H12" s="52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Z12" s="51"/>
      <c r="AA12" s="51"/>
      <c r="AB12" s="57"/>
      <c r="AC12" s="59"/>
      <c r="AD12" s="59"/>
      <c r="AE12" s="102"/>
      <c r="AF12" s="102"/>
      <c r="AG12" s="59"/>
      <c r="AH12" s="59"/>
      <c r="AI12" s="53"/>
    </row>
    <row r="13" spans="1:35" ht="14.25" customHeight="1" x14ac:dyDescent="0.2">
      <c r="B13" s="51"/>
      <c r="C13" s="61"/>
      <c r="D13" s="51"/>
      <c r="E13" s="51"/>
      <c r="F13" s="51"/>
      <c r="G13" s="51"/>
      <c r="H13" s="5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Z13" s="51"/>
      <c r="AA13" s="51"/>
      <c r="AB13" s="57"/>
      <c r="AC13" s="59"/>
      <c r="AD13" s="59"/>
      <c r="AE13" s="102"/>
      <c r="AF13" s="102"/>
      <c r="AG13" s="59"/>
      <c r="AH13" s="59"/>
      <c r="AI13" s="53"/>
    </row>
    <row r="14" spans="1:35" ht="14.25" customHeight="1" x14ac:dyDescent="0.2">
      <c r="B14" s="51"/>
      <c r="C14" s="61"/>
      <c r="D14" s="51"/>
      <c r="E14" s="51"/>
      <c r="F14" s="51"/>
      <c r="G14" s="51"/>
      <c r="H14" s="52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Z14" s="51"/>
      <c r="AA14" s="51"/>
      <c r="AB14" s="57"/>
      <c r="AC14" s="59"/>
      <c r="AD14" s="59"/>
      <c r="AE14" s="102"/>
      <c r="AF14" s="102"/>
      <c r="AG14" s="59"/>
      <c r="AH14" s="59"/>
      <c r="AI14" s="53"/>
    </row>
    <row r="15" spans="1:35" ht="14.25" customHeight="1" x14ac:dyDescent="0.2">
      <c r="B15" s="51"/>
      <c r="C15" s="61"/>
      <c r="D15" s="51"/>
      <c r="E15" s="51"/>
      <c r="F15" s="51"/>
      <c r="G15" s="51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Z15" s="51"/>
      <c r="AA15" s="51"/>
      <c r="AB15" s="57"/>
      <c r="AC15" s="59"/>
      <c r="AD15" s="59"/>
      <c r="AE15" s="102"/>
      <c r="AF15" s="102"/>
      <c r="AG15" s="59"/>
      <c r="AH15" s="59"/>
      <c r="AI15" s="53"/>
    </row>
    <row r="16" spans="1:35" ht="14.25" customHeight="1" x14ac:dyDescent="0.2">
      <c r="B16" s="51"/>
      <c r="C16" s="61"/>
      <c r="D16" s="51"/>
      <c r="E16" s="51"/>
      <c r="F16" s="51"/>
      <c r="G16" s="51"/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Z16" s="51"/>
      <c r="AA16" s="51"/>
      <c r="AB16" s="57"/>
      <c r="AC16" s="59"/>
      <c r="AD16" s="59"/>
      <c r="AE16" s="102"/>
      <c r="AF16" s="102"/>
      <c r="AG16" s="59"/>
      <c r="AH16" s="59"/>
      <c r="AI16" s="53"/>
    </row>
    <row r="17" spans="2:35" ht="14.25" customHeight="1" x14ac:dyDescent="0.2">
      <c r="B17" s="51"/>
      <c r="C17" s="61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Z17" s="51"/>
      <c r="AA17" s="51"/>
      <c r="AB17" s="57"/>
      <c r="AC17" s="59"/>
      <c r="AD17" s="59"/>
      <c r="AE17" s="102"/>
      <c r="AF17" s="102"/>
      <c r="AG17" s="59"/>
      <c r="AH17" s="59"/>
      <c r="AI17" s="53"/>
    </row>
    <row r="18" spans="2:35" ht="14.25" customHeight="1" x14ac:dyDescent="0.2">
      <c r="B18" s="51"/>
      <c r="C18" s="61"/>
      <c r="D18" s="51"/>
      <c r="E18" s="51"/>
      <c r="F18" s="51"/>
      <c r="G18" s="51"/>
      <c r="H18" s="52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Z18" s="51"/>
      <c r="AA18" s="51"/>
      <c r="AB18" s="57"/>
      <c r="AC18" s="59"/>
      <c r="AD18" s="59"/>
      <c r="AE18" s="102"/>
      <c r="AF18" s="102"/>
      <c r="AG18" s="59"/>
      <c r="AH18" s="59"/>
      <c r="AI18" s="53"/>
    </row>
    <row r="19" spans="2:35" ht="14.25" customHeight="1" x14ac:dyDescent="0.2">
      <c r="B19" s="51"/>
      <c r="C19" s="61"/>
      <c r="D19" s="51"/>
      <c r="E19" s="51"/>
      <c r="F19" s="51"/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Z19" s="51"/>
      <c r="AA19" s="51"/>
      <c r="AB19" s="57"/>
      <c r="AC19" s="59"/>
      <c r="AD19" s="59"/>
      <c r="AE19" s="102"/>
      <c r="AF19" s="102"/>
      <c r="AG19" s="59"/>
      <c r="AH19" s="59"/>
      <c r="AI19" s="53"/>
    </row>
    <row r="20" spans="2:35" ht="14.25" customHeight="1" x14ac:dyDescent="0.2">
      <c r="B20" s="51"/>
      <c r="C20" s="61"/>
      <c r="D20" s="51"/>
      <c r="E20" s="51"/>
      <c r="F20" s="51"/>
      <c r="G20" s="51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Z20" s="51"/>
      <c r="AA20" s="51"/>
      <c r="AB20" s="57"/>
      <c r="AC20" s="59"/>
      <c r="AD20" s="59"/>
      <c r="AE20" s="102"/>
      <c r="AF20" s="102"/>
      <c r="AG20" s="59"/>
      <c r="AH20" s="59"/>
      <c r="AI20" s="53"/>
    </row>
    <row r="21" spans="2:35" ht="14.25" customHeight="1" x14ac:dyDescent="0.2">
      <c r="B21" s="51"/>
      <c r="C21" s="6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Z21" s="51"/>
      <c r="AA21" s="51"/>
      <c r="AB21" s="57"/>
      <c r="AC21" s="59"/>
      <c r="AD21" s="59"/>
      <c r="AE21" s="102"/>
      <c r="AF21" s="102"/>
      <c r="AG21" s="59"/>
      <c r="AH21" s="59"/>
      <c r="AI21" s="53"/>
    </row>
    <row r="22" spans="2:35" ht="14.25" customHeight="1" x14ac:dyDescent="0.2">
      <c r="B22" s="51"/>
      <c r="C22" s="61"/>
      <c r="D22" s="51"/>
      <c r="E22" s="51"/>
      <c r="F22" s="51"/>
      <c r="G22" s="51"/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Z22" s="51"/>
      <c r="AA22" s="51"/>
      <c r="AB22" s="57"/>
      <c r="AC22" s="59"/>
      <c r="AD22" s="59"/>
      <c r="AE22" s="102"/>
      <c r="AF22" s="102"/>
      <c r="AG22" s="59"/>
      <c r="AH22" s="59"/>
      <c r="AI22" s="53"/>
    </row>
    <row r="23" spans="2:35" ht="14.25" customHeight="1" x14ac:dyDescent="0.2">
      <c r="B23" s="51"/>
      <c r="C23" s="61"/>
      <c r="D23" s="51"/>
      <c r="E23" s="51"/>
      <c r="F23" s="51"/>
      <c r="G23" s="51"/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Z23" s="51"/>
      <c r="AA23" s="51"/>
      <c r="AB23" s="57"/>
      <c r="AC23" s="59"/>
      <c r="AD23" s="59"/>
      <c r="AE23" s="102"/>
      <c r="AF23" s="102"/>
      <c r="AG23" s="59"/>
      <c r="AH23" s="59"/>
      <c r="AI23" s="53"/>
    </row>
    <row r="24" spans="2:35" ht="14.25" customHeight="1" x14ac:dyDescent="0.2">
      <c r="B24" s="51"/>
      <c r="C24" s="61"/>
      <c r="D24" s="51"/>
      <c r="E24" s="51"/>
      <c r="F24" s="5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Z24" s="51"/>
      <c r="AA24" s="51"/>
      <c r="AB24" s="57"/>
      <c r="AC24" s="59"/>
      <c r="AD24" s="59"/>
      <c r="AE24" s="102"/>
      <c r="AF24" s="102"/>
      <c r="AG24" s="59"/>
      <c r="AH24" s="59"/>
      <c r="AI24" s="53"/>
    </row>
    <row r="25" spans="2:35" ht="14.25" customHeight="1" x14ac:dyDescent="0.2">
      <c r="B25" s="51"/>
      <c r="C25" s="61"/>
      <c r="D25" s="51"/>
      <c r="E25" s="51"/>
      <c r="F25" s="51"/>
      <c r="G25" s="51"/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Z25" s="51"/>
      <c r="AA25" s="51"/>
      <c r="AB25" s="57"/>
      <c r="AC25" s="59"/>
      <c r="AD25" s="59"/>
      <c r="AE25" s="102"/>
      <c r="AF25" s="102"/>
      <c r="AG25" s="59"/>
      <c r="AH25" s="59"/>
      <c r="AI25" s="53"/>
    </row>
    <row r="26" spans="2:35" ht="14.25" customHeight="1" x14ac:dyDescent="0.2">
      <c r="B26" s="51"/>
      <c r="C26" s="61"/>
      <c r="D26" s="51"/>
      <c r="E26" s="51"/>
      <c r="F26" s="51"/>
      <c r="G26" s="51"/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Z26" s="51"/>
      <c r="AA26" s="51"/>
      <c r="AB26" s="57"/>
      <c r="AC26" s="59"/>
      <c r="AD26" s="59"/>
      <c r="AE26" s="102"/>
      <c r="AF26" s="102"/>
      <c r="AG26" s="59"/>
      <c r="AH26" s="59"/>
      <c r="AI26" s="53"/>
    </row>
    <row r="27" spans="2:35" ht="14.25" customHeight="1" x14ac:dyDescent="0.2">
      <c r="B27" s="51"/>
      <c r="C27" s="6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Z27" s="51"/>
      <c r="AA27" s="51"/>
      <c r="AB27" s="57"/>
      <c r="AC27" s="59"/>
      <c r="AD27" s="59"/>
      <c r="AE27" s="102"/>
      <c r="AF27" s="102"/>
      <c r="AG27" s="59"/>
      <c r="AH27" s="59"/>
      <c r="AI27" s="53"/>
    </row>
    <row r="28" spans="2:35" ht="14.25" customHeight="1" x14ac:dyDescent="0.2">
      <c r="B28" s="51"/>
      <c r="C28" s="61"/>
      <c r="D28" s="51"/>
      <c r="E28" s="51"/>
      <c r="F28" s="51"/>
      <c r="G28" s="51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Z28" s="51"/>
      <c r="AA28" s="51"/>
      <c r="AB28" s="57"/>
      <c r="AC28" s="59"/>
      <c r="AD28" s="59"/>
      <c r="AE28" s="102"/>
      <c r="AF28" s="102"/>
      <c r="AG28" s="59"/>
      <c r="AH28" s="59"/>
      <c r="AI28" s="53"/>
    </row>
    <row r="29" spans="2:35" ht="14.25" customHeight="1" x14ac:dyDescent="0.2">
      <c r="B29" s="51"/>
      <c r="C29" s="61"/>
      <c r="D29" s="51"/>
      <c r="E29" s="51"/>
      <c r="F29" s="51"/>
      <c r="G29" s="51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Z29" s="51"/>
      <c r="AA29" s="51"/>
      <c r="AB29" s="57"/>
      <c r="AC29" s="59"/>
      <c r="AD29" s="59"/>
      <c r="AE29" s="102"/>
      <c r="AF29" s="102"/>
      <c r="AG29" s="59"/>
      <c r="AH29" s="59"/>
      <c r="AI29" s="53"/>
    </row>
    <row r="30" spans="2:35" ht="14.25" customHeight="1" x14ac:dyDescent="0.2">
      <c r="B30" s="51"/>
      <c r="C30" s="6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Z30" s="51"/>
      <c r="AA30" s="51"/>
      <c r="AB30" s="57"/>
      <c r="AC30" s="59"/>
      <c r="AD30" s="59"/>
      <c r="AE30" s="102"/>
      <c r="AF30" s="102"/>
      <c r="AG30" s="59"/>
      <c r="AH30" s="59"/>
      <c r="AI30" s="53"/>
    </row>
    <row r="31" spans="2:35" ht="14.25" customHeight="1" x14ac:dyDescent="0.2">
      <c r="B31" s="51"/>
      <c r="C31" s="61"/>
      <c r="D31" s="51"/>
      <c r="E31" s="51"/>
      <c r="F31" s="51"/>
      <c r="G31" s="51"/>
      <c r="H31" s="5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Z31" s="51"/>
      <c r="AA31" s="51"/>
      <c r="AB31" s="57"/>
      <c r="AC31" s="59"/>
      <c r="AD31" s="59"/>
      <c r="AE31" s="102"/>
      <c r="AF31" s="102"/>
      <c r="AG31" s="59"/>
      <c r="AH31" s="59"/>
      <c r="AI31" s="53"/>
    </row>
    <row r="32" spans="2:35" ht="14.25" customHeight="1" x14ac:dyDescent="0.2">
      <c r="B32" s="51"/>
      <c r="C32" s="61"/>
      <c r="D32" s="51"/>
      <c r="E32" s="51"/>
      <c r="F32" s="51"/>
      <c r="G32" s="51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Z32" s="51"/>
      <c r="AA32" s="51"/>
      <c r="AB32" s="57"/>
      <c r="AC32" s="59"/>
      <c r="AD32" s="59"/>
      <c r="AE32" s="102"/>
      <c r="AF32" s="102"/>
      <c r="AG32" s="59"/>
      <c r="AH32" s="59"/>
      <c r="AI32" s="53"/>
    </row>
    <row r="33" spans="2:35" ht="14.25" customHeight="1" x14ac:dyDescent="0.2">
      <c r="B33" s="51"/>
      <c r="C33" s="61"/>
      <c r="D33" s="51"/>
      <c r="E33" s="51"/>
      <c r="F33" s="51"/>
      <c r="G33" s="51"/>
      <c r="H33" s="5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Z33" s="51"/>
      <c r="AA33" s="51"/>
      <c r="AB33" s="57"/>
      <c r="AC33" s="59"/>
      <c r="AD33" s="59"/>
      <c r="AE33" s="102"/>
      <c r="AF33" s="102"/>
      <c r="AG33" s="59"/>
      <c r="AH33" s="59"/>
      <c r="AI33" s="53"/>
    </row>
    <row r="34" spans="2:35" ht="14.25" customHeight="1" x14ac:dyDescent="0.2">
      <c r="B34" s="51"/>
      <c r="C34" s="61"/>
      <c r="D34" s="51"/>
      <c r="E34" s="51"/>
      <c r="F34" s="51"/>
      <c r="G34" s="51"/>
      <c r="H34" s="5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Z34" s="51"/>
      <c r="AA34" s="51"/>
      <c r="AB34" s="57"/>
      <c r="AC34" s="59"/>
      <c r="AD34" s="59"/>
      <c r="AE34" s="102"/>
      <c r="AF34" s="102"/>
      <c r="AG34" s="59"/>
      <c r="AH34" s="59"/>
      <c r="AI34" s="53"/>
    </row>
    <row r="35" spans="2:35" ht="14.25" customHeight="1" x14ac:dyDescent="0.2">
      <c r="B35" s="51"/>
      <c r="C35" s="61"/>
      <c r="D35" s="51"/>
      <c r="E35" s="51"/>
      <c r="F35" s="51"/>
      <c r="G35" s="51"/>
      <c r="H35" s="5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Z35" s="51"/>
      <c r="AA35" s="51"/>
      <c r="AB35" s="57"/>
      <c r="AC35" s="59"/>
      <c r="AD35" s="59"/>
      <c r="AE35" s="102"/>
      <c r="AF35" s="102"/>
      <c r="AG35" s="59"/>
      <c r="AH35" s="59"/>
      <c r="AI35" s="53"/>
    </row>
    <row r="36" spans="2:35" ht="14.25" customHeight="1" x14ac:dyDescent="0.2">
      <c r="B36" s="51"/>
      <c r="C36" s="6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Z36" s="51"/>
      <c r="AA36" s="51"/>
      <c r="AB36" s="57"/>
      <c r="AC36" s="59"/>
      <c r="AD36" s="59"/>
      <c r="AE36" s="102"/>
      <c r="AF36" s="102"/>
      <c r="AG36" s="59"/>
      <c r="AH36" s="59"/>
      <c r="AI36" s="53"/>
    </row>
    <row r="37" spans="2:35" ht="14.25" customHeight="1" x14ac:dyDescent="0.2">
      <c r="B37" s="51"/>
      <c r="C37" s="61"/>
      <c r="D37" s="51"/>
      <c r="E37" s="51"/>
      <c r="F37" s="51"/>
      <c r="G37" s="51"/>
      <c r="H37" s="5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Z37" s="51"/>
      <c r="AA37" s="51"/>
      <c r="AB37" s="57"/>
      <c r="AC37" s="59"/>
      <c r="AD37" s="59"/>
      <c r="AE37" s="102"/>
      <c r="AF37" s="102"/>
      <c r="AG37" s="59"/>
      <c r="AH37" s="59"/>
      <c r="AI37" s="53"/>
    </row>
    <row r="38" spans="2:35" ht="14.25" customHeight="1" x14ac:dyDescent="0.2">
      <c r="B38" s="51"/>
      <c r="C38" s="61"/>
      <c r="D38" s="51"/>
      <c r="E38" s="51"/>
      <c r="F38" s="51"/>
      <c r="G38" s="51"/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Z38" s="51"/>
      <c r="AA38" s="51"/>
      <c r="AB38" s="57"/>
      <c r="AC38" s="59"/>
      <c r="AD38" s="59"/>
      <c r="AE38" s="102"/>
      <c r="AF38" s="102"/>
      <c r="AG38" s="59"/>
      <c r="AH38" s="59"/>
      <c r="AI38" s="53"/>
    </row>
    <row r="39" spans="2:35" ht="14.25" customHeight="1" x14ac:dyDescent="0.2">
      <c r="B39" s="51"/>
      <c r="C39" s="61"/>
      <c r="D39" s="51"/>
      <c r="E39" s="51"/>
      <c r="F39" s="51"/>
      <c r="G39" s="51"/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Z39" s="51"/>
      <c r="AA39" s="51"/>
      <c r="AB39" s="57"/>
      <c r="AC39" s="59"/>
      <c r="AD39" s="59"/>
      <c r="AE39" s="102"/>
      <c r="AF39" s="102"/>
      <c r="AG39" s="59"/>
      <c r="AH39" s="59"/>
      <c r="AI39" s="53"/>
    </row>
    <row r="40" spans="2:35" ht="14.25" customHeight="1" x14ac:dyDescent="0.2">
      <c r="B40" s="51"/>
      <c r="C40" s="61"/>
      <c r="D40" s="51"/>
      <c r="E40" s="51"/>
      <c r="F40" s="51"/>
      <c r="G40" s="51"/>
      <c r="H40" s="5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Z40" s="51"/>
      <c r="AA40" s="51"/>
      <c r="AB40" s="57"/>
      <c r="AC40" s="59"/>
      <c r="AD40" s="59"/>
      <c r="AE40" s="102"/>
      <c r="AF40" s="102"/>
      <c r="AG40" s="59"/>
      <c r="AH40" s="59"/>
      <c r="AI40" s="53"/>
    </row>
    <row r="41" spans="2:35" ht="14.25" customHeight="1" x14ac:dyDescent="0.2">
      <c r="B41" s="51"/>
      <c r="C41" s="61"/>
      <c r="D41" s="51"/>
      <c r="E41" s="51"/>
      <c r="F41" s="51"/>
      <c r="G41" s="51"/>
      <c r="H41" s="5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Z41" s="51"/>
      <c r="AA41" s="51"/>
      <c r="AB41" s="57"/>
      <c r="AC41" s="59"/>
      <c r="AD41" s="59"/>
      <c r="AE41" s="102"/>
      <c r="AF41" s="102"/>
      <c r="AG41" s="59"/>
      <c r="AH41" s="59"/>
      <c r="AI41" s="53"/>
    </row>
    <row r="42" spans="2:35" ht="14.25" customHeight="1" x14ac:dyDescent="0.2">
      <c r="B42" s="51"/>
      <c r="C42" s="61"/>
      <c r="D42" s="51"/>
      <c r="E42" s="51"/>
      <c r="F42" s="51"/>
      <c r="G42" s="51"/>
      <c r="H42" s="52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Z42" s="51"/>
      <c r="AA42" s="51"/>
      <c r="AB42" s="57"/>
      <c r="AC42" s="59"/>
      <c r="AD42" s="59"/>
      <c r="AE42" s="102"/>
      <c r="AF42" s="102"/>
      <c r="AG42" s="59"/>
      <c r="AH42" s="59"/>
      <c r="AI42" s="53"/>
    </row>
    <row r="43" spans="2:35" ht="14.25" customHeight="1" x14ac:dyDescent="0.2">
      <c r="B43" s="51"/>
      <c r="C43" s="61"/>
      <c r="D43" s="51"/>
      <c r="E43" s="51"/>
      <c r="F43" s="51"/>
      <c r="G43" s="51"/>
      <c r="H43" s="5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Z43" s="51"/>
      <c r="AA43" s="51"/>
      <c r="AB43" s="57"/>
      <c r="AC43" s="59"/>
      <c r="AD43" s="59"/>
      <c r="AE43" s="102"/>
      <c r="AF43" s="102"/>
      <c r="AG43" s="59"/>
      <c r="AH43" s="59"/>
      <c r="AI43" s="53"/>
    </row>
    <row r="44" spans="2:35" ht="14.25" customHeight="1" x14ac:dyDescent="0.2">
      <c r="B44" s="51"/>
      <c r="C44" s="61"/>
      <c r="D44" s="51"/>
      <c r="E44" s="51"/>
      <c r="F44" s="51"/>
      <c r="G44" s="51"/>
      <c r="H44" s="52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Z44" s="51"/>
      <c r="AA44" s="51"/>
      <c r="AB44" s="57"/>
      <c r="AC44" s="59"/>
      <c r="AD44" s="59"/>
      <c r="AE44" s="102"/>
      <c r="AF44" s="102"/>
      <c r="AG44" s="59"/>
      <c r="AH44" s="59"/>
      <c r="AI44" s="53"/>
    </row>
    <row r="45" spans="2:35" ht="14.25" customHeight="1" x14ac:dyDescent="0.2">
      <c r="B45" s="51"/>
      <c r="C45" s="61"/>
      <c r="D45" s="51"/>
      <c r="E45" s="51"/>
      <c r="F45" s="51"/>
      <c r="G45" s="51"/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Z45" s="51"/>
      <c r="AA45" s="51"/>
      <c r="AB45" s="57"/>
      <c r="AC45" s="59"/>
      <c r="AD45" s="59"/>
      <c r="AE45" s="102"/>
      <c r="AF45" s="102"/>
      <c r="AG45" s="59"/>
      <c r="AH45" s="59"/>
      <c r="AI45" s="53"/>
    </row>
    <row r="46" spans="2:35" ht="14.25" customHeight="1" x14ac:dyDescent="0.2">
      <c r="B46" s="51"/>
      <c r="C46" s="61"/>
      <c r="D46" s="51"/>
      <c r="E46" s="51"/>
      <c r="F46" s="51"/>
      <c r="G46" s="51"/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Z46" s="51"/>
      <c r="AA46" s="51"/>
      <c r="AB46" s="57"/>
      <c r="AC46" s="59"/>
      <c r="AD46" s="59"/>
      <c r="AE46" s="102"/>
      <c r="AF46" s="102"/>
      <c r="AG46" s="59"/>
      <c r="AH46" s="59"/>
      <c r="AI46" s="53"/>
    </row>
    <row r="47" spans="2:35" ht="14.25" customHeight="1" x14ac:dyDescent="0.2">
      <c r="B47" s="51"/>
      <c r="C47" s="61"/>
      <c r="D47" s="51"/>
      <c r="E47" s="51"/>
      <c r="F47" s="51"/>
      <c r="G47" s="51"/>
      <c r="H47" s="5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Z47" s="51"/>
      <c r="AA47" s="51"/>
      <c r="AB47" s="57"/>
      <c r="AC47" s="59"/>
      <c r="AD47" s="59"/>
      <c r="AE47" s="102"/>
      <c r="AF47" s="102"/>
      <c r="AG47" s="59"/>
      <c r="AH47" s="59"/>
      <c r="AI47" s="53"/>
    </row>
    <row r="48" spans="2:35" ht="14.25" customHeight="1" x14ac:dyDescent="0.2">
      <c r="B48" s="51"/>
      <c r="C48" s="61"/>
      <c r="D48" s="51"/>
      <c r="E48" s="51"/>
      <c r="F48" s="51"/>
      <c r="G48" s="51"/>
      <c r="H48" s="5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Z48" s="51"/>
      <c r="AA48" s="51"/>
      <c r="AB48" s="57"/>
      <c r="AC48" s="59"/>
      <c r="AD48" s="59"/>
      <c r="AE48" s="102"/>
      <c r="AF48" s="102"/>
      <c r="AG48" s="59"/>
      <c r="AH48" s="59"/>
      <c r="AI48" s="53"/>
    </row>
    <row r="49" spans="2:35" ht="14.25" customHeight="1" x14ac:dyDescent="0.2">
      <c r="B49" s="51"/>
      <c r="C49" s="61"/>
      <c r="D49" s="51"/>
      <c r="E49" s="51"/>
      <c r="F49" s="51"/>
      <c r="G49" s="51"/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Z49" s="51"/>
      <c r="AA49" s="51"/>
      <c r="AB49" s="57"/>
      <c r="AC49" s="59"/>
      <c r="AD49" s="59"/>
      <c r="AE49" s="102"/>
      <c r="AF49" s="102"/>
      <c r="AG49" s="59"/>
      <c r="AH49" s="59"/>
      <c r="AI49" s="53"/>
    </row>
    <row r="50" spans="2:35" ht="14.25" customHeight="1" x14ac:dyDescent="0.2">
      <c r="B50" s="51"/>
      <c r="C50" s="61"/>
      <c r="D50" s="51"/>
      <c r="E50" s="51"/>
      <c r="F50" s="51"/>
      <c r="G50" s="51"/>
      <c r="H50" s="52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Z50" s="51"/>
      <c r="AA50" s="51"/>
      <c r="AB50" s="57"/>
      <c r="AC50" s="59"/>
      <c r="AD50" s="59"/>
      <c r="AE50" s="102"/>
      <c r="AF50" s="102"/>
      <c r="AG50" s="59"/>
      <c r="AH50" s="59"/>
      <c r="AI50" s="53"/>
    </row>
    <row r="51" spans="2:35" ht="14.25" customHeight="1" x14ac:dyDescent="0.2">
      <c r="B51" s="51"/>
      <c r="C51" s="61"/>
      <c r="D51" s="51"/>
      <c r="E51" s="51"/>
      <c r="F51" s="51"/>
      <c r="G51" s="51"/>
      <c r="H51" s="52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Z51" s="51"/>
      <c r="AA51" s="51"/>
      <c r="AB51" s="57"/>
      <c r="AC51" s="59"/>
      <c r="AD51" s="59"/>
      <c r="AE51" s="102"/>
      <c r="AF51" s="102"/>
      <c r="AG51" s="59"/>
      <c r="AH51" s="59"/>
      <c r="AI51" s="53"/>
    </row>
    <row r="52" spans="2:35" ht="14.25" customHeight="1" x14ac:dyDescent="0.2">
      <c r="B52" s="51"/>
      <c r="C52" s="61"/>
      <c r="D52" s="51"/>
      <c r="E52" s="51"/>
      <c r="F52" s="51"/>
      <c r="G52" s="51"/>
      <c r="H52" s="5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Z52" s="51"/>
      <c r="AA52" s="51"/>
      <c r="AB52" s="57"/>
      <c r="AC52" s="59"/>
      <c r="AD52" s="59"/>
      <c r="AE52" s="102"/>
      <c r="AF52" s="102"/>
      <c r="AG52" s="59"/>
      <c r="AH52" s="59"/>
      <c r="AI52" s="53"/>
    </row>
    <row r="53" spans="2:35" ht="14.25" customHeight="1" x14ac:dyDescent="0.2">
      <c r="B53" s="51"/>
      <c r="C53" s="61"/>
      <c r="D53" s="51"/>
      <c r="E53" s="51"/>
      <c r="F53" s="51"/>
      <c r="G53" s="51"/>
      <c r="H53" s="52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Z53" s="51"/>
      <c r="AA53" s="51"/>
      <c r="AB53" s="57"/>
      <c r="AC53" s="59"/>
      <c r="AD53" s="59"/>
      <c r="AE53" s="102"/>
      <c r="AF53" s="102"/>
      <c r="AG53" s="59"/>
      <c r="AH53" s="59"/>
      <c r="AI53" s="53"/>
    </row>
    <row r="54" spans="2:35" ht="14.25" customHeight="1" x14ac:dyDescent="0.2">
      <c r="B54" s="51"/>
      <c r="C54" s="61"/>
      <c r="D54" s="51"/>
      <c r="E54" s="51"/>
      <c r="F54" s="51"/>
      <c r="G54" s="51"/>
      <c r="H54" s="5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Z54" s="51"/>
      <c r="AA54" s="51"/>
      <c r="AB54" s="57"/>
      <c r="AC54" s="59"/>
      <c r="AD54" s="59"/>
      <c r="AE54" s="102"/>
      <c r="AF54" s="102"/>
      <c r="AG54" s="59"/>
      <c r="AH54" s="59"/>
      <c r="AI54" s="53"/>
    </row>
    <row r="55" spans="2:35" ht="14.25" customHeight="1" x14ac:dyDescent="0.2">
      <c r="B55" s="51"/>
      <c r="C55" s="61"/>
      <c r="D55" s="51"/>
      <c r="E55" s="51"/>
      <c r="F55" s="51"/>
      <c r="G55" s="51"/>
      <c r="H55" s="52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Z55" s="51"/>
      <c r="AA55" s="51"/>
      <c r="AB55" s="57"/>
      <c r="AC55" s="59"/>
      <c r="AD55" s="59"/>
      <c r="AE55" s="102"/>
      <c r="AF55" s="102"/>
      <c r="AG55" s="59"/>
      <c r="AH55" s="59"/>
      <c r="AI55" s="53"/>
    </row>
    <row r="56" spans="2:35" ht="14.25" customHeight="1" x14ac:dyDescent="0.2">
      <c r="B56" s="51"/>
      <c r="C56" s="61"/>
      <c r="D56" s="51"/>
      <c r="E56" s="51"/>
      <c r="F56" s="51"/>
      <c r="G56" s="51"/>
      <c r="H56" s="5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Z56" s="51"/>
      <c r="AA56" s="51"/>
      <c r="AB56" s="57"/>
      <c r="AC56" s="59"/>
      <c r="AD56" s="59"/>
      <c r="AE56" s="102"/>
      <c r="AF56" s="102"/>
      <c r="AG56" s="59"/>
      <c r="AH56" s="59"/>
      <c r="AI56" s="53"/>
    </row>
    <row r="57" spans="2:35" ht="14.25" customHeight="1" x14ac:dyDescent="0.2">
      <c r="B57" s="51"/>
      <c r="C57" s="61"/>
      <c r="D57" s="51"/>
      <c r="E57" s="51"/>
      <c r="F57" s="51"/>
      <c r="G57" s="51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Z57" s="51"/>
      <c r="AA57" s="51"/>
      <c r="AB57" s="57"/>
      <c r="AC57" s="59"/>
      <c r="AD57" s="59"/>
      <c r="AE57" s="102"/>
      <c r="AF57" s="102"/>
      <c r="AG57" s="59"/>
      <c r="AH57" s="59"/>
      <c r="AI57" s="53"/>
    </row>
    <row r="58" spans="2:35" ht="14.25" customHeight="1" x14ac:dyDescent="0.2">
      <c r="B58" s="51"/>
      <c r="C58" s="61"/>
      <c r="D58" s="51"/>
      <c r="E58" s="51"/>
      <c r="F58" s="51"/>
      <c r="G58" s="51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Z58" s="51"/>
      <c r="AA58" s="51"/>
      <c r="AB58" s="57"/>
      <c r="AC58" s="59"/>
      <c r="AD58" s="59"/>
      <c r="AE58" s="102"/>
      <c r="AF58" s="102"/>
      <c r="AG58" s="59"/>
      <c r="AH58" s="59"/>
      <c r="AI58" s="53"/>
    </row>
    <row r="59" spans="2:35" ht="14.25" customHeight="1" x14ac:dyDescent="0.2">
      <c r="B59" s="51"/>
      <c r="C59" s="61"/>
      <c r="D59" s="51"/>
      <c r="E59" s="51"/>
      <c r="F59" s="51"/>
      <c r="G59" s="51"/>
      <c r="H59" s="52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Z59" s="51"/>
      <c r="AA59" s="51"/>
      <c r="AB59" s="57"/>
      <c r="AC59" s="59"/>
      <c r="AD59" s="59"/>
      <c r="AE59" s="102"/>
      <c r="AF59" s="102"/>
      <c r="AG59" s="59"/>
      <c r="AH59" s="59"/>
      <c r="AI59" s="53"/>
    </row>
    <row r="60" spans="2:35" ht="14.25" customHeight="1" x14ac:dyDescent="0.2">
      <c r="B60" s="51"/>
      <c r="C60" s="6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Z60" s="51"/>
      <c r="AA60" s="51"/>
      <c r="AB60" s="57"/>
      <c r="AC60" s="59"/>
      <c r="AD60" s="59"/>
      <c r="AE60" s="102"/>
      <c r="AF60" s="102"/>
      <c r="AG60" s="59"/>
      <c r="AH60" s="59"/>
      <c r="AI60" s="53"/>
    </row>
    <row r="61" spans="2:35" ht="14.25" customHeight="1" x14ac:dyDescent="0.2">
      <c r="B61" s="51"/>
      <c r="C61" s="61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Z61" s="51"/>
      <c r="AA61" s="51"/>
      <c r="AB61" s="57"/>
      <c r="AC61" s="59"/>
      <c r="AD61" s="59"/>
      <c r="AE61" s="102"/>
      <c r="AF61" s="102"/>
      <c r="AG61" s="59"/>
      <c r="AH61" s="59"/>
      <c r="AI61" s="53"/>
    </row>
    <row r="62" spans="2:35" ht="14.25" customHeight="1" x14ac:dyDescent="0.2">
      <c r="B62" s="51"/>
      <c r="C62" s="61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Z62" s="51"/>
      <c r="AA62" s="51"/>
      <c r="AB62" s="57"/>
      <c r="AC62" s="59"/>
      <c r="AD62" s="59"/>
      <c r="AE62" s="102"/>
      <c r="AF62" s="102"/>
      <c r="AG62" s="59"/>
      <c r="AH62" s="59"/>
      <c r="AI62" s="53"/>
    </row>
    <row r="63" spans="2:35" ht="14.25" customHeight="1" x14ac:dyDescent="0.2">
      <c r="B63" s="51"/>
      <c r="C63" s="61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51"/>
      <c r="AA63" s="51"/>
      <c r="AB63" s="57"/>
      <c r="AC63" s="59"/>
      <c r="AD63" s="59"/>
      <c r="AE63" s="102"/>
      <c r="AF63" s="102"/>
      <c r="AG63" s="59"/>
      <c r="AH63" s="59"/>
      <c r="AI63" s="53"/>
    </row>
    <row r="64" spans="2:35" ht="14.25" customHeight="1" x14ac:dyDescent="0.2">
      <c r="B64" s="51"/>
      <c r="C64" s="61"/>
      <c r="D64" s="51"/>
      <c r="E64" s="51"/>
      <c r="F64" s="51"/>
      <c r="G64" s="51"/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Z64" s="51"/>
      <c r="AA64" s="51"/>
      <c r="AB64" s="57"/>
      <c r="AC64" s="59"/>
      <c r="AD64" s="59"/>
      <c r="AE64" s="102"/>
      <c r="AF64" s="102"/>
      <c r="AG64" s="59"/>
      <c r="AH64" s="59"/>
      <c r="AI64" s="53"/>
    </row>
    <row r="65" spans="2:35" ht="14.25" customHeight="1" x14ac:dyDescent="0.2">
      <c r="B65" s="51"/>
      <c r="C65" s="61"/>
      <c r="D65" s="51"/>
      <c r="E65" s="51"/>
      <c r="F65" s="51"/>
      <c r="G65" s="51"/>
      <c r="H65" s="52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Z65" s="51"/>
      <c r="AA65" s="51"/>
      <c r="AB65" s="57"/>
      <c r="AC65" s="59"/>
      <c r="AD65" s="59"/>
      <c r="AE65" s="102"/>
      <c r="AF65" s="102"/>
      <c r="AG65" s="59"/>
      <c r="AH65" s="59"/>
      <c r="AI65" s="53"/>
    </row>
    <row r="66" spans="2:35" ht="14.25" customHeight="1" x14ac:dyDescent="0.2">
      <c r="B66" s="51"/>
      <c r="C66" s="61"/>
      <c r="D66" s="51"/>
      <c r="E66" s="51"/>
      <c r="F66" s="51"/>
      <c r="G66" s="51"/>
      <c r="H66" s="52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Z66" s="51"/>
      <c r="AA66" s="51"/>
      <c r="AB66" s="57"/>
      <c r="AC66" s="59"/>
      <c r="AD66" s="59"/>
      <c r="AE66" s="102"/>
      <c r="AF66" s="102"/>
      <c r="AG66" s="59"/>
      <c r="AH66" s="59"/>
      <c r="AI66" s="53"/>
    </row>
    <row r="67" spans="2:35" ht="14.25" customHeight="1" x14ac:dyDescent="0.2">
      <c r="B67" s="51"/>
      <c r="C67" s="61"/>
      <c r="D67" s="51"/>
      <c r="E67" s="51"/>
      <c r="F67" s="51"/>
      <c r="G67" s="51"/>
      <c r="H67" s="52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Z67" s="51"/>
      <c r="AA67" s="51"/>
      <c r="AB67" s="57"/>
      <c r="AC67" s="59"/>
      <c r="AD67" s="59"/>
      <c r="AE67" s="102"/>
      <c r="AF67" s="102"/>
      <c r="AG67" s="59"/>
      <c r="AH67" s="59"/>
      <c r="AI67" s="53"/>
    </row>
    <row r="68" spans="2:35" ht="14.25" customHeight="1" x14ac:dyDescent="0.2">
      <c r="B68" s="51"/>
      <c r="C68" s="61"/>
      <c r="D68" s="51"/>
      <c r="E68" s="51"/>
      <c r="F68" s="51"/>
      <c r="G68" s="51"/>
      <c r="H68" s="52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Z68" s="51"/>
      <c r="AA68" s="51"/>
      <c r="AB68" s="57"/>
      <c r="AC68" s="59"/>
      <c r="AD68" s="59"/>
      <c r="AE68" s="102"/>
      <c r="AF68" s="102"/>
      <c r="AG68" s="59"/>
      <c r="AH68" s="59"/>
      <c r="AI68" s="53"/>
    </row>
    <row r="69" spans="2:35" ht="14.25" customHeight="1" x14ac:dyDescent="0.2">
      <c r="B69" s="51"/>
      <c r="C69" s="61"/>
      <c r="D69" s="51"/>
      <c r="E69" s="51"/>
      <c r="F69" s="51"/>
      <c r="G69" s="51"/>
      <c r="H69" s="52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Z69" s="51"/>
      <c r="AA69" s="51"/>
      <c r="AB69" s="57"/>
      <c r="AC69" s="59"/>
      <c r="AD69" s="59"/>
      <c r="AE69" s="102"/>
      <c r="AF69" s="102"/>
      <c r="AG69" s="59"/>
      <c r="AH69" s="59"/>
      <c r="AI69" s="53"/>
    </row>
    <row r="70" spans="2:35" ht="14.25" customHeight="1" x14ac:dyDescent="0.2">
      <c r="B70" s="51"/>
      <c r="C70" s="61"/>
      <c r="D70" s="51"/>
      <c r="E70" s="51"/>
      <c r="F70" s="51"/>
      <c r="G70" s="51"/>
      <c r="H70" s="52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Z70" s="51"/>
      <c r="AA70" s="51"/>
      <c r="AB70" s="57"/>
      <c r="AC70" s="59"/>
      <c r="AD70" s="59"/>
      <c r="AE70" s="102"/>
      <c r="AF70" s="102"/>
      <c r="AG70" s="59"/>
      <c r="AH70" s="59"/>
      <c r="AI70" s="53"/>
    </row>
    <row r="71" spans="2:35" ht="14.25" customHeight="1" x14ac:dyDescent="0.2">
      <c r="B71" s="51"/>
      <c r="C71" s="61"/>
      <c r="D71" s="51"/>
      <c r="E71" s="51"/>
      <c r="F71" s="51"/>
      <c r="G71" s="51"/>
      <c r="H71" s="52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Z71" s="51"/>
      <c r="AA71" s="51"/>
      <c r="AB71" s="57"/>
      <c r="AC71" s="59"/>
      <c r="AD71" s="59"/>
      <c r="AE71" s="102"/>
      <c r="AF71" s="102"/>
      <c r="AG71" s="59"/>
      <c r="AH71" s="59"/>
      <c r="AI71" s="53"/>
    </row>
    <row r="72" spans="2:35" ht="14.25" customHeight="1" x14ac:dyDescent="0.2">
      <c r="B72" s="51"/>
      <c r="C72" s="61"/>
      <c r="D72" s="51"/>
      <c r="E72" s="51"/>
      <c r="F72" s="51"/>
      <c r="G72" s="51"/>
      <c r="H72" s="5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Z72" s="51"/>
      <c r="AA72" s="51"/>
      <c r="AB72" s="57"/>
      <c r="AC72" s="59"/>
      <c r="AD72" s="59"/>
      <c r="AE72" s="102"/>
      <c r="AF72" s="102"/>
      <c r="AG72" s="59"/>
      <c r="AH72" s="59"/>
      <c r="AI72" s="53"/>
    </row>
    <row r="73" spans="2:35" ht="14.25" customHeight="1" x14ac:dyDescent="0.2">
      <c r="B73" s="51"/>
      <c r="C73" s="61"/>
      <c r="D73" s="51"/>
      <c r="E73" s="51"/>
      <c r="F73" s="51"/>
      <c r="G73" s="51"/>
      <c r="H73" s="52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Z73" s="51"/>
      <c r="AA73" s="51"/>
      <c r="AB73" s="57"/>
      <c r="AC73" s="59"/>
      <c r="AD73" s="59"/>
      <c r="AE73" s="102"/>
      <c r="AF73" s="102"/>
      <c r="AG73" s="59"/>
      <c r="AH73" s="59"/>
      <c r="AI73" s="53"/>
    </row>
    <row r="74" spans="2:35" ht="14.25" customHeight="1" x14ac:dyDescent="0.2">
      <c r="B74" s="51"/>
      <c r="C74" s="61"/>
      <c r="D74" s="51"/>
      <c r="E74" s="51"/>
      <c r="F74" s="51"/>
      <c r="G74" s="51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Z74" s="51"/>
      <c r="AA74" s="51"/>
      <c r="AB74" s="57"/>
      <c r="AC74" s="59"/>
      <c r="AD74" s="59"/>
      <c r="AE74" s="102"/>
      <c r="AF74" s="102"/>
      <c r="AG74" s="59"/>
      <c r="AH74" s="59"/>
      <c r="AI74" s="53"/>
    </row>
    <row r="75" spans="2:35" ht="14.25" customHeight="1" x14ac:dyDescent="0.2">
      <c r="B75" s="51"/>
      <c r="C75" s="61"/>
      <c r="D75" s="51"/>
      <c r="E75" s="51"/>
      <c r="F75" s="51"/>
      <c r="G75" s="51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Z75" s="51"/>
      <c r="AA75" s="51"/>
      <c r="AB75" s="57"/>
      <c r="AC75" s="59"/>
      <c r="AD75" s="59"/>
      <c r="AE75" s="102"/>
      <c r="AF75" s="102"/>
      <c r="AG75" s="59"/>
      <c r="AH75" s="59"/>
      <c r="AI75" s="53"/>
    </row>
    <row r="76" spans="2:35" ht="14.25" customHeight="1" x14ac:dyDescent="0.2">
      <c r="B76" s="51"/>
      <c r="C76" s="61"/>
      <c r="D76" s="51"/>
      <c r="E76" s="51"/>
      <c r="F76" s="51"/>
      <c r="G76" s="51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Z76" s="51"/>
      <c r="AA76" s="51"/>
      <c r="AB76" s="57"/>
      <c r="AC76" s="59"/>
      <c r="AD76" s="59"/>
      <c r="AE76" s="102"/>
      <c r="AF76" s="102"/>
      <c r="AG76" s="59"/>
      <c r="AH76" s="59"/>
      <c r="AI76" s="53"/>
    </row>
    <row r="77" spans="2:35" ht="14.25" customHeight="1" x14ac:dyDescent="0.2">
      <c r="B77" s="51"/>
      <c r="C77" s="61"/>
      <c r="D77" s="51"/>
      <c r="E77" s="51"/>
      <c r="F77" s="51"/>
      <c r="G77" s="51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Z77" s="51"/>
      <c r="AA77" s="51"/>
      <c r="AB77" s="57"/>
      <c r="AC77" s="59"/>
      <c r="AD77" s="59"/>
      <c r="AE77" s="102"/>
      <c r="AF77" s="102"/>
      <c r="AG77" s="59"/>
      <c r="AH77" s="59"/>
      <c r="AI77" s="53"/>
    </row>
    <row r="78" spans="2:35" ht="14.25" customHeight="1" x14ac:dyDescent="0.2">
      <c r="B78" s="51"/>
      <c r="C78" s="61"/>
      <c r="D78" s="51"/>
      <c r="E78" s="51"/>
      <c r="F78" s="51"/>
      <c r="G78" s="51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Z78" s="51"/>
      <c r="AA78" s="51"/>
      <c r="AB78" s="57"/>
      <c r="AC78" s="59"/>
      <c r="AD78" s="59"/>
      <c r="AE78" s="102"/>
      <c r="AF78" s="102"/>
      <c r="AG78" s="59"/>
      <c r="AH78" s="59"/>
      <c r="AI78" s="53"/>
    </row>
    <row r="79" spans="2:35" ht="14.25" customHeight="1" x14ac:dyDescent="0.2">
      <c r="B79" s="51"/>
      <c r="C79" s="61"/>
      <c r="D79" s="51"/>
      <c r="E79" s="51"/>
      <c r="F79" s="51"/>
      <c r="G79" s="51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Z79" s="51"/>
      <c r="AA79" s="51"/>
      <c r="AB79" s="57"/>
      <c r="AC79" s="59"/>
      <c r="AD79" s="59"/>
      <c r="AE79" s="102"/>
      <c r="AF79" s="102"/>
      <c r="AG79" s="59"/>
      <c r="AH79" s="59"/>
      <c r="AI79" s="53"/>
    </row>
    <row r="80" spans="2:35" ht="14.25" customHeight="1" x14ac:dyDescent="0.2">
      <c r="B80" s="51"/>
      <c r="C80" s="61"/>
      <c r="D80" s="51"/>
      <c r="E80" s="51"/>
      <c r="F80" s="51"/>
      <c r="G80" s="51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Z80" s="51"/>
      <c r="AA80" s="51"/>
      <c r="AB80" s="57"/>
      <c r="AC80" s="59"/>
      <c r="AD80" s="59"/>
      <c r="AE80" s="102"/>
      <c r="AF80" s="102"/>
      <c r="AG80" s="59"/>
      <c r="AH80" s="59"/>
      <c r="AI80" s="53"/>
    </row>
    <row r="81" spans="2:35" ht="14.25" customHeight="1" x14ac:dyDescent="0.2">
      <c r="B81" s="51"/>
      <c r="C81" s="61"/>
      <c r="D81" s="51"/>
      <c r="E81" s="51"/>
      <c r="F81" s="51"/>
      <c r="G81" s="51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Z81" s="51"/>
      <c r="AA81" s="51"/>
      <c r="AB81" s="57"/>
      <c r="AC81" s="59"/>
      <c r="AD81" s="59"/>
      <c r="AE81" s="102"/>
      <c r="AF81" s="102"/>
      <c r="AG81" s="59"/>
      <c r="AH81" s="59"/>
      <c r="AI81" s="53"/>
    </row>
    <row r="82" spans="2:35" ht="14.25" customHeight="1" x14ac:dyDescent="0.2">
      <c r="B82" s="51"/>
      <c r="C82" s="6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Z82" s="51"/>
      <c r="AA82" s="51"/>
      <c r="AB82" s="57"/>
      <c r="AC82" s="59"/>
      <c r="AD82" s="59"/>
      <c r="AE82" s="102"/>
      <c r="AF82" s="102"/>
      <c r="AG82" s="59"/>
      <c r="AH82" s="59"/>
      <c r="AI82" s="53"/>
    </row>
    <row r="83" spans="2:35" ht="14.25" customHeight="1" x14ac:dyDescent="0.2">
      <c r="B83" s="51"/>
      <c r="C83" s="61"/>
      <c r="D83" s="51"/>
      <c r="E83" s="51"/>
      <c r="F83" s="51"/>
      <c r="G83" s="51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Z83" s="51"/>
      <c r="AA83" s="51"/>
      <c r="AB83" s="57"/>
      <c r="AC83" s="59"/>
      <c r="AD83" s="59"/>
      <c r="AE83" s="102"/>
      <c r="AF83" s="102"/>
      <c r="AG83" s="59"/>
      <c r="AH83" s="59"/>
      <c r="AI83" s="53"/>
    </row>
    <row r="84" spans="2:35" ht="14.25" customHeight="1" x14ac:dyDescent="0.2">
      <c r="B84" s="51"/>
      <c r="C84" s="61"/>
      <c r="D84" s="51"/>
      <c r="E84" s="51"/>
      <c r="F84" s="51"/>
      <c r="G84" s="51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Z84" s="51"/>
      <c r="AA84" s="51"/>
      <c r="AB84" s="57"/>
      <c r="AC84" s="59"/>
      <c r="AD84" s="59"/>
      <c r="AE84" s="102"/>
      <c r="AF84" s="102"/>
      <c r="AG84" s="59"/>
      <c r="AH84" s="59"/>
      <c r="AI84" s="53"/>
    </row>
    <row r="85" spans="2:35" ht="14.25" customHeight="1" x14ac:dyDescent="0.2">
      <c r="B85" s="51"/>
      <c r="C85" s="61"/>
      <c r="D85" s="51"/>
      <c r="E85" s="51"/>
      <c r="F85" s="51"/>
      <c r="G85" s="51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Z85" s="51"/>
      <c r="AA85" s="51"/>
      <c r="AB85" s="57"/>
      <c r="AC85" s="59"/>
      <c r="AD85" s="59"/>
      <c r="AE85" s="102"/>
      <c r="AF85" s="102"/>
      <c r="AG85" s="59"/>
      <c r="AH85" s="59"/>
      <c r="AI85" s="53"/>
    </row>
    <row r="86" spans="2:35" ht="14.25" customHeight="1" x14ac:dyDescent="0.2">
      <c r="B86" s="51"/>
      <c r="C86" s="6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Z86" s="51"/>
      <c r="AA86" s="51"/>
      <c r="AB86" s="57"/>
      <c r="AC86" s="59"/>
      <c r="AD86" s="59"/>
      <c r="AE86" s="102"/>
      <c r="AF86" s="102"/>
      <c r="AG86" s="59"/>
      <c r="AH86" s="59"/>
      <c r="AI86" s="53"/>
    </row>
    <row r="87" spans="2:35" ht="14.25" customHeight="1" x14ac:dyDescent="0.2">
      <c r="B87" s="51"/>
      <c r="C87" s="61"/>
      <c r="D87" s="51"/>
      <c r="E87" s="51"/>
      <c r="F87" s="51"/>
      <c r="G87" s="51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Z87" s="51"/>
      <c r="AA87" s="51"/>
      <c r="AB87" s="57"/>
      <c r="AC87" s="59"/>
      <c r="AD87" s="59"/>
      <c r="AE87" s="102"/>
      <c r="AF87" s="102"/>
      <c r="AG87" s="59"/>
      <c r="AH87" s="59"/>
      <c r="AI87" s="53"/>
    </row>
    <row r="88" spans="2:35" ht="14.25" customHeight="1" x14ac:dyDescent="0.2">
      <c r="B88" s="51"/>
      <c r="C88" s="61"/>
      <c r="D88" s="51"/>
      <c r="E88" s="51"/>
      <c r="F88" s="51"/>
      <c r="G88" s="51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Z88" s="51"/>
      <c r="AA88" s="51"/>
      <c r="AB88" s="57"/>
      <c r="AC88" s="59"/>
      <c r="AD88" s="59"/>
      <c r="AE88" s="102"/>
      <c r="AF88" s="102"/>
      <c r="AG88" s="59"/>
      <c r="AH88" s="59"/>
      <c r="AI88" s="53"/>
    </row>
    <row r="89" spans="2:35" ht="14.25" customHeight="1" x14ac:dyDescent="0.2">
      <c r="B89" s="51"/>
      <c r="C89" s="61"/>
      <c r="D89" s="51"/>
      <c r="E89" s="51"/>
      <c r="F89" s="51"/>
      <c r="G89" s="51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Z89" s="51"/>
      <c r="AA89" s="51"/>
      <c r="AB89" s="57"/>
      <c r="AC89" s="59"/>
      <c r="AD89" s="59"/>
      <c r="AE89" s="102"/>
      <c r="AF89" s="102"/>
      <c r="AG89" s="59"/>
      <c r="AH89" s="59"/>
      <c r="AI89" s="53"/>
    </row>
    <row r="90" spans="2:35" ht="14.25" customHeight="1" x14ac:dyDescent="0.2">
      <c r="B90" s="51"/>
      <c r="C90" s="6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Z90" s="51"/>
      <c r="AA90" s="51"/>
      <c r="AB90" s="57"/>
      <c r="AC90" s="59"/>
      <c r="AD90" s="59"/>
      <c r="AE90" s="102"/>
      <c r="AF90" s="102"/>
      <c r="AG90" s="59"/>
      <c r="AH90" s="59"/>
      <c r="AI90" s="53"/>
    </row>
    <row r="91" spans="2:35" ht="14.25" customHeight="1" x14ac:dyDescent="0.2">
      <c r="B91" s="51"/>
      <c r="C91" s="61"/>
      <c r="D91" s="51"/>
      <c r="E91" s="51"/>
      <c r="F91" s="51"/>
      <c r="G91" s="51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Z91" s="51"/>
      <c r="AA91" s="51"/>
      <c r="AB91" s="57"/>
      <c r="AC91" s="59"/>
      <c r="AD91" s="59"/>
      <c r="AE91" s="102"/>
      <c r="AF91" s="102"/>
      <c r="AG91" s="59"/>
      <c r="AH91" s="59"/>
      <c r="AI91" s="53"/>
    </row>
    <row r="92" spans="2:35" ht="14.25" customHeight="1" x14ac:dyDescent="0.2">
      <c r="B92" s="51"/>
      <c r="C92" s="61"/>
      <c r="D92" s="51"/>
      <c r="E92" s="51"/>
      <c r="F92" s="51"/>
      <c r="G92" s="51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Z92" s="51"/>
      <c r="AA92" s="51"/>
      <c r="AB92" s="57"/>
      <c r="AC92" s="59"/>
      <c r="AD92" s="59"/>
      <c r="AE92" s="102"/>
      <c r="AF92" s="102"/>
      <c r="AG92" s="59"/>
      <c r="AH92" s="59"/>
      <c r="AI92" s="53"/>
    </row>
    <row r="93" spans="2:35" ht="14.25" customHeight="1" x14ac:dyDescent="0.2">
      <c r="B93" s="51"/>
      <c r="C93" s="61"/>
      <c r="D93" s="51"/>
      <c r="E93" s="51"/>
      <c r="F93" s="51"/>
      <c r="G93" s="51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Z93" s="51"/>
      <c r="AA93" s="51"/>
      <c r="AB93" s="57"/>
      <c r="AC93" s="59"/>
      <c r="AD93" s="59"/>
      <c r="AE93" s="102"/>
      <c r="AF93" s="102"/>
      <c r="AG93" s="59"/>
      <c r="AH93" s="59"/>
      <c r="AI93" s="53"/>
    </row>
    <row r="94" spans="2:35" ht="14.25" customHeight="1" x14ac:dyDescent="0.2">
      <c r="B94" s="51"/>
      <c r="C94" s="61"/>
      <c r="D94" s="51"/>
      <c r="E94" s="51"/>
      <c r="F94" s="51"/>
      <c r="G94" s="51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Z94" s="51"/>
      <c r="AA94" s="51"/>
      <c r="AB94" s="57"/>
      <c r="AC94" s="59"/>
      <c r="AD94" s="59"/>
      <c r="AE94" s="102"/>
      <c r="AF94" s="102"/>
      <c r="AG94" s="59"/>
      <c r="AH94" s="59"/>
      <c r="AI94" s="53"/>
    </row>
    <row r="95" spans="2:35" ht="14.25" customHeight="1" x14ac:dyDescent="0.2">
      <c r="B95" s="51"/>
      <c r="C95" s="61"/>
      <c r="D95" s="51"/>
      <c r="E95" s="51"/>
      <c r="F95" s="51"/>
      <c r="G95" s="51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Z95" s="51"/>
      <c r="AA95" s="51"/>
      <c r="AB95" s="57"/>
      <c r="AC95" s="59"/>
      <c r="AD95" s="59"/>
      <c r="AE95" s="102"/>
      <c r="AF95" s="102"/>
      <c r="AG95" s="59"/>
      <c r="AH95" s="59"/>
      <c r="AI95" s="53"/>
    </row>
    <row r="96" spans="2:35" ht="14.25" customHeight="1" x14ac:dyDescent="0.2">
      <c r="B96" s="51"/>
      <c r="C96" s="61"/>
      <c r="D96" s="51"/>
      <c r="E96" s="51"/>
      <c r="F96" s="51"/>
      <c r="G96" s="51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Z96" s="51"/>
      <c r="AA96" s="51"/>
      <c r="AB96" s="57"/>
      <c r="AC96" s="59"/>
      <c r="AD96" s="59"/>
      <c r="AE96" s="102"/>
      <c r="AF96" s="102"/>
      <c r="AG96" s="59"/>
      <c r="AH96" s="59"/>
      <c r="AI96" s="53"/>
    </row>
    <row r="97" spans="2:35" ht="14.25" customHeight="1" x14ac:dyDescent="0.2">
      <c r="B97" s="51"/>
      <c r="C97" s="61"/>
      <c r="D97" s="51"/>
      <c r="E97" s="51"/>
      <c r="F97" s="51"/>
      <c r="G97" s="51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Z97" s="51"/>
      <c r="AA97" s="51"/>
      <c r="AB97" s="57"/>
      <c r="AC97" s="59"/>
      <c r="AD97" s="59"/>
      <c r="AE97" s="102"/>
      <c r="AF97" s="102"/>
      <c r="AG97" s="59"/>
      <c r="AH97" s="59"/>
      <c r="AI97" s="53"/>
    </row>
    <row r="98" spans="2:35" ht="14.25" customHeight="1" x14ac:dyDescent="0.2">
      <c r="B98" s="51"/>
      <c r="C98" s="61"/>
      <c r="D98" s="51"/>
      <c r="E98" s="51"/>
      <c r="F98" s="51"/>
      <c r="G98" s="51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Z98" s="51"/>
      <c r="AA98" s="51"/>
      <c r="AB98" s="57"/>
      <c r="AC98" s="59"/>
      <c r="AD98" s="59"/>
      <c r="AE98" s="102"/>
      <c r="AF98" s="102"/>
      <c r="AG98" s="59"/>
      <c r="AH98" s="59"/>
      <c r="AI98" s="53"/>
    </row>
    <row r="99" spans="2:35" ht="14.25" customHeight="1" x14ac:dyDescent="0.2">
      <c r="B99" s="51"/>
      <c r="C99" s="61"/>
      <c r="D99" s="51"/>
      <c r="E99" s="51"/>
      <c r="F99" s="51"/>
      <c r="G99" s="51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Z99" s="51"/>
      <c r="AA99" s="51"/>
      <c r="AB99" s="57"/>
      <c r="AC99" s="59"/>
      <c r="AD99" s="59"/>
      <c r="AE99" s="102"/>
      <c r="AF99" s="102"/>
      <c r="AG99" s="59"/>
      <c r="AH99" s="59"/>
      <c r="AI99" s="53"/>
    </row>
    <row r="100" spans="2:35" ht="14.25" customHeight="1" x14ac:dyDescent="0.2">
      <c r="B100" s="51"/>
      <c r="C100" s="61"/>
      <c r="D100" s="51"/>
      <c r="E100" s="51"/>
      <c r="F100" s="51"/>
      <c r="G100" s="51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Z100" s="51"/>
      <c r="AA100" s="51"/>
      <c r="AB100" s="57"/>
      <c r="AC100" s="59"/>
      <c r="AD100" s="59"/>
      <c r="AE100" s="102"/>
      <c r="AF100" s="102"/>
      <c r="AG100" s="59"/>
      <c r="AH100" s="59"/>
      <c r="AI100" s="53"/>
    </row>
    <row r="101" spans="2:35" ht="14.25" customHeight="1" x14ac:dyDescent="0.2">
      <c r="B101" s="51"/>
      <c r="C101" s="61"/>
      <c r="D101" s="51"/>
      <c r="E101" s="51"/>
      <c r="F101" s="51"/>
      <c r="G101" s="51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Z101" s="51"/>
      <c r="AA101" s="51"/>
      <c r="AB101" s="57"/>
      <c r="AC101" s="59"/>
      <c r="AD101" s="59"/>
      <c r="AE101" s="102"/>
      <c r="AF101" s="102"/>
      <c r="AG101" s="59"/>
      <c r="AH101" s="59"/>
      <c r="AI101" s="53"/>
    </row>
    <row r="102" spans="2:35" ht="14.25" customHeight="1" x14ac:dyDescent="0.2">
      <c r="B102" s="51"/>
      <c r="C102" s="61"/>
      <c r="D102" s="51"/>
      <c r="E102" s="51"/>
      <c r="F102" s="51"/>
      <c r="G102" s="51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Z102" s="51"/>
      <c r="AA102" s="51"/>
      <c r="AB102" s="57"/>
      <c r="AC102" s="59"/>
      <c r="AD102" s="59"/>
      <c r="AE102" s="102"/>
      <c r="AF102" s="102"/>
      <c r="AG102" s="59"/>
      <c r="AH102" s="59"/>
      <c r="AI102" s="53"/>
    </row>
    <row r="103" spans="2:35" ht="14.25" customHeight="1" x14ac:dyDescent="0.2">
      <c r="B103" s="51"/>
      <c r="C103" s="61"/>
      <c r="D103" s="51"/>
      <c r="E103" s="51"/>
      <c r="F103" s="51"/>
      <c r="G103" s="51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Z103" s="51"/>
      <c r="AA103" s="51"/>
      <c r="AB103" s="57"/>
      <c r="AC103" s="59"/>
      <c r="AD103" s="59"/>
      <c r="AE103" s="102"/>
      <c r="AF103" s="102"/>
      <c r="AG103" s="59"/>
      <c r="AH103" s="59"/>
      <c r="AI103" s="53"/>
    </row>
    <row r="104" spans="2:35" ht="14.25" customHeight="1" x14ac:dyDescent="0.2">
      <c r="B104" s="51"/>
      <c r="C104" s="61"/>
      <c r="D104" s="51"/>
      <c r="E104" s="51"/>
      <c r="F104" s="51"/>
      <c r="G104" s="51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Z104" s="51"/>
      <c r="AA104" s="51"/>
      <c r="AB104" s="57"/>
      <c r="AC104" s="59"/>
      <c r="AD104" s="59"/>
      <c r="AE104" s="102"/>
      <c r="AF104" s="102"/>
      <c r="AG104" s="59"/>
      <c r="AH104" s="59"/>
      <c r="AI104" s="53"/>
    </row>
    <row r="105" spans="2:35" ht="14.25" customHeight="1" x14ac:dyDescent="0.2">
      <c r="B105" s="51"/>
      <c r="C105" s="61"/>
      <c r="D105" s="51"/>
      <c r="E105" s="51"/>
      <c r="F105" s="51"/>
      <c r="G105" s="51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Z105" s="51"/>
      <c r="AA105" s="51"/>
      <c r="AB105" s="57"/>
      <c r="AC105" s="59"/>
      <c r="AD105" s="59"/>
      <c r="AE105" s="102"/>
      <c r="AF105" s="102"/>
      <c r="AG105" s="59"/>
      <c r="AH105" s="59"/>
      <c r="AI105" s="53"/>
    </row>
    <row r="106" spans="2:35" ht="14.25" customHeight="1" x14ac:dyDescent="0.2">
      <c r="B106" s="51"/>
      <c r="C106" s="61"/>
      <c r="D106" s="51"/>
      <c r="E106" s="51"/>
      <c r="F106" s="51"/>
      <c r="G106" s="51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Z106" s="51"/>
      <c r="AA106" s="51"/>
      <c r="AB106" s="57"/>
      <c r="AC106" s="59"/>
      <c r="AD106" s="59"/>
      <c r="AE106" s="102"/>
      <c r="AF106" s="102"/>
      <c r="AG106" s="59"/>
      <c r="AH106" s="59"/>
      <c r="AI106" s="53"/>
    </row>
    <row r="107" spans="2:35" ht="14.25" customHeight="1" x14ac:dyDescent="0.2">
      <c r="B107" s="51"/>
      <c r="C107" s="61"/>
      <c r="D107" s="51"/>
      <c r="E107" s="51"/>
      <c r="F107" s="51"/>
      <c r="G107" s="51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Z107" s="51"/>
      <c r="AA107" s="51"/>
      <c r="AB107" s="57"/>
      <c r="AC107" s="59"/>
      <c r="AD107" s="59"/>
      <c r="AE107" s="102"/>
      <c r="AF107" s="102"/>
      <c r="AG107" s="59"/>
      <c r="AH107" s="59"/>
      <c r="AI107" s="53"/>
    </row>
    <row r="108" spans="2:35" ht="14.25" customHeight="1" x14ac:dyDescent="0.2">
      <c r="B108" s="51"/>
      <c r="C108" s="61"/>
      <c r="D108" s="51"/>
      <c r="E108" s="51"/>
      <c r="F108" s="51"/>
      <c r="G108" s="51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Z108" s="51"/>
      <c r="AA108" s="51"/>
      <c r="AB108" s="57"/>
      <c r="AC108" s="59"/>
      <c r="AD108" s="59"/>
      <c r="AE108" s="102"/>
      <c r="AF108" s="102"/>
      <c r="AG108" s="59"/>
      <c r="AH108" s="59"/>
      <c r="AI108" s="53"/>
    </row>
    <row r="109" spans="2:35" ht="14.25" customHeight="1" x14ac:dyDescent="0.2">
      <c r="B109" s="51"/>
      <c r="C109" s="61"/>
      <c r="D109" s="51"/>
      <c r="E109" s="51"/>
      <c r="F109" s="51"/>
      <c r="G109" s="51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Z109" s="51"/>
      <c r="AA109" s="51"/>
      <c r="AB109" s="57"/>
      <c r="AC109" s="59"/>
      <c r="AD109" s="59"/>
      <c r="AE109" s="102"/>
      <c r="AF109" s="102"/>
      <c r="AG109" s="59"/>
      <c r="AH109" s="59"/>
      <c r="AI109" s="53"/>
    </row>
    <row r="110" spans="2:35" ht="14.25" customHeight="1" x14ac:dyDescent="0.2">
      <c r="B110" s="51"/>
      <c r="C110" s="61"/>
      <c r="D110" s="51"/>
      <c r="E110" s="51"/>
      <c r="F110" s="51"/>
      <c r="G110" s="51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Z110" s="51"/>
      <c r="AA110" s="51"/>
      <c r="AB110" s="57"/>
      <c r="AC110" s="59"/>
      <c r="AD110" s="59"/>
      <c r="AE110" s="102"/>
      <c r="AF110" s="102"/>
      <c r="AG110" s="59"/>
      <c r="AH110" s="59"/>
      <c r="AI110" s="53"/>
    </row>
    <row r="111" spans="2:35" ht="14.25" customHeight="1" x14ac:dyDescent="0.2">
      <c r="B111" s="51"/>
      <c r="C111" s="6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Z111" s="51"/>
      <c r="AA111" s="51"/>
      <c r="AB111" s="57"/>
      <c r="AC111" s="59"/>
      <c r="AD111" s="59"/>
      <c r="AE111" s="102"/>
      <c r="AF111" s="102"/>
      <c r="AG111" s="59"/>
      <c r="AH111" s="59"/>
      <c r="AI111" s="53"/>
    </row>
    <row r="112" spans="2:35" ht="14.25" customHeight="1" x14ac:dyDescent="0.2">
      <c r="B112" s="51"/>
      <c r="C112" s="61"/>
      <c r="D112" s="51"/>
      <c r="E112" s="51"/>
      <c r="F112" s="51"/>
      <c r="G112" s="51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Z112" s="51"/>
      <c r="AA112" s="51"/>
      <c r="AB112" s="57"/>
      <c r="AC112" s="59"/>
      <c r="AD112" s="59"/>
      <c r="AE112" s="102"/>
      <c r="AF112" s="102"/>
      <c r="AG112" s="59"/>
      <c r="AH112" s="59"/>
      <c r="AI112" s="53"/>
    </row>
    <row r="113" spans="2:35" ht="14.25" customHeight="1" x14ac:dyDescent="0.2">
      <c r="B113" s="51"/>
      <c r="C113" s="61"/>
      <c r="D113" s="51"/>
      <c r="E113" s="51"/>
      <c r="F113" s="51"/>
      <c r="G113" s="51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Z113" s="51"/>
      <c r="AA113" s="51"/>
      <c r="AB113" s="57"/>
      <c r="AC113" s="59"/>
      <c r="AD113" s="59"/>
      <c r="AE113" s="102"/>
      <c r="AF113" s="102"/>
      <c r="AG113" s="59"/>
      <c r="AH113" s="59"/>
      <c r="AI113" s="53"/>
    </row>
    <row r="114" spans="2:35" ht="14.25" customHeight="1" x14ac:dyDescent="0.2">
      <c r="B114" s="51"/>
      <c r="C114" s="6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Z114" s="51"/>
      <c r="AA114" s="51"/>
      <c r="AB114" s="57"/>
      <c r="AC114" s="59"/>
      <c r="AD114" s="59"/>
      <c r="AE114" s="102"/>
      <c r="AF114" s="102"/>
      <c r="AG114" s="59"/>
      <c r="AH114" s="59"/>
      <c r="AI114" s="53"/>
    </row>
    <row r="115" spans="2:35" ht="14.25" customHeight="1" x14ac:dyDescent="0.2">
      <c r="B115" s="51"/>
      <c r="C115" s="6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Z115" s="51"/>
      <c r="AA115" s="51"/>
      <c r="AB115" s="57"/>
      <c r="AC115" s="59"/>
      <c r="AD115" s="59"/>
      <c r="AE115" s="102"/>
      <c r="AF115" s="102"/>
      <c r="AG115" s="59"/>
      <c r="AH115" s="59"/>
      <c r="AI115" s="53"/>
    </row>
    <row r="116" spans="2:35" ht="14.25" customHeight="1" x14ac:dyDescent="0.2">
      <c r="B116" s="51"/>
      <c r="C116" s="61"/>
      <c r="D116" s="51"/>
      <c r="E116" s="51"/>
      <c r="F116" s="51"/>
      <c r="G116" s="51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Z116" s="51"/>
      <c r="AA116" s="51"/>
      <c r="AB116" s="57"/>
      <c r="AC116" s="59"/>
      <c r="AD116" s="59"/>
      <c r="AE116" s="102"/>
      <c r="AF116" s="102"/>
      <c r="AG116" s="59"/>
      <c r="AH116" s="59"/>
      <c r="AI116" s="53"/>
    </row>
    <row r="117" spans="2:35" ht="14.25" customHeight="1" x14ac:dyDescent="0.2">
      <c r="B117" s="51"/>
      <c r="C117" s="61"/>
      <c r="D117" s="51"/>
      <c r="E117" s="51"/>
      <c r="F117" s="51"/>
      <c r="G117" s="51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Z117" s="51"/>
      <c r="AA117" s="51"/>
      <c r="AB117" s="57"/>
      <c r="AC117" s="59"/>
      <c r="AD117" s="59"/>
      <c r="AE117" s="102"/>
      <c r="AF117" s="102"/>
      <c r="AG117" s="59"/>
      <c r="AH117" s="59"/>
      <c r="AI117" s="53"/>
    </row>
    <row r="118" spans="2:35" ht="14.25" customHeight="1" x14ac:dyDescent="0.2">
      <c r="B118" s="51"/>
      <c r="C118" s="61"/>
      <c r="D118" s="51"/>
      <c r="E118" s="51"/>
      <c r="F118" s="51"/>
      <c r="G118" s="51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Z118" s="51"/>
      <c r="AA118" s="51"/>
      <c r="AB118" s="57"/>
      <c r="AC118" s="59"/>
      <c r="AD118" s="59"/>
      <c r="AE118" s="102"/>
      <c r="AF118" s="102"/>
      <c r="AG118" s="59"/>
      <c r="AH118" s="59"/>
      <c r="AI118" s="53"/>
    </row>
    <row r="119" spans="2:35" ht="14.25" customHeight="1" x14ac:dyDescent="0.2">
      <c r="B119" s="51"/>
      <c r="C119" s="61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Z119" s="51"/>
      <c r="AA119" s="51"/>
      <c r="AB119" s="57"/>
      <c r="AC119" s="59"/>
      <c r="AD119" s="59"/>
      <c r="AE119" s="102"/>
      <c r="AF119" s="102"/>
      <c r="AG119" s="59"/>
      <c r="AH119" s="59"/>
      <c r="AI119" s="53"/>
    </row>
    <row r="120" spans="2:35" ht="14.25" customHeight="1" x14ac:dyDescent="0.2">
      <c r="B120" s="51"/>
      <c r="C120" s="61"/>
      <c r="D120" s="51"/>
      <c r="E120" s="51"/>
      <c r="F120" s="51"/>
      <c r="G120" s="51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Z120" s="51"/>
      <c r="AA120" s="51"/>
      <c r="AB120" s="57"/>
      <c r="AC120" s="59"/>
      <c r="AD120" s="59"/>
      <c r="AE120" s="102"/>
      <c r="AF120" s="102"/>
      <c r="AG120" s="59"/>
      <c r="AH120" s="59"/>
      <c r="AI120" s="53"/>
    </row>
    <row r="121" spans="2:35" ht="14.25" customHeight="1" x14ac:dyDescent="0.2">
      <c r="B121" s="51"/>
      <c r="C121" s="61"/>
      <c r="D121" s="51"/>
      <c r="E121" s="51"/>
      <c r="F121" s="51"/>
      <c r="G121" s="51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Z121" s="51"/>
      <c r="AA121" s="51"/>
      <c r="AB121" s="57"/>
      <c r="AC121" s="59"/>
      <c r="AD121" s="59"/>
      <c r="AE121" s="102"/>
      <c r="AF121" s="102"/>
      <c r="AG121" s="59"/>
      <c r="AH121" s="59"/>
      <c r="AI121" s="53"/>
    </row>
    <row r="122" spans="2:35" ht="14.25" customHeight="1" x14ac:dyDescent="0.2">
      <c r="B122" s="51"/>
      <c r="C122" s="61"/>
      <c r="D122" s="51"/>
      <c r="E122" s="51"/>
      <c r="F122" s="51"/>
      <c r="G122" s="51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Z122" s="51"/>
      <c r="AA122" s="51"/>
      <c r="AB122" s="57"/>
      <c r="AC122" s="59"/>
      <c r="AD122" s="59"/>
      <c r="AE122" s="102"/>
      <c r="AF122" s="102"/>
      <c r="AG122" s="59"/>
      <c r="AH122" s="59"/>
      <c r="AI122" s="53"/>
    </row>
    <row r="123" spans="2:35" ht="14.25" customHeight="1" x14ac:dyDescent="0.2">
      <c r="B123" s="51"/>
      <c r="C123" s="61"/>
      <c r="D123" s="51"/>
      <c r="E123" s="51"/>
      <c r="F123" s="51"/>
      <c r="G123" s="51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Z123" s="51"/>
      <c r="AA123" s="51"/>
      <c r="AB123" s="57"/>
      <c r="AC123" s="59"/>
      <c r="AD123" s="59"/>
      <c r="AE123" s="102"/>
      <c r="AF123" s="102"/>
      <c r="AG123" s="59"/>
      <c r="AH123" s="59"/>
      <c r="AI123" s="53"/>
    </row>
    <row r="124" spans="2:35" ht="14.25" customHeight="1" x14ac:dyDescent="0.2">
      <c r="B124" s="51"/>
      <c r="C124" s="61"/>
      <c r="D124" s="51"/>
      <c r="E124" s="51"/>
      <c r="F124" s="51"/>
      <c r="G124" s="51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Z124" s="51"/>
      <c r="AA124" s="51"/>
      <c r="AB124" s="57"/>
      <c r="AC124" s="59"/>
      <c r="AD124" s="59"/>
      <c r="AE124" s="102"/>
      <c r="AF124" s="102"/>
      <c r="AG124" s="59"/>
      <c r="AH124" s="59"/>
      <c r="AI124" s="53"/>
    </row>
    <row r="125" spans="2:35" ht="14.25" customHeight="1" x14ac:dyDescent="0.2">
      <c r="B125" s="51"/>
      <c r="C125" s="61"/>
      <c r="D125" s="51"/>
      <c r="E125" s="51"/>
      <c r="F125" s="51"/>
      <c r="G125" s="51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Z125" s="51"/>
      <c r="AA125" s="51"/>
      <c r="AB125" s="57"/>
      <c r="AC125" s="59"/>
      <c r="AD125" s="59"/>
      <c r="AE125" s="102"/>
      <c r="AF125" s="102"/>
      <c r="AG125" s="59"/>
      <c r="AH125" s="59"/>
      <c r="AI125" s="53"/>
    </row>
    <row r="126" spans="2:35" ht="14.25" customHeight="1" x14ac:dyDescent="0.2">
      <c r="B126" s="51"/>
      <c r="C126" s="61"/>
      <c r="D126" s="51"/>
      <c r="E126" s="51"/>
      <c r="F126" s="51"/>
      <c r="G126" s="51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Z126" s="51"/>
      <c r="AA126" s="51"/>
      <c r="AB126" s="57"/>
      <c r="AC126" s="59"/>
      <c r="AD126" s="59"/>
      <c r="AE126" s="102"/>
      <c r="AF126" s="102"/>
      <c r="AG126" s="59"/>
      <c r="AH126" s="59"/>
      <c r="AI126" s="53"/>
    </row>
    <row r="127" spans="2:35" ht="14.25" customHeight="1" x14ac:dyDescent="0.2">
      <c r="B127" s="51"/>
      <c r="C127" s="61"/>
      <c r="D127" s="51"/>
      <c r="E127" s="51"/>
      <c r="F127" s="51"/>
      <c r="G127" s="51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Z127" s="51"/>
      <c r="AA127" s="51"/>
      <c r="AB127" s="57"/>
      <c r="AC127" s="59"/>
      <c r="AD127" s="59"/>
      <c r="AE127" s="102"/>
      <c r="AF127" s="102"/>
      <c r="AG127" s="59"/>
      <c r="AH127" s="59"/>
      <c r="AI127" s="53"/>
    </row>
    <row r="128" spans="2:35" ht="14.25" customHeight="1" x14ac:dyDescent="0.2">
      <c r="B128" s="51"/>
      <c r="C128" s="61"/>
      <c r="D128" s="51"/>
      <c r="E128" s="51"/>
      <c r="F128" s="51"/>
      <c r="G128" s="51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Z128" s="51"/>
      <c r="AA128" s="51"/>
      <c r="AB128" s="57"/>
      <c r="AC128" s="59"/>
      <c r="AD128" s="59"/>
      <c r="AE128" s="102"/>
      <c r="AF128" s="102"/>
      <c r="AG128" s="59"/>
      <c r="AH128" s="59"/>
      <c r="AI128" s="53"/>
    </row>
    <row r="129" spans="2:35" ht="14.25" customHeight="1" x14ac:dyDescent="0.2">
      <c r="B129" s="51"/>
      <c r="C129" s="61"/>
      <c r="D129" s="51"/>
      <c r="E129" s="51"/>
      <c r="F129" s="51"/>
      <c r="G129" s="51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Z129" s="51"/>
      <c r="AA129" s="51"/>
      <c r="AB129" s="57"/>
      <c r="AC129" s="59"/>
      <c r="AD129" s="59"/>
      <c r="AE129" s="102"/>
      <c r="AF129" s="102"/>
      <c r="AG129" s="59"/>
      <c r="AH129" s="59"/>
      <c r="AI129" s="53"/>
    </row>
    <row r="130" spans="2:35" ht="14.25" customHeight="1" x14ac:dyDescent="0.2">
      <c r="B130" s="51"/>
      <c r="C130" s="61"/>
      <c r="D130" s="51"/>
      <c r="E130" s="51"/>
      <c r="F130" s="51"/>
      <c r="G130" s="51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Z130" s="51"/>
      <c r="AA130" s="51"/>
      <c r="AB130" s="57"/>
      <c r="AC130" s="59"/>
      <c r="AD130" s="59"/>
      <c r="AE130" s="102"/>
      <c r="AF130" s="102"/>
      <c r="AG130" s="59"/>
      <c r="AH130" s="59"/>
      <c r="AI130" s="53"/>
    </row>
    <row r="131" spans="2:35" ht="14.25" customHeight="1" x14ac:dyDescent="0.2">
      <c r="B131" s="51"/>
      <c r="C131" s="6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Z131" s="51"/>
      <c r="AA131" s="51"/>
      <c r="AB131" s="57"/>
      <c r="AC131" s="59"/>
      <c r="AD131" s="59"/>
      <c r="AE131" s="102"/>
      <c r="AF131" s="102"/>
      <c r="AG131" s="59"/>
      <c r="AH131" s="59"/>
      <c r="AI131" s="53"/>
    </row>
    <row r="132" spans="2:35" ht="14.25" customHeight="1" x14ac:dyDescent="0.2">
      <c r="B132" s="51"/>
      <c r="C132" s="61"/>
      <c r="D132" s="51"/>
      <c r="E132" s="51"/>
      <c r="F132" s="51"/>
      <c r="G132" s="51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Z132" s="51"/>
      <c r="AA132" s="51"/>
      <c r="AB132" s="57"/>
      <c r="AC132" s="59"/>
      <c r="AD132" s="59"/>
      <c r="AE132" s="102"/>
      <c r="AF132" s="102"/>
      <c r="AG132" s="59"/>
      <c r="AH132" s="59"/>
      <c r="AI132" s="53"/>
    </row>
    <row r="133" spans="2:35" ht="14.25" customHeight="1" x14ac:dyDescent="0.2">
      <c r="B133" s="51"/>
      <c r="C133" s="61"/>
      <c r="D133" s="51"/>
      <c r="E133" s="51"/>
      <c r="F133" s="51"/>
      <c r="G133" s="51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Z133" s="51"/>
      <c r="AA133" s="51"/>
      <c r="AB133" s="57"/>
      <c r="AC133" s="59"/>
      <c r="AD133" s="59"/>
      <c r="AE133" s="102"/>
      <c r="AF133" s="102"/>
      <c r="AG133" s="59"/>
      <c r="AH133" s="59"/>
      <c r="AI133" s="53"/>
    </row>
    <row r="134" spans="2:35" ht="14.25" customHeight="1" x14ac:dyDescent="0.2">
      <c r="B134" s="51"/>
      <c r="C134" s="61"/>
      <c r="D134" s="51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Z134" s="51"/>
      <c r="AA134" s="51"/>
      <c r="AB134" s="57"/>
      <c r="AC134" s="59"/>
      <c r="AD134" s="59"/>
      <c r="AE134" s="102"/>
      <c r="AF134" s="102"/>
      <c r="AG134" s="59"/>
      <c r="AH134" s="59"/>
      <c r="AI134" s="53"/>
    </row>
    <row r="135" spans="2:35" ht="14.25" customHeight="1" x14ac:dyDescent="0.2">
      <c r="B135" s="51"/>
      <c r="C135" s="61"/>
      <c r="D135" s="51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Z135" s="51"/>
      <c r="AA135" s="51"/>
      <c r="AB135" s="57"/>
      <c r="AC135" s="59"/>
      <c r="AD135" s="59"/>
      <c r="AE135" s="102"/>
      <c r="AF135" s="102"/>
      <c r="AG135" s="59"/>
      <c r="AH135" s="59"/>
      <c r="AI135" s="53"/>
    </row>
    <row r="136" spans="2:35" ht="14.25" customHeight="1" x14ac:dyDescent="0.2">
      <c r="B136" s="51"/>
      <c r="C136" s="61"/>
      <c r="D136" s="51"/>
      <c r="E136" s="51"/>
      <c r="F136" s="51"/>
      <c r="G136" s="51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Z136" s="51"/>
      <c r="AA136" s="51"/>
      <c r="AB136" s="57"/>
      <c r="AC136" s="59"/>
      <c r="AD136" s="59"/>
      <c r="AE136" s="102"/>
      <c r="AF136" s="102"/>
      <c r="AG136" s="59"/>
      <c r="AH136" s="59"/>
      <c r="AI136" s="53"/>
    </row>
    <row r="137" spans="2:35" ht="14.25" customHeight="1" x14ac:dyDescent="0.2">
      <c r="B137" s="51"/>
      <c r="C137" s="61"/>
      <c r="D137" s="51"/>
      <c r="E137" s="51"/>
      <c r="F137" s="51"/>
      <c r="G137" s="51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Z137" s="51"/>
      <c r="AA137" s="51"/>
      <c r="AB137" s="57"/>
      <c r="AC137" s="59"/>
      <c r="AD137" s="59"/>
      <c r="AE137" s="102"/>
      <c r="AF137" s="102"/>
      <c r="AG137" s="59"/>
      <c r="AH137" s="59"/>
      <c r="AI137" s="53"/>
    </row>
    <row r="138" spans="2:35" ht="14.25" customHeight="1" x14ac:dyDescent="0.2">
      <c r="B138" s="51"/>
      <c r="C138" s="61"/>
      <c r="D138" s="51"/>
      <c r="E138" s="51"/>
      <c r="F138" s="51"/>
      <c r="G138" s="51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Z138" s="51"/>
      <c r="AA138" s="51"/>
      <c r="AB138" s="57"/>
      <c r="AC138" s="59"/>
      <c r="AD138" s="59"/>
      <c r="AE138" s="102"/>
      <c r="AF138" s="102"/>
      <c r="AG138" s="59"/>
      <c r="AH138" s="59"/>
      <c r="AI138" s="53"/>
    </row>
    <row r="139" spans="2:35" ht="14.25" customHeight="1" x14ac:dyDescent="0.2">
      <c r="B139" s="51"/>
      <c r="C139" s="61"/>
      <c r="D139" s="51"/>
      <c r="E139" s="51"/>
      <c r="F139" s="51"/>
      <c r="G139" s="51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Z139" s="51"/>
      <c r="AA139" s="51"/>
      <c r="AB139" s="57"/>
      <c r="AC139" s="59"/>
      <c r="AD139" s="59"/>
      <c r="AE139" s="102"/>
      <c r="AF139" s="102"/>
      <c r="AG139" s="59"/>
      <c r="AH139" s="59"/>
      <c r="AI139" s="53"/>
    </row>
    <row r="140" spans="2:35" ht="14.25" customHeight="1" x14ac:dyDescent="0.2">
      <c r="B140" s="51"/>
      <c r="C140" s="61"/>
      <c r="D140" s="51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Z140" s="51"/>
      <c r="AA140" s="51"/>
      <c r="AB140" s="57"/>
      <c r="AC140" s="59"/>
      <c r="AD140" s="59"/>
      <c r="AE140" s="102"/>
      <c r="AF140" s="102"/>
      <c r="AG140" s="59"/>
      <c r="AH140" s="59"/>
      <c r="AI140" s="53"/>
    </row>
    <row r="141" spans="2:35" ht="14.25" customHeight="1" x14ac:dyDescent="0.2">
      <c r="B141" s="51"/>
      <c r="C141" s="61"/>
      <c r="D141" s="51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Z141" s="51"/>
      <c r="AA141" s="51"/>
      <c r="AB141" s="57"/>
      <c r="AC141" s="59"/>
      <c r="AD141" s="59"/>
      <c r="AE141" s="102"/>
      <c r="AF141" s="102"/>
      <c r="AG141" s="59"/>
      <c r="AH141" s="59"/>
      <c r="AI141" s="53"/>
    </row>
    <row r="142" spans="2:35" ht="14.25" customHeight="1" x14ac:dyDescent="0.2">
      <c r="B142" s="51"/>
      <c r="C142" s="61"/>
      <c r="D142" s="51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Z142" s="51"/>
      <c r="AA142" s="51"/>
      <c r="AB142" s="57"/>
      <c r="AC142" s="59"/>
      <c r="AD142" s="59"/>
      <c r="AE142" s="102"/>
      <c r="AF142" s="102"/>
      <c r="AG142" s="59"/>
      <c r="AH142" s="59"/>
      <c r="AI142" s="53"/>
    </row>
    <row r="143" spans="2:35" ht="14.25" customHeight="1" x14ac:dyDescent="0.2">
      <c r="B143" s="51"/>
      <c r="C143" s="61"/>
      <c r="D143" s="51"/>
      <c r="E143" s="51"/>
      <c r="F143" s="51"/>
      <c r="G143" s="51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Z143" s="51"/>
      <c r="AA143" s="51"/>
      <c r="AB143" s="57"/>
      <c r="AC143" s="59"/>
      <c r="AD143" s="59"/>
      <c r="AE143" s="102"/>
      <c r="AF143" s="102"/>
      <c r="AG143" s="59"/>
      <c r="AH143" s="59"/>
      <c r="AI143" s="53"/>
    </row>
    <row r="144" spans="2:35" ht="14.25" customHeight="1" x14ac:dyDescent="0.2">
      <c r="B144" s="51"/>
      <c r="C144" s="61"/>
      <c r="D144" s="51"/>
      <c r="E144" s="51"/>
      <c r="F144" s="51"/>
      <c r="G144" s="51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Z144" s="51"/>
      <c r="AA144" s="51"/>
      <c r="AB144" s="57"/>
      <c r="AC144" s="59"/>
      <c r="AD144" s="59"/>
      <c r="AE144" s="102"/>
      <c r="AF144" s="102"/>
      <c r="AG144" s="59"/>
      <c r="AH144" s="59"/>
      <c r="AI144" s="53"/>
    </row>
    <row r="145" spans="2:35" ht="14.25" customHeight="1" x14ac:dyDescent="0.2">
      <c r="B145" s="51"/>
      <c r="C145" s="61"/>
      <c r="D145" s="51"/>
      <c r="E145" s="51"/>
      <c r="F145" s="51"/>
      <c r="G145" s="51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Z145" s="51"/>
      <c r="AA145" s="51"/>
      <c r="AB145" s="57"/>
      <c r="AC145" s="59"/>
      <c r="AD145" s="59"/>
      <c r="AE145" s="102"/>
      <c r="AF145" s="102"/>
      <c r="AG145" s="59"/>
      <c r="AH145" s="59"/>
      <c r="AI145" s="53"/>
    </row>
    <row r="146" spans="2:35" ht="14.25" customHeight="1" x14ac:dyDescent="0.2">
      <c r="B146" s="51"/>
      <c r="C146" s="6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Z146" s="51"/>
      <c r="AA146" s="51"/>
      <c r="AB146" s="57"/>
      <c r="AC146" s="59"/>
      <c r="AD146" s="59"/>
      <c r="AE146" s="102"/>
      <c r="AF146" s="102"/>
      <c r="AG146" s="59"/>
      <c r="AH146" s="59"/>
      <c r="AI146" s="53"/>
    </row>
    <row r="147" spans="2:35" ht="14.25" customHeight="1" x14ac:dyDescent="0.2">
      <c r="B147" s="51"/>
      <c r="C147" s="61"/>
      <c r="D147" s="51"/>
      <c r="E147" s="51"/>
      <c r="F147" s="51"/>
      <c r="G147" s="51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Z147" s="51"/>
      <c r="AA147" s="51"/>
      <c r="AB147" s="57"/>
      <c r="AC147" s="59"/>
      <c r="AD147" s="59"/>
      <c r="AE147" s="102"/>
      <c r="AF147" s="102"/>
      <c r="AG147" s="59"/>
      <c r="AH147" s="59"/>
      <c r="AI147" s="53"/>
    </row>
    <row r="148" spans="2:35" ht="14.25" customHeight="1" x14ac:dyDescent="0.2">
      <c r="B148" s="51"/>
      <c r="C148" s="61"/>
      <c r="D148" s="51"/>
      <c r="E148" s="51"/>
      <c r="F148" s="51"/>
      <c r="G148" s="51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Z148" s="51"/>
      <c r="AA148" s="51"/>
      <c r="AB148" s="57"/>
      <c r="AC148" s="59"/>
      <c r="AD148" s="59"/>
      <c r="AE148" s="102"/>
      <c r="AF148" s="102"/>
      <c r="AG148" s="59"/>
      <c r="AH148" s="59"/>
      <c r="AI148" s="53"/>
    </row>
    <row r="149" spans="2:35" ht="14.25" customHeight="1" x14ac:dyDescent="0.2">
      <c r="B149" s="51"/>
      <c r="C149" s="61"/>
      <c r="D149" s="51"/>
      <c r="E149" s="51"/>
      <c r="F149" s="51"/>
      <c r="G149" s="51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Z149" s="51"/>
      <c r="AA149" s="51"/>
      <c r="AB149" s="57"/>
      <c r="AC149" s="59"/>
      <c r="AD149" s="59"/>
      <c r="AE149" s="102"/>
      <c r="AF149" s="102"/>
      <c r="AG149" s="59"/>
      <c r="AH149" s="59"/>
      <c r="AI149" s="53"/>
    </row>
    <row r="150" spans="2:35" ht="14.25" customHeight="1" x14ac:dyDescent="0.2">
      <c r="B150" s="51"/>
      <c r="C150" s="61"/>
      <c r="D150" s="51"/>
      <c r="E150" s="51"/>
      <c r="F150" s="51"/>
      <c r="G150" s="51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Z150" s="51"/>
      <c r="AA150" s="51"/>
      <c r="AB150" s="57"/>
      <c r="AC150" s="59"/>
      <c r="AD150" s="59"/>
      <c r="AE150" s="102"/>
      <c r="AF150" s="102"/>
      <c r="AG150" s="59"/>
      <c r="AH150" s="59"/>
      <c r="AI150" s="53"/>
    </row>
    <row r="151" spans="2:35" ht="14.25" customHeight="1" x14ac:dyDescent="0.2">
      <c r="B151" s="51"/>
      <c r="C151" s="61"/>
      <c r="D151" s="51"/>
      <c r="E151" s="51"/>
      <c r="F151" s="51"/>
      <c r="G151" s="51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Z151" s="51"/>
      <c r="AA151" s="51"/>
      <c r="AB151" s="57"/>
      <c r="AC151" s="59"/>
      <c r="AD151" s="59"/>
      <c r="AE151" s="102"/>
      <c r="AF151" s="102"/>
      <c r="AG151" s="59"/>
      <c r="AH151" s="59"/>
      <c r="AI151" s="53"/>
    </row>
    <row r="152" spans="2:35" ht="14.25" customHeight="1" x14ac:dyDescent="0.2">
      <c r="B152" s="51"/>
      <c r="C152" s="61"/>
      <c r="D152" s="51"/>
      <c r="E152" s="51"/>
      <c r="F152" s="51"/>
      <c r="G152" s="51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Z152" s="51"/>
      <c r="AA152" s="51"/>
      <c r="AB152" s="57"/>
      <c r="AC152" s="59"/>
      <c r="AD152" s="59"/>
      <c r="AE152" s="102"/>
      <c r="AF152" s="102"/>
      <c r="AG152" s="59"/>
      <c r="AH152" s="59"/>
      <c r="AI152" s="53"/>
    </row>
    <row r="153" spans="2:35" ht="14.25" customHeight="1" x14ac:dyDescent="0.2">
      <c r="B153" s="51"/>
      <c r="C153" s="61"/>
      <c r="D153" s="51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Z153" s="51"/>
      <c r="AA153" s="51"/>
      <c r="AB153" s="57"/>
      <c r="AC153" s="59"/>
      <c r="AD153" s="59"/>
      <c r="AE153" s="102"/>
      <c r="AF153" s="102"/>
      <c r="AG153" s="59"/>
      <c r="AH153" s="59"/>
      <c r="AI153" s="53"/>
    </row>
    <row r="154" spans="2:35" ht="14.25" customHeight="1" x14ac:dyDescent="0.2">
      <c r="B154" s="51"/>
      <c r="C154" s="61"/>
      <c r="D154" s="51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Z154" s="51"/>
      <c r="AA154" s="51"/>
      <c r="AB154" s="57"/>
      <c r="AC154" s="59"/>
      <c r="AD154" s="59"/>
      <c r="AE154" s="102"/>
      <c r="AF154" s="102"/>
      <c r="AG154" s="59"/>
      <c r="AH154" s="59"/>
      <c r="AI154" s="53"/>
    </row>
    <row r="155" spans="2:35" ht="14.25" customHeight="1" x14ac:dyDescent="0.2">
      <c r="B155" s="51"/>
      <c r="C155" s="61"/>
      <c r="D155" s="51"/>
      <c r="E155" s="51"/>
      <c r="F155" s="51"/>
      <c r="G155" s="51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Z155" s="51"/>
      <c r="AA155" s="51"/>
      <c r="AB155" s="57"/>
      <c r="AC155" s="59"/>
      <c r="AD155" s="59"/>
      <c r="AE155" s="102"/>
      <c r="AF155" s="102"/>
      <c r="AG155" s="59"/>
      <c r="AH155" s="59"/>
      <c r="AI155" s="53"/>
    </row>
    <row r="156" spans="2:35" ht="14.25" customHeight="1" x14ac:dyDescent="0.2">
      <c r="B156" s="51"/>
      <c r="C156" s="61"/>
      <c r="D156" s="51"/>
      <c r="E156" s="51"/>
      <c r="F156" s="51"/>
      <c r="G156" s="51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Z156" s="51"/>
      <c r="AA156" s="51"/>
      <c r="AB156" s="57"/>
      <c r="AC156" s="59"/>
      <c r="AD156" s="59"/>
      <c r="AE156" s="102"/>
      <c r="AF156" s="102"/>
      <c r="AG156" s="59"/>
      <c r="AH156" s="59"/>
      <c r="AI156" s="53"/>
    </row>
    <row r="157" spans="2:35" ht="14.25" customHeight="1" x14ac:dyDescent="0.2">
      <c r="B157" s="51"/>
      <c r="C157" s="61"/>
      <c r="D157" s="51"/>
      <c r="E157" s="51"/>
      <c r="F157" s="51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Z157" s="51"/>
      <c r="AA157" s="51"/>
      <c r="AB157" s="57"/>
      <c r="AC157" s="59"/>
      <c r="AD157" s="59"/>
      <c r="AE157" s="102"/>
      <c r="AF157" s="102"/>
      <c r="AG157" s="59"/>
      <c r="AH157" s="59"/>
      <c r="AI157" s="53"/>
    </row>
    <row r="158" spans="2:35" ht="14.25" customHeight="1" x14ac:dyDescent="0.2">
      <c r="B158" s="51"/>
      <c r="C158" s="61"/>
      <c r="D158" s="51"/>
      <c r="E158" s="51"/>
      <c r="F158" s="51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Z158" s="51"/>
      <c r="AA158" s="51"/>
      <c r="AB158" s="57"/>
      <c r="AC158" s="59"/>
      <c r="AD158" s="59"/>
      <c r="AE158" s="102"/>
      <c r="AF158" s="102"/>
      <c r="AG158" s="59"/>
      <c r="AH158" s="59"/>
      <c r="AI158" s="53"/>
    </row>
    <row r="159" spans="2:35" ht="14.25" customHeight="1" x14ac:dyDescent="0.2">
      <c r="B159" s="51"/>
      <c r="C159" s="61"/>
      <c r="D159" s="51"/>
      <c r="E159" s="51"/>
      <c r="F159" s="51"/>
      <c r="G159" s="51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Z159" s="51"/>
      <c r="AA159" s="51"/>
      <c r="AB159" s="57"/>
      <c r="AC159" s="59"/>
      <c r="AD159" s="59"/>
      <c r="AE159" s="102"/>
      <c r="AF159" s="102"/>
      <c r="AG159" s="59"/>
      <c r="AH159" s="59"/>
      <c r="AI159" s="53"/>
    </row>
    <row r="160" spans="2:35" ht="14.25" customHeight="1" x14ac:dyDescent="0.2">
      <c r="B160" s="51"/>
      <c r="C160" s="61"/>
      <c r="D160" s="51"/>
      <c r="E160" s="51"/>
      <c r="F160" s="51"/>
      <c r="G160" s="51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Z160" s="51"/>
      <c r="AA160" s="51"/>
      <c r="AB160" s="57"/>
      <c r="AC160" s="59"/>
      <c r="AD160" s="59"/>
      <c r="AE160" s="102"/>
      <c r="AF160" s="102"/>
      <c r="AG160" s="59"/>
      <c r="AH160" s="59"/>
      <c r="AI160" s="53"/>
    </row>
    <row r="161" spans="2:35" ht="14.25" customHeight="1" x14ac:dyDescent="0.2">
      <c r="B161" s="51"/>
      <c r="C161" s="61"/>
      <c r="D161" s="51"/>
      <c r="E161" s="51"/>
      <c r="F161" s="51"/>
      <c r="G161" s="51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Z161" s="51"/>
      <c r="AA161" s="51"/>
      <c r="AB161" s="57"/>
      <c r="AC161" s="59"/>
      <c r="AD161" s="59"/>
      <c r="AE161" s="102"/>
      <c r="AF161" s="102"/>
      <c r="AG161" s="59"/>
      <c r="AH161" s="59"/>
      <c r="AI161" s="53"/>
    </row>
    <row r="162" spans="2:35" ht="14.25" customHeight="1" x14ac:dyDescent="0.2">
      <c r="B162" s="51"/>
      <c r="C162" s="61"/>
      <c r="D162" s="51"/>
      <c r="E162" s="51"/>
      <c r="F162" s="51"/>
      <c r="G162" s="51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Z162" s="51"/>
      <c r="AA162" s="51"/>
      <c r="AB162" s="57"/>
      <c r="AC162" s="59"/>
      <c r="AD162" s="59"/>
      <c r="AE162" s="102"/>
      <c r="AF162" s="102"/>
      <c r="AG162" s="59"/>
      <c r="AH162" s="59"/>
      <c r="AI162" s="53"/>
    </row>
    <row r="163" spans="2:35" ht="14.25" customHeight="1" x14ac:dyDescent="0.2">
      <c r="B163" s="51"/>
      <c r="C163" s="6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Z163" s="51"/>
      <c r="AA163" s="51"/>
      <c r="AB163" s="57"/>
      <c r="AC163" s="59"/>
      <c r="AD163" s="59"/>
      <c r="AE163" s="102"/>
      <c r="AF163" s="102"/>
      <c r="AG163" s="59"/>
      <c r="AH163" s="59"/>
      <c r="AI163" s="53"/>
    </row>
    <row r="164" spans="2:35" ht="14.25" customHeight="1" x14ac:dyDescent="0.2">
      <c r="B164" s="51"/>
      <c r="C164" s="61"/>
      <c r="D164" s="51"/>
      <c r="E164" s="51"/>
      <c r="F164" s="51"/>
      <c r="G164" s="51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Z164" s="51"/>
      <c r="AA164" s="51"/>
      <c r="AB164" s="57"/>
      <c r="AC164" s="59"/>
      <c r="AD164" s="59"/>
      <c r="AE164" s="102"/>
      <c r="AF164" s="102"/>
      <c r="AG164" s="59"/>
      <c r="AH164" s="59"/>
      <c r="AI164" s="53"/>
    </row>
    <row r="165" spans="2:35" ht="14.25" customHeight="1" x14ac:dyDescent="0.2">
      <c r="B165" s="51"/>
      <c r="C165" s="61"/>
      <c r="D165" s="51"/>
      <c r="E165" s="51"/>
      <c r="F165" s="51"/>
      <c r="G165" s="51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Z165" s="51"/>
      <c r="AA165" s="51"/>
      <c r="AB165" s="57"/>
      <c r="AC165" s="59"/>
      <c r="AD165" s="59"/>
      <c r="AE165" s="102"/>
      <c r="AF165" s="102"/>
      <c r="AG165" s="59"/>
      <c r="AH165" s="59"/>
      <c r="AI165" s="53"/>
    </row>
    <row r="166" spans="2:35" ht="14.25" customHeight="1" x14ac:dyDescent="0.2">
      <c r="B166" s="51"/>
      <c r="C166" s="61"/>
      <c r="D166" s="51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Z166" s="51"/>
      <c r="AA166" s="51"/>
      <c r="AB166" s="57"/>
      <c r="AC166" s="59"/>
      <c r="AD166" s="59"/>
      <c r="AE166" s="102"/>
      <c r="AF166" s="102"/>
      <c r="AG166" s="59"/>
      <c r="AH166" s="59"/>
      <c r="AI166" s="53"/>
    </row>
    <row r="167" spans="2:35" ht="14.25" customHeight="1" x14ac:dyDescent="0.2">
      <c r="B167" s="51"/>
      <c r="C167" s="61"/>
      <c r="D167" s="51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Z167" s="51"/>
      <c r="AA167" s="51"/>
      <c r="AB167" s="57"/>
      <c r="AC167" s="59"/>
      <c r="AD167" s="59"/>
      <c r="AE167" s="102"/>
      <c r="AF167" s="102"/>
      <c r="AG167" s="59"/>
      <c r="AH167" s="59"/>
      <c r="AI167" s="53"/>
    </row>
    <row r="168" spans="2:35" ht="14.25" customHeight="1" x14ac:dyDescent="0.2">
      <c r="B168" s="51"/>
      <c r="C168" s="61"/>
      <c r="D168" s="51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Z168" s="51"/>
      <c r="AA168" s="51"/>
      <c r="AB168" s="57"/>
      <c r="AC168" s="59"/>
      <c r="AD168" s="59"/>
      <c r="AE168" s="102"/>
      <c r="AF168" s="102"/>
      <c r="AG168" s="59"/>
      <c r="AH168" s="59"/>
      <c r="AI168" s="53"/>
    </row>
    <row r="169" spans="2:35" ht="14.25" customHeight="1" x14ac:dyDescent="0.2">
      <c r="B169" s="51"/>
      <c r="C169" s="61"/>
      <c r="D169" s="51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Z169" s="51"/>
      <c r="AA169" s="51"/>
      <c r="AB169" s="57"/>
      <c r="AC169" s="59"/>
      <c r="AD169" s="59"/>
      <c r="AE169" s="102"/>
      <c r="AF169" s="102"/>
      <c r="AG169" s="59"/>
      <c r="AH169" s="59"/>
      <c r="AI169" s="53"/>
    </row>
    <row r="170" spans="2:35" ht="14.25" customHeight="1" x14ac:dyDescent="0.2">
      <c r="B170" s="51"/>
      <c r="C170" s="61"/>
      <c r="D170" s="51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Z170" s="51"/>
      <c r="AA170" s="51"/>
      <c r="AB170" s="57"/>
      <c r="AC170" s="59"/>
      <c r="AD170" s="59"/>
      <c r="AE170" s="102"/>
      <c r="AF170" s="102"/>
      <c r="AG170" s="59"/>
      <c r="AH170" s="59"/>
      <c r="AI170" s="53"/>
    </row>
    <row r="171" spans="2:35" ht="14.25" customHeight="1" x14ac:dyDescent="0.2">
      <c r="B171" s="51"/>
      <c r="C171" s="61"/>
      <c r="D171" s="51"/>
      <c r="E171" s="51"/>
      <c r="F171" s="51"/>
      <c r="G171" s="51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Z171" s="51"/>
      <c r="AA171" s="51"/>
      <c r="AB171" s="57"/>
      <c r="AC171" s="59"/>
      <c r="AD171" s="59"/>
      <c r="AE171" s="102"/>
      <c r="AF171" s="102"/>
      <c r="AG171" s="59"/>
      <c r="AH171" s="59"/>
      <c r="AI171" s="53"/>
    </row>
    <row r="172" spans="2:35" ht="14.25" customHeight="1" x14ac:dyDescent="0.2">
      <c r="B172" s="51"/>
      <c r="C172" s="61"/>
      <c r="D172" s="51"/>
      <c r="E172" s="51"/>
      <c r="F172" s="51"/>
      <c r="G172" s="51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Z172" s="51"/>
      <c r="AA172" s="51"/>
      <c r="AB172" s="57"/>
      <c r="AC172" s="59"/>
      <c r="AD172" s="59"/>
      <c r="AE172" s="102"/>
      <c r="AF172" s="102"/>
      <c r="AG172" s="59"/>
      <c r="AH172" s="59"/>
      <c r="AI172" s="53"/>
    </row>
    <row r="173" spans="2:35" ht="14.25" customHeight="1" x14ac:dyDescent="0.2">
      <c r="B173" s="51"/>
      <c r="C173" s="61"/>
      <c r="D173" s="51"/>
      <c r="E173" s="51"/>
      <c r="F173" s="51"/>
      <c r="G173" s="51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Z173" s="51"/>
      <c r="AA173" s="51"/>
      <c r="AB173" s="57"/>
      <c r="AC173" s="59"/>
      <c r="AD173" s="59"/>
      <c r="AE173" s="102"/>
      <c r="AF173" s="102"/>
      <c r="AG173" s="59"/>
      <c r="AH173" s="59"/>
      <c r="AI173" s="53"/>
    </row>
    <row r="174" spans="2:35" ht="14.25" customHeight="1" x14ac:dyDescent="0.2">
      <c r="B174" s="51"/>
      <c r="C174" s="61"/>
      <c r="D174" s="51"/>
      <c r="E174" s="51"/>
      <c r="F174" s="51"/>
      <c r="G174" s="51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Z174" s="51"/>
      <c r="AA174" s="51"/>
      <c r="AB174" s="57"/>
      <c r="AC174" s="59"/>
      <c r="AD174" s="59"/>
      <c r="AE174" s="102"/>
      <c r="AF174" s="102"/>
      <c r="AG174" s="59"/>
      <c r="AH174" s="59"/>
      <c r="AI174" s="53"/>
    </row>
    <row r="175" spans="2:35" ht="14.25" customHeight="1" x14ac:dyDescent="0.2">
      <c r="B175" s="51"/>
      <c r="C175" s="61"/>
      <c r="D175" s="51"/>
      <c r="E175" s="51"/>
      <c r="F175" s="51"/>
      <c r="G175" s="51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Z175" s="51"/>
      <c r="AA175" s="51"/>
      <c r="AB175" s="57"/>
      <c r="AC175" s="59"/>
      <c r="AD175" s="59"/>
      <c r="AE175" s="102"/>
      <c r="AF175" s="102"/>
      <c r="AG175" s="59"/>
      <c r="AH175" s="59"/>
      <c r="AI175" s="53"/>
    </row>
    <row r="176" spans="2:35" ht="14.25" customHeight="1" x14ac:dyDescent="0.2">
      <c r="B176" s="51"/>
      <c r="C176" s="61"/>
      <c r="D176" s="51"/>
      <c r="E176" s="51"/>
      <c r="F176" s="51"/>
      <c r="G176" s="51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Z176" s="51"/>
      <c r="AA176" s="51"/>
      <c r="AB176" s="57"/>
      <c r="AC176" s="59"/>
      <c r="AD176" s="59"/>
      <c r="AE176" s="102"/>
      <c r="AF176" s="102"/>
      <c r="AG176" s="59"/>
      <c r="AH176" s="59"/>
      <c r="AI176" s="53"/>
    </row>
    <row r="177" spans="2:35" ht="14.25" customHeight="1" x14ac:dyDescent="0.2">
      <c r="B177" s="51"/>
      <c r="C177" s="61"/>
      <c r="D177" s="51"/>
      <c r="E177" s="51"/>
      <c r="F177" s="51"/>
      <c r="G177" s="51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Z177" s="51"/>
      <c r="AA177" s="51"/>
      <c r="AB177" s="57"/>
      <c r="AC177" s="59"/>
      <c r="AD177" s="59"/>
      <c r="AE177" s="102"/>
      <c r="AF177" s="102"/>
      <c r="AG177" s="59"/>
      <c r="AH177" s="59"/>
      <c r="AI177" s="53"/>
    </row>
    <row r="178" spans="2:35" ht="14.25" customHeight="1" x14ac:dyDescent="0.2">
      <c r="B178" s="51"/>
      <c r="C178" s="61"/>
      <c r="D178" s="51"/>
      <c r="E178" s="51"/>
      <c r="F178" s="51"/>
      <c r="G178" s="51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Z178" s="51"/>
      <c r="AA178" s="51"/>
      <c r="AB178" s="57"/>
      <c r="AC178" s="59"/>
      <c r="AD178" s="59"/>
      <c r="AE178" s="102"/>
      <c r="AF178" s="102"/>
      <c r="AG178" s="59"/>
      <c r="AH178" s="59"/>
      <c r="AI178" s="53"/>
    </row>
    <row r="179" spans="2:35" ht="14.25" customHeight="1" x14ac:dyDescent="0.2">
      <c r="B179" s="51"/>
      <c r="C179" s="61"/>
      <c r="D179" s="51"/>
      <c r="E179" s="51"/>
      <c r="F179" s="51"/>
      <c r="G179" s="51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Z179" s="51"/>
      <c r="AA179" s="51"/>
      <c r="AB179" s="57"/>
      <c r="AC179" s="59"/>
      <c r="AD179" s="59"/>
      <c r="AE179" s="102"/>
      <c r="AF179" s="102"/>
      <c r="AG179" s="59"/>
      <c r="AH179" s="59"/>
      <c r="AI179" s="53"/>
    </row>
    <row r="180" spans="2:35" ht="14.25" customHeight="1" x14ac:dyDescent="0.2">
      <c r="B180" s="51"/>
      <c r="C180" s="61"/>
      <c r="D180" s="51"/>
      <c r="E180" s="51"/>
      <c r="F180" s="51"/>
      <c r="G180" s="51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Z180" s="51"/>
      <c r="AA180" s="51"/>
      <c r="AB180" s="57"/>
      <c r="AC180" s="59"/>
      <c r="AD180" s="59"/>
      <c r="AE180" s="102"/>
      <c r="AF180" s="102"/>
      <c r="AG180" s="59"/>
      <c r="AH180" s="59"/>
      <c r="AI180" s="53"/>
    </row>
    <row r="181" spans="2:35" ht="14.25" customHeight="1" x14ac:dyDescent="0.2">
      <c r="B181" s="51"/>
      <c r="C181" s="61"/>
      <c r="D181" s="51"/>
      <c r="E181" s="51"/>
      <c r="F181" s="51"/>
      <c r="G181" s="51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Z181" s="51"/>
      <c r="AA181" s="51"/>
      <c r="AB181" s="57"/>
      <c r="AC181" s="59"/>
      <c r="AD181" s="59"/>
      <c r="AE181" s="102"/>
      <c r="AF181" s="102"/>
      <c r="AG181" s="59"/>
      <c r="AH181" s="59"/>
      <c r="AI181" s="53"/>
    </row>
    <row r="182" spans="2:35" ht="14.25" customHeight="1" x14ac:dyDescent="0.2">
      <c r="B182" s="51"/>
      <c r="C182" s="61"/>
      <c r="D182" s="51"/>
      <c r="E182" s="51"/>
      <c r="F182" s="51"/>
      <c r="G182" s="51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Z182" s="51"/>
      <c r="AA182" s="51"/>
      <c r="AB182" s="57"/>
      <c r="AC182" s="59"/>
      <c r="AD182" s="59"/>
      <c r="AE182" s="102"/>
      <c r="AF182" s="102"/>
      <c r="AG182" s="59"/>
      <c r="AH182" s="59"/>
      <c r="AI182" s="53"/>
    </row>
    <row r="183" spans="2:35" ht="14.25" customHeight="1" x14ac:dyDescent="0.2">
      <c r="B183" s="51"/>
      <c r="C183" s="61"/>
      <c r="D183" s="51"/>
      <c r="E183" s="51"/>
      <c r="F183" s="51"/>
      <c r="G183" s="51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Z183" s="51"/>
      <c r="AA183" s="51"/>
      <c r="AB183" s="57"/>
      <c r="AC183" s="59"/>
      <c r="AD183" s="59"/>
      <c r="AE183" s="102"/>
      <c r="AF183" s="102"/>
      <c r="AG183" s="59"/>
      <c r="AH183" s="59"/>
      <c r="AI183" s="53"/>
    </row>
    <row r="184" spans="2:35" ht="14.25" customHeight="1" x14ac:dyDescent="0.2">
      <c r="B184" s="51"/>
      <c r="C184" s="61"/>
      <c r="D184" s="51"/>
      <c r="E184" s="51"/>
      <c r="F184" s="51"/>
      <c r="G184" s="51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Z184" s="51"/>
      <c r="AA184" s="51"/>
      <c r="AB184" s="57"/>
      <c r="AC184" s="59"/>
      <c r="AD184" s="59"/>
      <c r="AE184" s="102"/>
      <c r="AF184" s="102"/>
      <c r="AG184" s="59"/>
      <c r="AH184" s="59"/>
      <c r="AI184" s="53"/>
    </row>
    <row r="185" spans="2:35" ht="14.25" customHeight="1" x14ac:dyDescent="0.2">
      <c r="B185" s="51"/>
      <c r="C185" s="61"/>
      <c r="D185" s="51"/>
      <c r="E185" s="51"/>
      <c r="F185" s="51"/>
      <c r="G185" s="51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Z185" s="51"/>
      <c r="AA185" s="51"/>
      <c r="AB185" s="57"/>
      <c r="AC185" s="59"/>
      <c r="AD185" s="59"/>
      <c r="AE185" s="102"/>
      <c r="AF185" s="102"/>
      <c r="AG185" s="59"/>
      <c r="AH185" s="59"/>
      <c r="AI185" s="53"/>
    </row>
    <row r="186" spans="2:35" ht="14.25" customHeight="1" x14ac:dyDescent="0.2">
      <c r="B186" s="51"/>
      <c r="C186" s="61"/>
      <c r="D186" s="51"/>
      <c r="E186" s="51"/>
      <c r="F186" s="51"/>
      <c r="G186" s="51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Z186" s="51"/>
      <c r="AA186" s="51"/>
      <c r="AB186" s="57"/>
      <c r="AC186" s="59"/>
      <c r="AD186" s="59"/>
      <c r="AE186" s="102"/>
      <c r="AF186" s="102"/>
      <c r="AG186" s="59"/>
      <c r="AH186" s="59"/>
      <c r="AI186" s="53"/>
    </row>
    <row r="187" spans="2:35" ht="14.25" customHeight="1" x14ac:dyDescent="0.2">
      <c r="B187" s="51"/>
      <c r="C187" s="61"/>
      <c r="D187" s="51"/>
      <c r="E187" s="51"/>
      <c r="F187" s="51"/>
      <c r="G187" s="51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Z187" s="51"/>
      <c r="AA187" s="51"/>
      <c r="AB187" s="57"/>
      <c r="AC187" s="59"/>
      <c r="AD187" s="59"/>
      <c r="AE187" s="102"/>
      <c r="AF187" s="102"/>
      <c r="AG187" s="59"/>
      <c r="AH187" s="59"/>
      <c r="AI187" s="53"/>
    </row>
    <row r="188" spans="2:35" ht="14.25" customHeight="1" x14ac:dyDescent="0.2">
      <c r="B188" s="51"/>
      <c r="C188" s="61"/>
      <c r="D188" s="51"/>
      <c r="E188" s="51"/>
      <c r="F188" s="51"/>
      <c r="G188" s="51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Z188" s="51"/>
      <c r="AA188" s="51"/>
      <c r="AB188" s="57"/>
      <c r="AC188" s="59"/>
      <c r="AD188" s="59"/>
      <c r="AE188" s="102"/>
      <c r="AF188" s="102"/>
      <c r="AG188" s="59"/>
      <c r="AH188" s="59"/>
      <c r="AI188" s="53"/>
    </row>
    <row r="189" spans="2:35" ht="14.25" customHeight="1" x14ac:dyDescent="0.2">
      <c r="B189" s="51"/>
      <c r="C189" s="61"/>
      <c r="D189" s="51"/>
      <c r="E189" s="51"/>
      <c r="F189" s="51"/>
      <c r="G189" s="51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Z189" s="51"/>
      <c r="AA189" s="51"/>
      <c r="AB189" s="57"/>
      <c r="AC189" s="59"/>
      <c r="AD189" s="59"/>
      <c r="AE189" s="102"/>
      <c r="AF189" s="102"/>
      <c r="AG189" s="59"/>
      <c r="AH189" s="59"/>
      <c r="AI189" s="53"/>
    </row>
    <row r="190" spans="2:35" ht="14.25" customHeight="1" x14ac:dyDescent="0.2">
      <c r="B190" s="51"/>
      <c r="C190" s="61"/>
      <c r="D190" s="51"/>
      <c r="E190" s="51"/>
      <c r="F190" s="51"/>
      <c r="G190" s="51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Z190" s="51"/>
      <c r="AA190" s="51"/>
      <c r="AB190" s="57"/>
      <c r="AC190" s="59"/>
      <c r="AD190" s="59"/>
      <c r="AE190" s="102"/>
      <c r="AF190" s="102"/>
      <c r="AG190" s="59"/>
      <c r="AH190" s="59"/>
      <c r="AI190" s="53"/>
    </row>
    <row r="191" spans="2:35" ht="14.25" customHeight="1" x14ac:dyDescent="0.2">
      <c r="B191" s="51"/>
      <c r="C191" s="61"/>
      <c r="D191" s="51"/>
      <c r="E191" s="51"/>
      <c r="F191" s="51"/>
      <c r="G191" s="51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Z191" s="51"/>
      <c r="AA191" s="51"/>
      <c r="AB191" s="57"/>
      <c r="AC191" s="59"/>
      <c r="AD191" s="59"/>
      <c r="AE191" s="102"/>
      <c r="AF191" s="102"/>
      <c r="AG191" s="59"/>
      <c r="AH191" s="59"/>
      <c r="AI191" s="53"/>
    </row>
    <row r="192" spans="2:35" ht="14.25" customHeight="1" x14ac:dyDescent="0.2">
      <c r="B192" s="51"/>
      <c r="C192" s="61"/>
      <c r="D192" s="51"/>
      <c r="E192" s="51"/>
      <c r="F192" s="51"/>
      <c r="G192" s="51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Z192" s="51"/>
      <c r="AA192" s="51"/>
      <c r="AB192" s="57"/>
      <c r="AC192" s="59"/>
      <c r="AD192" s="59"/>
      <c r="AE192" s="102"/>
      <c r="AF192" s="102"/>
      <c r="AG192" s="59"/>
      <c r="AH192" s="59"/>
      <c r="AI192" s="53"/>
    </row>
    <row r="193" spans="2:35" ht="14.25" customHeight="1" x14ac:dyDescent="0.2">
      <c r="B193" s="51"/>
      <c r="C193" s="61"/>
      <c r="D193" s="51"/>
      <c r="E193" s="51"/>
      <c r="F193" s="51"/>
      <c r="G193" s="51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Z193" s="51"/>
      <c r="AA193" s="51"/>
      <c r="AB193" s="57"/>
      <c r="AC193" s="59"/>
      <c r="AD193" s="59"/>
      <c r="AE193" s="102"/>
      <c r="AF193" s="102"/>
      <c r="AG193" s="59"/>
      <c r="AH193" s="59"/>
      <c r="AI193" s="53"/>
    </row>
    <row r="194" spans="2:35" ht="14.25" customHeight="1" x14ac:dyDescent="0.2">
      <c r="B194" s="51"/>
      <c r="C194" s="61"/>
      <c r="D194" s="51"/>
      <c r="E194" s="51"/>
      <c r="F194" s="51"/>
      <c r="G194" s="51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Z194" s="51"/>
      <c r="AA194" s="51"/>
      <c r="AB194" s="57"/>
      <c r="AC194" s="59"/>
      <c r="AD194" s="59"/>
      <c r="AE194" s="102"/>
      <c r="AF194" s="102"/>
      <c r="AG194" s="59"/>
      <c r="AH194" s="59"/>
      <c r="AI194" s="53"/>
    </row>
    <row r="195" spans="2:35" ht="14.25" customHeight="1" x14ac:dyDescent="0.2">
      <c r="B195" s="51"/>
      <c r="C195" s="61"/>
      <c r="D195" s="51"/>
      <c r="E195" s="51"/>
      <c r="F195" s="51"/>
      <c r="G195" s="51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Z195" s="51"/>
      <c r="AA195" s="51"/>
      <c r="AB195" s="57"/>
      <c r="AC195" s="59"/>
      <c r="AD195" s="59"/>
      <c r="AE195" s="102"/>
      <c r="AF195" s="102"/>
      <c r="AG195" s="59"/>
      <c r="AH195" s="59"/>
      <c r="AI195" s="53"/>
    </row>
    <row r="196" spans="2:35" ht="14.25" customHeight="1" x14ac:dyDescent="0.2">
      <c r="B196" s="51"/>
      <c r="C196" s="61"/>
      <c r="D196" s="51"/>
      <c r="E196" s="51"/>
      <c r="F196" s="51"/>
      <c r="G196" s="51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Z196" s="51"/>
      <c r="AA196" s="51"/>
      <c r="AB196" s="57"/>
      <c r="AC196" s="59"/>
      <c r="AD196" s="59"/>
      <c r="AE196" s="102"/>
      <c r="AF196" s="102"/>
      <c r="AG196" s="59"/>
      <c r="AH196" s="59"/>
      <c r="AI196" s="53"/>
    </row>
    <row r="197" spans="2:35" ht="14.25" customHeight="1" x14ac:dyDescent="0.2">
      <c r="B197" s="51"/>
      <c r="C197" s="61"/>
      <c r="D197" s="51"/>
      <c r="E197" s="51"/>
      <c r="F197" s="51"/>
      <c r="G197" s="51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Z197" s="51"/>
      <c r="AA197" s="51"/>
      <c r="AB197" s="57"/>
      <c r="AC197" s="59"/>
      <c r="AD197" s="59"/>
      <c r="AE197" s="102"/>
      <c r="AF197" s="102"/>
      <c r="AG197" s="59"/>
      <c r="AH197" s="59"/>
      <c r="AI197" s="53"/>
    </row>
    <row r="198" spans="2:35" ht="14.25" customHeight="1" x14ac:dyDescent="0.2">
      <c r="B198" s="51"/>
      <c r="C198" s="61"/>
      <c r="D198" s="51"/>
      <c r="E198" s="51"/>
      <c r="F198" s="51"/>
      <c r="G198" s="51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Z198" s="51"/>
      <c r="AA198" s="51"/>
      <c r="AB198" s="57"/>
      <c r="AC198" s="59"/>
      <c r="AD198" s="59"/>
      <c r="AE198" s="102"/>
      <c r="AF198" s="102"/>
      <c r="AG198" s="59"/>
      <c r="AH198" s="59"/>
      <c r="AI198" s="53"/>
    </row>
    <row r="199" spans="2:35" ht="14.25" customHeight="1" x14ac:dyDescent="0.2">
      <c r="B199" s="51"/>
      <c r="C199" s="61"/>
      <c r="D199" s="51"/>
      <c r="E199" s="51"/>
      <c r="F199" s="51"/>
      <c r="G199" s="51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Z199" s="51"/>
      <c r="AA199" s="51"/>
      <c r="AB199" s="57"/>
      <c r="AC199" s="59"/>
      <c r="AD199" s="59"/>
      <c r="AE199" s="102"/>
      <c r="AF199" s="102"/>
      <c r="AG199" s="59"/>
      <c r="AH199" s="59"/>
      <c r="AI199" s="53"/>
    </row>
    <row r="200" spans="2:35" ht="14.25" customHeight="1" x14ac:dyDescent="0.2">
      <c r="B200" s="51"/>
      <c r="C200" s="61"/>
      <c r="D200" s="51"/>
      <c r="E200" s="51"/>
      <c r="F200" s="51"/>
      <c r="G200" s="51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Z200" s="51"/>
      <c r="AA200" s="51"/>
      <c r="AB200" s="57"/>
      <c r="AC200" s="59"/>
      <c r="AD200" s="59"/>
      <c r="AE200" s="102"/>
      <c r="AF200" s="102"/>
      <c r="AG200" s="59"/>
      <c r="AH200" s="59"/>
      <c r="AI200" s="53"/>
    </row>
    <row r="201" spans="2:35" ht="14.25" customHeight="1" x14ac:dyDescent="0.2">
      <c r="B201" s="51"/>
      <c r="C201" s="61"/>
      <c r="D201" s="51"/>
      <c r="E201" s="51"/>
      <c r="F201" s="51"/>
      <c r="G201" s="51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Z201" s="51"/>
      <c r="AA201" s="51"/>
      <c r="AB201" s="57"/>
      <c r="AC201" s="59"/>
      <c r="AD201" s="59"/>
      <c r="AE201" s="102"/>
      <c r="AF201" s="102"/>
      <c r="AG201" s="59"/>
      <c r="AH201" s="59"/>
      <c r="AI201" s="53"/>
    </row>
    <row r="202" spans="2:35" ht="14.25" customHeight="1" x14ac:dyDescent="0.2">
      <c r="B202" s="51"/>
      <c r="C202" s="61"/>
      <c r="D202" s="51"/>
      <c r="E202" s="51"/>
      <c r="F202" s="51"/>
      <c r="G202" s="51"/>
      <c r="H202" s="5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Z202" s="51"/>
      <c r="AA202" s="51"/>
      <c r="AB202" s="57"/>
      <c r="AC202" s="59"/>
      <c r="AD202" s="59"/>
      <c r="AE202" s="102"/>
      <c r="AF202" s="102"/>
      <c r="AG202" s="59"/>
      <c r="AH202" s="59"/>
      <c r="AI202" s="53"/>
    </row>
    <row r="203" spans="2:35" ht="14.25" customHeight="1" x14ac:dyDescent="0.2">
      <c r="B203" s="51"/>
      <c r="C203" s="61"/>
      <c r="D203" s="51"/>
      <c r="E203" s="51"/>
      <c r="F203" s="51"/>
      <c r="G203" s="51"/>
      <c r="H203" s="5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Z203" s="51"/>
      <c r="AA203" s="51"/>
      <c r="AB203" s="57"/>
      <c r="AC203" s="59"/>
      <c r="AD203" s="59"/>
      <c r="AE203" s="102"/>
      <c r="AF203" s="102"/>
      <c r="AG203" s="59"/>
      <c r="AH203" s="59"/>
      <c r="AI203" s="53"/>
    </row>
    <row r="204" spans="2:35" x14ac:dyDescent="0.2">
      <c r="Q204" s="51"/>
      <c r="R204" s="51"/>
      <c r="S204" s="51"/>
    </row>
    <row r="205" spans="2:35" x14ac:dyDescent="0.2">
      <c r="Q205" s="51"/>
      <c r="R205" s="51"/>
      <c r="S205" s="51"/>
    </row>
    <row r="206" spans="2:35" x14ac:dyDescent="0.2">
      <c r="Q206" s="51"/>
      <c r="R206" s="51"/>
      <c r="S206" s="51"/>
    </row>
    <row r="207" spans="2:35" x14ac:dyDescent="0.2">
      <c r="Q207" s="51"/>
      <c r="R207" s="51"/>
      <c r="S207" s="51"/>
    </row>
    <row r="208" spans="2:35" x14ac:dyDescent="0.2">
      <c r="Q208" s="51"/>
      <c r="R208" s="51"/>
      <c r="S208" s="51"/>
    </row>
    <row r="209" spans="17:19" x14ac:dyDescent="0.2">
      <c r="Q209" s="51"/>
      <c r="R209" s="51"/>
      <c r="S209" s="51"/>
    </row>
    <row r="210" spans="17:19" x14ac:dyDescent="0.2">
      <c r="Q210" s="51"/>
      <c r="R210" s="51"/>
      <c r="S210" s="51"/>
    </row>
    <row r="211" spans="17:19" x14ac:dyDescent="0.2">
      <c r="Q211" s="51"/>
      <c r="R211" s="51"/>
      <c r="S211" s="51"/>
    </row>
    <row r="212" spans="17:19" x14ac:dyDescent="0.2">
      <c r="Q212" s="51"/>
      <c r="R212" s="51"/>
      <c r="S212" s="51"/>
    </row>
    <row r="213" spans="17:19" x14ac:dyDescent="0.2">
      <c r="Q213" s="51"/>
      <c r="R213" s="51"/>
      <c r="S213" s="51"/>
    </row>
    <row r="214" spans="17:19" x14ac:dyDescent="0.2">
      <c r="Q214" s="51"/>
      <c r="R214" s="51"/>
      <c r="S214" s="51"/>
    </row>
    <row r="215" spans="17:19" x14ac:dyDescent="0.2">
      <c r="Q215" s="51"/>
      <c r="R215" s="51"/>
      <c r="S215" s="51"/>
    </row>
    <row r="216" spans="17:19" x14ac:dyDescent="0.2">
      <c r="Q216" s="51"/>
      <c r="R216" s="51"/>
      <c r="S216" s="51"/>
    </row>
    <row r="217" spans="17:19" x14ac:dyDescent="0.2">
      <c r="Q217" s="51"/>
      <c r="R217" s="51"/>
      <c r="S217" s="51"/>
    </row>
    <row r="218" spans="17:19" x14ac:dyDescent="0.2">
      <c r="Q218" s="51"/>
      <c r="R218" s="51"/>
      <c r="S218" s="51"/>
    </row>
    <row r="219" spans="17:19" x14ac:dyDescent="0.2">
      <c r="Q219" s="51"/>
      <c r="R219" s="51"/>
      <c r="S219" s="51"/>
    </row>
    <row r="220" spans="17:19" x14ac:dyDescent="0.2">
      <c r="Q220" s="51"/>
      <c r="R220" s="51"/>
      <c r="S220" s="51"/>
    </row>
    <row r="221" spans="17:19" x14ac:dyDescent="0.2">
      <c r="Q221" s="51"/>
      <c r="R221" s="51"/>
      <c r="S221" s="51"/>
    </row>
    <row r="222" spans="17:19" x14ac:dyDescent="0.2">
      <c r="Q222" s="51"/>
      <c r="R222" s="51"/>
      <c r="S222" s="51"/>
    </row>
    <row r="223" spans="17:19" x14ac:dyDescent="0.2">
      <c r="Q223" s="51"/>
      <c r="R223" s="51"/>
      <c r="S223" s="51"/>
    </row>
    <row r="224" spans="17:19" x14ac:dyDescent="0.2">
      <c r="Q224" s="51"/>
      <c r="R224" s="51"/>
      <c r="S224" s="51"/>
    </row>
    <row r="225" spans="17:19" x14ac:dyDescent="0.2">
      <c r="Q225" s="51"/>
      <c r="R225" s="51"/>
      <c r="S225" s="51"/>
    </row>
    <row r="226" spans="17:19" x14ac:dyDescent="0.2">
      <c r="Q226" s="51"/>
      <c r="R226" s="51"/>
      <c r="S226" s="51"/>
    </row>
    <row r="227" spans="17:19" x14ac:dyDescent="0.2">
      <c r="Q227" s="51"/>
      <c r="R227" s="51"/>
      <c r="S227" s="51"/>
    </row>
    <row r="228" spans="17:19" x14ac:dyDescent="0.2">
      <c r="Q228" s="51"/>
      <c r="R228" s="51"/>
      <c r="S228" s="51"/>
    </row>
    <row r="229" spans="17:19" x14ac:dyDescent="0.2">
      <c r="Q229" s="51"/>
      <c r="R229" s="51"/>
      <c r="S229" s="51"/>
    </row>
    <row r="230" spans="17:19" x14ac:dyDescent="0.2">
      <c r="Q230" s="51"/>
      <c r="R230" s="51"/>
      <c r="S230" s="51"/>
    </row>
    <row r="231" spans="17:19" x14ac:dyDescent="0.2">
      <c r="Q231" s="51"/>
      <c r="R231" s="51"/>
      <c r="S231" s="51"/>
    </row>
    <row r="232" spans="17:19" x14ac:dyDescent="0.2">
      <c r="Q232" s="51"/>
      <c r="R232" s="51"/>
      <c r="S232" s="51"/>
    </row>
    <row r="233" spans="17:19" x14ac:dyDescent="0.2">
      <c r="Q233" s="51"/>
      <c r="R233" s="51"/>
      <c r="S233" s="51"/>
    </row>
    <row r="234" spans="17:19" x14ac:dyDescent="0.2">
      <c r="Q234" s="51"/>
      <c r="R234" s="51"/>
      <c r="S234" s="51"/>
    </row>
    <row r="235" spans="17:19" x14ac:dyDescent="0.2">
      <c r="Q235" s="51"/>
      <c r="R235" s="51"/>
      <c r="S235" s="51"/>
    </row>
    <row r="236" spans="17:19" x14ac:dyDescent="0.2">
      <c r="Q236" s="51"/>
      <c r="R236" s="51"/>
      <c r="S236" s="51"/>
    </row>
    <row r="237" spans="17:19" x14ac:dyDescent="0.2">
      <c r="Q237" s="51"/>
      <c r="R237" s="51"/>
      <c r="S237" s="51"/>
    </row>
    <row r="238" spans="17:19" x14ac:dyDescent="0.2">
      <c r="Q238" s="51"/>
      <c r="R238" s="51"/>
      <c r="S238" s="51"/>
    </row>
    <row r="239" spans="17:19" x14ac:dyDescent="0.2">
      <c r="Q239" s="51"/>
      <c r="R239" s="51"/>
      <c r="S239" s="51"/>
    </row>
    <row r="240" spans="17:19" x14ac:dyDescent="0.2">
      <c r="Q240" s="51"/>
      <c r="R240" s="51"/>
      <c r="S240" s="51"/>
    </row>
    <row r="241" spans="17:19" x14ac:dyDescent="0.2">
      <c r="Q241" s="51"/>
      <c r="R241" s="51"/>
      <c r="S241" s="51"/>
    </row>
    <row r="242" spans="17:19" x14ac:dyDescent="0.2">
      <c r="Q242" s="51"/>
      <c r="R242" s="51"/>
      <c r="S242" s="51"/>
    </row>
    <row r="243" spans="17:19" x14ac:dyDescent="0.2">
      <c r="Q243" s="51"/>
      <c r="R243" s="51"/>
      <c r="S243" s="51"/>
    </row>
    <row r="244" spans="17:19" x14ac:dyDescent="0.2">
      <c r="Q244" s="51"/>
      <c r="R244" s="51"/>
      <c r="S244" s="51"/>
    </row>
    <row r="245" spans="17:19" x14ac:dyDescent="0.2">
      <c r="Q245" s="51"/>
      <c r="R245" s="51"/>
      <c r="S245" s="51"/>
    </row>
    <row r="246" spans="17:19" x14ac:dyDescent="0.2">
      <c r="Q246" s="51"/>
      <c r="R246" s="51"/>
      <c r="S246" s="51"/>
    </row>
    <row r="247" spans="17:19" x14ac:dyDescent="0.2">
      <c r="Q247" s="51"/>
      <c r="R247" s="51"/>
      <c r="S247" s="51"/>
    </row>
    <row r="248" spans="17:19" x14ac:dyDescent="0.2">
      <c r="Q248" s="51"/>
      <c r="R248" s="51"/>
      <c r="S248" s="51"/>
    </row>
    <row r="249" spans="17:19" x14ac:dyDescent="0.2">
      <c r="Q249" s="51"/>
      <c r="R249" s="51"/>
      <c r="S249" s="51"/>
    </row>
    <row r="250" spans="17:19" x14ac:dyDescent="0.2">
      <c r="Q250" s="51"/>
      <c r="R250" s="51"/>
      <c r="S250" s="51"/>
    </row>
    <row r="251" spans="17:19" x14ac:dyDescent="0.2">
      <c r="Q251" s="51"/>
      <c r="R251" s="51"/>
      <c r="S251" s="51"/>
    </row>
    <row r="252" spans="17:19" x14ac:dyDescent="0.2">
      <c r="Q252" s="51"/>
      <c r="R252" s="51"/>
      <c r="S252" s="51"/>
    </row>
    <row r="253" spans="17:19" x14ac:dyDescent="0.2">
      <c r="Q253" s="51"/>
      <c r="R253" s="51"/>
      <c r="S253" s="51"/>
    </row>
    <row r="254" spans="17:19" x14ac:dyDescent="0.2">
      <c r="Q254" s="51"/>
      <c r="R254" s="51"/>
      <c r="S254" s="51"/>
    </row>
    <row r="255" spans="17:19" x14ac:dyDescent="0.2">
      <c r="Q255" s="51"/>
      <c r="R255" s="51"/>
      <c r="S255" s="51"/>
    </row>
    <row r="256" spans="17:19" x14ac:dyDescent="0.2">
      <c r="Q256" s="51"/>
      <c r="R256" s="51"/>
      <c r="S256" s="51"/>
    </row>
    <row r="257" spans="17:19" x14ac:dyDescent="0.2">
      <c r="Q257" s="51"/>
      <c r="R257" s="51"/>
      <c r="S257" s="51"/>
    </row>
    <row r="258" spans="17:19" x14ac:dyDescent="0.2">
      <c r="Q258" s="51"/>
      <c r="R258" s="51"/>
      <c r="S258" s="51"/>
    </row>
    <row r="259" spans="17:19" x14ac:dyDescent="0.2">
      <c r="Q259" s="51"/>
      <c r="R259" s="51"/>
      <c r="S259" s="51"/>
    </row>
    <row r="260" spans="17:19" x14ac:dyDescent="0.2">
      <c r="Q260" s="51"/>
      <c r="R260" s="51"/>
      <c r="S260" s="51"/>
    </row>
    <row r="261" spans="17:19" x14ac:dyDescent="0.2">
      <c r="Q261" s="51"/>
      <c r="R261" s="51"/>
      <c r="S261" s="51"/>
    </row>
    <row r="262" spans="17:19" x14ac:dyDescent="0.2">
      <c r="Q262" s="51"/>
      <c r="R262" s="51"/>
      <c r="S262" s="51"/>
    </row>
    <row r="263" spans="17:19" x14ac:dyDescent="0.2">
      <c r="Q263" s="51"/>
      <c r="R263" s="51"/>
      <c r="S263" s="51"/>
    </row>
    <row r="264" spans="17:19" x14ac:dyDescent="0.2">
      <c r="Q264" s="51"/>
      <c r="R264" s="51"/>
      <c r="S264" s="51"/>
    </row>
    <row r="265" spans="17:19" x14ac:dyDescent="0.2">
      <c r="Q265" s="51"/>
      <c r="R265" s="51"/>
      <c r="S265" s="51"/>
    </row>
    <row r="266" spans="17:19" x14ac:dyDescent="0.2">
      <c r="Q266" s="51"/>
      <c r="R266" s="51"/>
      <c r="S266" s="51"/>
    </row>
    <row r="267" spans="17:19" x14ac:dyDescent="0.2">
      <c r="Q267" s="51"/>
      <c r="R267" s="51"/>
      <c r="S267" s="51"/>
    </row>
    <row r="268" spans="17:19" x14ac:dyDescent="0.2">
      <c r="Q268" s="51"/>
      <c r="R268" s="51"/>
      <c r="S268" s="51"/>
    </row>
    <row r="269" spans="17:19" x14ac:dyDescent="0.2">
      <c r="Q269" s="51"/>
      <c r="R269" s="51"/>
      <c r="S269" s="51"/>
    </row>
    <row r="270" spans="17:19" x14ac:dyDescent="0.2">
      <c r="Q270" s="51"/>
      <c r="R270" s="51"/>
      <c r="S270" s="51"/>
    </row>
    <row r="271" spans="17:19" x14ac:dyDescent="0.2">
      <c r="Q271" s="51"/>
      <c r="R271" s="51"/>
      <c r="S271" s="51"/>
    </row>
    <row r="272" spans="17:19" x14ac:dyDescent="0.2">
      <c r="Q272" s="51"/>
      <c r="R272" s="51"/>
      <c r="S272" s="51"/>
    </row>
    <row r="273" spans="17:19" x14ac:dyDescent="0.2">
      <c r="Q273" s="51"/>
      <c r="R273" s="51"/>
      <c r="S273" s="51"/>
    </row>
    <row r="274" spans="17:19" x14ac:dyDescent="0.2">
      <c r="Q274" s="51"/>
      <c r="R274" s="51"/>
      <c r="S274" s="51"/>
    </row>
    <row r="275" spans="17:19" x14ac:dyDescent="0.2">
      <c r="Q275" s="51"/>
      <c r="R275" s="51"/>
      <c r="S275" s="51"/>
    </row>
    <row r="276" spans="17:19" x14ac:dyDescent="0.2">
      <c r="Q276" s="51"/>
      <c r="R276" s="51"/>
      <c r="S276" s="51"/>
    </row>
    <row r="277" spans="17:19" x14ac:dyDescent="0.2">
      <c r="Q277" s="51"/>
      <c r="R277" s="51"/>
      <c r="S277" s="51"/>
    </row>
    <row r="278" spans="17:19" x14ac:dyDescent="0.2">
      <c r="Q278" s="51"/>
      <c r="R278" s="51"/>
      <c r="S278" s="51"/>
    </row>
    <row r="279" spans="17:19" x14ac:dyDescent="0.2">
      <c r="Q279" s="51"/>
      <c r="R279" s="51"/>
      <c r="S279" s="51"/>
    </row>
    <row r="280" spans="17:19" x14ac:dyDescent="0.2">
      <c r="Q280" s="51"/>
      <c r="R280" s="51"/>
      <c r="S280" s="51"/>
    </row>
    <row r="281" spans="17:19" x14ac:dyDescent="0.2">
      <c r="Q281" s="51"/>
      <c r="R281" s="51"/>
      <c r="S281" s="51"/>
    </row>
    <row r="282" spans="17:19" x14ac:dyDescent="0.2">
      <c r="Q282" s="51"/>
      <c r="R282" s="51"/>
      <c r="S282" s="51"/>
    </row>
    <row r="283" spans="17:19" x14ac:dyDescent="0.2">
      <c r="Q283" s="51"/>
      <c r="R283" s="51"/>
      <c r="S283" s="51"/>
    </row>
    <row r="284" spans="17:19" x14ac:dyDescent="0.2">
      <c r="Q284" s="51"/>
      <c r="R284" s="51"/>
      <c r="S284" s="51"/>
    </row>
    <row r="285" spans="17:19" x14ac:dyDescent="0.2">
      <c r="Q285" s="51"/>
      <c r="R285" s="51"/>
      <c r="S285" s="51"/>
    </row>
    <row r="286" spans="17:19" x14ac:dyDescent="0.2">
      <c r="Q286" s="51"/>
      <c r="R286" s="51"/>
      <c r="S286" s="51"/>
    </row>
    <row r="287" spans="17:19" x14ac:dyDescent="0.2">
      <c r="Q287" s="51"/>
      <c r="R287" s="51"/>
      <c r="S287" s="51"/>
    </row>
    <row r="288" spans="17:19" x14ac:dyDescent="0.2">
      <c r="Q288" s="51"/>
      <c r="R288" s="51"/>
      <c r="S288" s="51"/>
    </row>
    <row r="289" spans="17:19" x14ac:dyDescent="0.2">
      <c r="Q289" s="51"/>
      <c r="R289" s="51"/>
      <c r="S289" s="51"/>
    </row>
    <row r="290" spans="17:19" x14ac:dyDescent="0.2">
      <c r="Q290" s="51"/>
      <c r="R290" s="51"/>
      <c r="S290" s="51"/>
    </row>
    <row r="291" spans="17:19" x14ac:dyDescent="0.2">
      <c r="Q291" s="51"/>
      <c r="R291" s="51"/>
      <c r="S291" s="51"/>
    </row>
    <row r="292" spans="17:19" x14ac:dyDescent="0.2">
      <c r="Q292" s="51"/>
      <c r="R292" s="51"/>
      <c r="S292" s="51"/>
    </row>
    <row r="293" spans="17:19" x14ac:dyDescent="0.2">
      <c r="Q293" s="51"/>
      <c r="R293" s="51"/>
      <c r="S293" s="51"/>
    </row>
    <row r="294" spans="17:19" x14ac:dyDescent="0.2">
      <c r="Q294" s="51"/>
      <c r="R294" s="51"/>
      <c r="S294" s="51"/>
    </row>
    <row r="295" spans="17:19" x14ac:dyDescent="0.2">
      <c r="Q295" s="51"/>
      <c r="R295" s="51"/>
      <c r="S295" s="51"/>
    </row>
    <row r="296" spans="17:19" x14ac:dyDescent="0.2">
      <c r="Q296" s="51"/>
      <c r="R296" s="51"/>
      <c r="S296" s="51"/>
    </row>
    <row r="297" spans="17:19" x14ac:dyDescent="0.2">
      <c r="Q297" s="51"/>
      <c r="R297" s="51"/>
      <c r="S297" s="51"/>
    </row>
    <row r="298" spans="17:19" x14ac:dyDescent="0.2">
      <c r="Q298" s="51"/>
      <c r="R298" s="51"/>
      <c r="S298" s="51"/>
    </row>
    <row r="299" spans="17:19" x14ac:dyDescent="0.2">
      <c r="Q299" s="51"/>
      <c r="R299" s="51"/>
      <c r="S299" s="51"/>
    </row>
    <row r="300" spans="17:19" x14ac:dyDescent="0.2">
      <c r="Q300" s="51"/>
      <c r="R300" s="51"/>
      <c r="S300" s="51"/>
    </row>
    <row r="301" spans="17:19" x14ac:dyDescent="0.2">
      <c r="Q301" s="51"/>
      <c r="R301" s="51"/>
      <c r="S301" s="51"/>
    </row>
    <row r="302" spans="17:19" x14ac:dyDescent="0.2">
      <c r="Q302" s="51"/>
      <c r="R302" s="51"/>
      <c r="S302" s="51"/>
    </row>
    <row r="303" spans="17:19" x14ac:dyDescent="0.2">
      <c r="Q303" s="51"/>
      <c r="R303" s="51"/>
      <c r="S303" s="51"/>
    </row>
    <row r="304" spans="17:19" x14ac:dyDescent="0.2">
      <c r="Q304" s="51"/>
      <c r="R304" s="51"/>
      <c r="S304" s="51"/>
    </row>
    <row r="305" spans="17:19" x14ac:dyDescent="0.2">
      <c r="Q305" s="51"/>
      <c r="R305" s="51"/>
      <c r="S305" s="51"/>
    </row>
    <row r="306" spans="17:19" x14ac:dyDescent="0.2">
      <c r="Q306" s="51"/>
      <c r="R306" s="51"/>
      <c r="S306" s="51"/>
    </row>
    <row r="307" spans="17:19" x14ac:dyDescent="0.2">
      <c r="Q307" s="51"/>
      <c r="R307" s="51"/>
      <c r="S307" s="51"/>
    </row>
    <row r="308" spans="17:19" x14ac:dyDescent="0.2">
      <c r="Q308" s="51"/>
      <c r="R308" s="51"/>
      <c r="S308" s="51"/>
    </row>
    <row r="309" spans="17:19" x14ac:dyDescent="0.2">
      <c r="Q309" s="51"/>
      <c r="R309" s="51"/>
      <c r="S309" s="51"/>
    </row>
    <row r="310" spans="17:19" x14ac:dyDescent="0.2">
      <c r="Q310" s="51"/>
      <c r="R310" s="51"/>
      <c r="S310" s="51"/>
    </row>
    <row r="311" spans="17:19" x14ac:dyDescent="0.2">
      <c r="Q311" s="51"/>
      <c r="R311" s="51"/>
      <c r="S311" s="51"/>
    </row>
    <row r="312" spans="17:19" x14ac:dyDescent="0.2">
      <c r="Q312" s="51"/>
      <c r="R312" s="51"/>
      <c r="S312" s="51"/>
    </row>
    <row r="313" spans="17:19" x14ac:dyDescent="0.2">
      <c r="Q313" s="51"/>
      <c r="R313" s="51"/>
      <c r="S313" s="51"/>
    </row>
    <row r="314" spans="17:19" x14ac:dyDescent="0.2">
      <c r="Q314" s="51"/>
      <c r="R314" s="51"/>
      <c r="S314" s="51"/>
    </row>
    <row r="315" spans="17:19" x14ac:dyDescent="0.2">
      <c r="Q315" s="51"/>
      <c r="R315" s="51"/>
      <c r="S315" s="51"/>
    </row>
    <row r="316" spans="17:19" x14ac:dyDescent="0.2">
      <c r="Q316" s="51"/>
      <c r="R316" s="51"/>
      <c r="S316" s="51"/>
    </row>
    <row r="317" spans="17:19" x14ac:dyDescent="0.2">
      <c r="Q317" s="51"/>
      <c r="R317" s="51"/>
      <c r="S317" s="51"/>
    </row>
    <row r="318" spans="17:19" x14ac:dyDescent="0.2">
      <c r="Q318" s="51"/>
      <c r="R318" s="51"/>
      <c r="S318" s="51"/>
    </row>
    <row r="319" spans="17:19" x14ac:dyDescent="0.2">
      <c r="Q319" s="51"/>
      <c r="R319" s="51"/>
      <c r="S319" s="51"/>
    </row>
    <row r="320" spans="17:19" x14ac:dyDescent="0.2">
      <c r="Q320" s="51"/>
      <c r="R320" s="51"/>
      <c r="S320" s="51"/>
    </row>
    <row r="321" spans="17:19" x14ac:dyDescent="0.2">
      <c r="Q321" s="51"/>
      <c r="R321" s="51"/>
      <c r="S321" s="51"/>
    </row>
    <row r="322" spans="17:19" x14ac:dyDescent="0.2">
      <c r="Q322" s="51"/>
      <c r="R322" s="51"/>
      <c r="S322" s="51"/>
    </row>
    <row r="323" spans="17:19" x14ac:dyDescent="0.2">
      <c r="Q323" s="51"/>
      <c r="R323" s="51"/>
      <c r="S323" s="51"/>
    </row>
    <row r="324" spans="17:19" x14ac:dyDescent="0.2">
      <c r="Q324" s="51"/>
      <c r="R324" s="51"/>
      <c r="S324" s="51"/>
    </row>
    <row r="325" spans="17:19" x14ac:dyDescent="0.2">
      <c r="Q325" s="51"/>
      <c r="R325" s="51"/>
      <c r="S325" s="51"/>
    </row>
    <row r="326" spans="17:19" x14ac:dyDescent="0.2">
      <c r="Q326" s="51"/>
      <c r="R326" s="51"/>
      <c r="S326" s="51"/>
    </row>
    <row r="327" spans="17:19" x14ac:dyDescent="0.2">
      <c r="Q327" s="51"/>
      <c r="R327" s="51"/>
      <c r="S327" s="51"/>
    </row>
    <row r="328" spans="17:19" x14ac:dyDescent="0.2">
      <c r="Q328" s="51"/>
      <c r="R328" s="51"/>
      <c r="S328" s="51"/>
    </row>
    <row r="329" spans="17:19" x14ac:dyDescent="0.2">
      <c r="Q329" s="51"/>
      <c r="R329" s="51"/>
      <c r="S329" s="51"/>
    </row>
    <row r="330" spans="17:19" x14ac:dyDescent="0.2">
      <c r="Q330" s="51"/>
      <c r="R330" s="51"/>
      <c r="S330" s="51"/>
    </row>
    <row r="331" spans="17:19" x14ac:dyDescent="0.2">
      <c r="Q331" s="51"/>
      <c r="R331" s="51"/>
      <c r="S331" s="51"/>
    </row>
    <row r="332" spans="17:19" x14ac:dyDescent="0.2">
      <c r="Q332" s="51"/>
      <c r="R332" s="51"/>
      <c r="S332" s="51"/>
    </row>
    <row r="333" spans="17:19" x14ac:dyDescent="0.2">
      <c r="Q333" s="51"/>
      <c r="R333" s="51"/>
      <c r="S333" s="51"/>
    </row>
    <row r="334" spans="17:19" x14ac:dyDescent="0.2">
      <c r="Q334" s="51"/>
      <c r="R334" s="51"/>
      <c r="S334" s="51"/>
    </row>
    <row r="335" spans="17:19" x14ac:dyDescent="0.2">
      <c r="Q335" s="51"/>
      <c r="R335" s="51"/>
      <c r="S335" s="51"/>
    </row>
    <row r="336" spans="17:19" x14ac:dyDescent="0.2">
      <c r="Q336" s="51"/>
      <c r="R336" s="51"/>
      <c r="S336" s="51"/>
    </row>
    <row r="337" spans="17:19" x14ac:dyDescent="0.2">
      <c r="Q337" s="51"/>
      <c r="R337" s="51"/>
      <c r="S337" s="51"/>
    </row>
    <row r="338" spans="17:19" x14ac:dyDescent="0.2">
      <c r="Q338" s="51"/>
      <c r="R338" s="51"/>
      <c r="S338" s="51"/>
    </row>
    <row r="339" spans="17:19" x14ac:dyDescent="0.2">
      <c r="Q339" s="51"/>
      <c r="R339" s="51"/>
      <c r="S339" s="51"/>
    </row>
    <row r="340" spans="17:19" x14ac:dyDescent="0.2">
      <c r="Q340" s="51"/>
      <c r="R340" s="51"/>
      <c r="S340" s="51"/>
    </row>
    <row r="341" spans="17:19" x14ac:dyDescent="0.2">
      <c r="Q341" s="51"/>
      <c r="R341" s="51"/>
      <c r="S341" s="51"/>
    </row>
    <row r="342" spans="17:19" x14ac:dyDescent="0.2">
      <c r="Q342" s="51"/>
      <c r="R342" s="51"/>
      <c r="S342" s="51"/>
    </row>
    <row r="343" spans="17:19" x14ac:dyDescent="0.2">
      <c r="Q343" s="51"/>
      <c r="R343" s="51"/>
      <c r="S343" s="51"/>
    </row>
    <row r="344" spans="17:19" x14ac:dyDescent="0.2">
      <c r="Q344" s="51"/>
      <c r="R344" s="51"/>
      <c r="S344" s="51"/>
    </row>
    <row r="345" spans="17:19" x14ac:dyDescent="0.2">
      <c r="Q345" s="51"/>
      <c r="R345" s="51"/>
      <c r="S345" s="51"/>
    </row>
    <row r="346" spans="17:19" x14ac:dyDescent="0.2">
      <c r="Q346" s="51"/>
      <c r="R346" s="51"/>
      <c r="S346" s="51"/>
    </row>
    <row r="347" spans="17:19" x14ac:dyDescent="0.2">
      <c r="Q347" s="51"/>
      <c r="R347" s="51"/>
      <c r="S347" s="51"/>
    </row>
    <row r="348" spans="17:19" x14ac:dyDescent="0.2">
      <c r="Q348" s="51"/>
      <c r="R348" s="51"/>
      <c r="S348" s="51"/>
    </row>
    <row r="349" spans="17:19" x14ac:dyDescent="0.2">
      <c r="Q349" s="51"/>
      <c r="R349" s="51"/>
      <c r="S349" s="51"/>
    </row>
    <row r="350" spans="17:19" x14ac:dyDescent="0.2">
      <c r="Q350" s="51"/>
      <c r="R350" s="51"/>
      <c r="S350" s="51"/>
    </row>
    <row r="351" spans="17:19" x14ac:dyDescent="0.2">
      <c r="Q351" s="51"/>
      <c r="R351" s="51"/>
      <c r="S351" s="51"/>
    </row>
    <row r="352" spans="17:19" x14ac:dyDescent="0.2">
      <c r="Q352" s="51"/>
      <c r="R352" s="51"/>
      <c r="S352" s="51"/>
    </row>
    <row r="353" spans="17:19" x14ac:dyDescent="0.2">
      <c r="Q353" s="51"/>
      <c r="R353" s="51"/>
      <c r="S353" s="51"/>
    </row>
    <row r="354" spans="17:19" x14ac:dyDescent="0.2">
      <c r="Q354" s="51"/>
      <c r="R354" s="51"/>
      <c r="S354" s="51"/>
    </row>
    <row r="355" spans="17:19" x14ac:dyDescent="0.2">
      <c r="Q355" s="51"/>
      <c r="R355" s="51"/>
      <c r="S355" s="51"/>
    </row>
    <row r="356" spans="17:19" x14ac:dyDescent="0.2">
      <c r="Q356" s="51"/>
      <c r="R356" s="51"/>
      <c r="S356" s="51"/>
    </row>
    <row r="357" spans="17:19" x14ac:dyDescent="0.2">
      <c r="Q357" s="51"/>
      <c r="R357" s="51"/>
      <c r="S357" s="51"/>
    </row>
    <row r="358" spans="17:19" x14ac:dyDescent="0.2">
      <c r="Q358" s="51"/>
      <c r="R358" s="51"/>
      <c r="S358" s="51"/>
    </row>
    <row r="359" spans="17:19" x14ac:dyDescent="0.2">
      <c r="Q359" s="51"/>
      <c r="R359" s="51"/>
      <c r="S359" s="51"/>
    </row>
    <row r="360" spans="17:19" x14ac:dyDescent="0.2">
      <c r="Q360" s="51"/>
      <c r="R360" s="51"/>
      <c r="S360" s="51"/>
    </row>
    <row r="361" spans="17:19" x14ac:dyDescent="0.2">
      <c r="Q361" s="51"/>
      <c r="R361" s="51"/>
      <c r="S361" s="51"/>
    </row>
    <row r="362" spans="17:19" x14ac:dyDescent="0.2">
      <c r="Q362" s="51"/>
      <c r="R362" s="51"/>
      <c r="S362" s="51"/>
    </row>
    <row r="363" spans="17:19" x14ac:dyDescent="0.2">
      <c r="Q363" s="51"/>
      <c r="R363" s="51"/>
      <c r="S363" s="51"/>
    </row>
    <row r="364" spans="17:19" x14ac:dyDescent="0.2">
      <c r="Q364" s="51"/>
      <c r="R364" s="51"/>
      <c r="S364" s="51"/>
    </row>
    <row r="365" spans="17:19" x14ac:dyDescent="0.2">
      <c r="Q365" s="51"/>
      <c r="R365" s="51"/>
      <c r="S365" s="51"/>
    </row>
    <row r="366" spans="17:19" x14ac:dyDescent="0.2">
      <c r="Q366" s="51"/>
      <c r="R366" s="51"/>
      <c r="S366" s="51"/>
    </row>
    <row r="367" spans="17:19" x14ac:dyDescent="0.2">
      <c r="Q367" s="51"/>
      <c r="R367" s="51"/>
      <c r="S367" s="51"/>
    </row>
    <row r="368" spans="17:19" x14ac:dyDescent="0.2">
      <c r="Q368" s="51"/>
      <c r="R368" s="51"/>
      <c r="S368" s="51"/>
    </row>
    <row r="369" spans="17:19" x14ac:dyDescent="0.2">
      <c r="Q369" s="51"/>
      <c r="R369" s="51"/>
      <c r="S369" s="51"/>
    </row>
    <row r="370" spans="17:19" x14ac:dyDescent="0.2">
      <c r="Q370" s="51"/>
      <c r="R370" s="51"/>
      <c r="S370" s="51"/>
    </row>
    <row r="371" spans="17:19" x14ac:dyDescent="0.2">
      <c r="Q371" s="51"/>
      <c r="R371" s="51"/>
      <c r="S371" s="51"/>
    </row>
    <row r="372" spans="17:19" x14ac:dyDescent="0.2">
      <c r="Q372" s="51"/>
      <c r="R372" s="51"/>
      <c r="S372" s="51"/>
    </row>
    <row r="373" spans="17:19" x14ac:dyDescent="0.2">
      <c r="Q373" s="51"/>
      <c r="R373" s="51"/>
      <c r="S373" s="51"/>
    </row>
    <row r="374" spans="17:19" x14ac:dyDescent="0.2">
      <c r="Q374" s="51"/>
      <c r="R374" s="51"/>
      <c r="S374" s="51"/>
    </row>
    <row r="375" spans="17:19" x14ac:dyDescent="0.2">
      <c r="Q375" s="51"/>
      <c r="R375" s="51"/>
      <c r="S375" s="51"/>
    </row>
    <row r="376" spans="17:19" x14ac:dyDescent="0.2">
      <c r="Q376" s="51"/>
      <c r="R376" s="51"/>
      <c r="S376" s="51"/>
    </row>
    <row r="377" spans="17:19" x14ac:dyDescent="0.2">
      <c r="Q377" s="51"/>
      <c r="R377" s="51"/>
      <c r="S377" s="51"/>
    </row>
    <row r="378" spans="17:19" x14ac:dyDescent="0.2">
      <c r="Q378" s="51"/>
      <c r="R378" s="51"/>
      <c r="S378" s="51"/>
    </row>
    <row r="379" spans="17:19" x14ac:dyDescent="0.2">
      <c r="Q379" s="51"/>
      <c r="R379" s="51"/>
      <c r="S379" s="51"/>
    </row>
    <row r="380" spans="17:19" x14ac:dyDescent="0.2">
      <c r="Q380" s="51"/>
      <c r="R380" s="51"/>
      <c r="S380" s="51"/>
    </row>
    <row r="381" spans="17:19" x14ac:dyDescent="0.2">
      <c r="Q381" s="51"/>
      <c r="R381" s="51"/>
      <c r="S381" s="51"/>
    </row>
    <row r="382" spans="17:19" x14ac:dyDescent="0.2">
      <c r="Q382" s="51"/>
      <c r="R382" s="51"/>
      <c r="S382" s="51"/>
    </row>
    <row r="383" spans="17:19" x14ac:dyDescent="0.2">
      <c r="Q383" s="51"/>
      <c r="R383" s="51"/>
      <c r="S383" s="51"/>
    </row>
    <row r="384" spans="17:19" x14ac:dyDescent="0.2">
      <c r="Q384" s="51"/>
      <c r="R384" s="51"/>
      <c r="S384" s="51"/>
    </row>
    <row r="385" spans="17:19" x14ac:dyDescent="0.2">
      <c r="Q385" s="51"/>
      <c r="R385" s="51"/>
      <c r="S385" s="51"/>
    </row>
    <row r="386" spans="17:19" x14ac:dyDescent="0.2">
      <c r="Q386" s="51"/>
      <c r="R386" s="51"/>
      <c r="S386" s="51"/>
    </row>
    <row r="387" spans="17:19" x14ac:dyDescent="0.2">
      <c r="Q387" s="51"/>
      <c r="R387" s="51"/>
      <c r="S387" s="51"/>
    </row>
    <row r="388" spans="17:19" x14ac:dyDescent="0.2">
      <c r="Q388" s="51"/>
      <c r="R388" s="51"/>
      <c r="S388" s="51"/>
    </row>
    <row r="389" spans="17:19" x14ac:dyDescent="0.2">
      <c r="Q389" s="51"/>
      <c r="R389" s="51"/>
      <c r="S389" s="51"/>
    </row>
    <row r="390" spans="17:19" x14ac:dyDescent="0.2">
      <c r="Q390" s="51"/>
      <c r="R390" s="51"/>
      <c r="S390" s="51"/>
    </row>
    <row r="391" spans="17:19" x14ac:dyDescent="0.2">
      <c r="Q391" s="51"/>
      <c r="R391" s="51"/>
      <c r="S391" s="51"/>
    </row>
    <row r="392" spans="17:19" x14ac:dyDescent="0.2">
      <c r="Q392" s="51"/>
      <c r="R392" s="51"/>
      <c r="S392" s="51"/>
    </row>
    <row r="393" spans="17:19" x14ac:dyDescent="0.2">
      <c r="Q393" s="51"/>
      <c r="R393" s="51"/>
      <c r="S393" s="51"/>
    </row>
    <row r="394" spans="17:19" x14ac:dyDescent="0.2">
      <c r="Q394" s="51"/>
      <c r="R394" s="51"/>
      <c r="S394" s="51"/>
    </row>
    <row r="395" spans="17:19" x14ac:dyDescent="0.2">
      <c r="Q395" s="51"/>
      <c r="R395" s="51"/>
      <c r="S395" s="51"/>
    </row>
    <row r="396" spans="17:19" x14ac:dyDescent="0.2">
      <c r="Q396" s="51"/>
      <c r="R396" s="51"/>
      <c r="S396" s="51"/>
    </row>
    <row r="397" spans="17:19" x14ac:dyDescent="0.2">
      <c r="Q397" s="51"/>
      <c r="R397" s="51"/>
      <c r="S397" s="51"/>
    </row>
    <row r="398" spans="17:19" x14ac:dyDescent="0.2">
      <c r="Q398" s="51"/>
      <c r="R398" s="51"/>
      <c r="S398" s="51"/>
    </row>
    <row r="399" spans="17:19" x14ac:dyDescent="0.2">
      <c r="Q399" s="51"/>
      <c r="R399" s="51"/>
      <c r="S399" s="51"/>
    </row>
    <row r="400" spans="17:19" x14ac:dyDescent="0.2">
      <c r="Q400" s="51"/>
      <c r="R400" s="51"/>
      <c r="S400" s="51"/>
    </row>
    <row r="401" spans="17:19" x14ac:dyDescent="0.2">
      <c r="Q401" s="51"/>
      <c r="R401" s="51"/>
      <c r="S401" s="51"/>
    </row>
    <row r="402" spans="17:19" x14ac:dyDescent="0.2">
      <c r="Q402" s="51"/>
      <c r="R402" s="51"/>
      <c r="S402" s="51"/>
    </row>
    <row r="403" spans="17:19" x14ac:dyDescent="0.2">
      <c r="Q403" s="51"/>
      <c r="R403" s="51"/>
      <c r="S403" s="51"/>
    </row>
    <row r="404" spans="17:19" x14ac:dyDescent="0.2">
      <c r="Q404" s="51"/>
      <c r="R404" s="51"/>
      <c r="S404" s="51"/>
    </row>
    <row r="405" spans="17:19" x14ac:dyDescent="0.2">
      <c r="Q405" s="51"/>
      <c r="R405" s="51"/>
      <c r="S405" s="51"/>
    </row>
    <row r="406" spans="17:19" x14ac:dyDescent="0.2">
      <c r="Q406" s="51"/>
      <c r="R406" s="51"/>
      <c r="S406" s="51"/>
    </row>
    <row r="407" spans="17:19" x14ac:dyDescent="0.2">
      <c r="Q407" s="51"/>
      <c r="R407" s="51"/>
      <c r="S407" s="51"/>
    </row>
    <row r="408" spans="17:19" x14ac:dyDescent="0.2">
      <c r="Q408" s="51"/>
      <c r="R408" s="51"/>
      <c r="S408" s="51"/>
    </row>
    <row r="409" spans="17:19" x14ac:dyDescent="0.2">
      <c r="Q409" s="51"/>
      <c r="R409" s="51"/>
      <c r="S409" s="51"/>
    </row>
    <row r="410" spans="17:19" x14ac:dyDescent="0.2">
      <c r="Q410" s="51"/>
      <c r="R410" s="51"/>
      <c r="S410" s="51"/>
    </row>
    <row r="411" spans="17:19" x14ac:dyDescent="0.2">
      <c r="Q411" s="51"/>
      <c r="R411" s="51"/>
      <c r="S411" s="51"/>
    </row>
    <row r="412" spans="17:19" x14ac:dyDescent="0.2">
      <c r="Q412" s="51"/>
      <c r="R412" s="51"/>
      <c r="S412" s="51"/>
    </row>
    <row r="413" spans="17:19" x14ac:dyDescent="0.2">
      <c r="Q413" s="51"/>
      <c r="R413" s="51"/>
      <c r="S413" s="51"/>
    </row>
    <row r="414" spans="17:19" x14ac:dyDescent="0.2">
      <c r="Q414" s="51"/>
      <c r="R414" s="51"/>
      <c r="S414" s="51"/>
    </row>
    <row r="415" spans="17:19" x14ac:dyDescent="0.2">
      <c r="Q415" s="51"/>
      <c r="R415" s="51"/>
      <c r="S415" s="51"/>
    </row>
    <row r="416" spans="17:19" x14ac:dyDescent="0.2">
      <c r="Q416" s="51"/>
      <c r="R416" s="51"/>
      <c r="S416" s="51"/>
    </row>
    <row r="417" spans="17:19" x14ac:dyDescent="0.2">
      <c r="Q417" s="51"/>
      <c r="R417" s="51"/>
      <c r="S417" s="51"/>
    </row>
    <row r="418" spans="17:19" x14ac:dyDescent="0.2">
      <c r="Q418" s="51"/>
      <c r="R418" s="51"/>
      <c r="S418" s="51"/>
    </row>
    <row r="419" spans="17:19" x14ac:dyDescent="0.2">
      <c r="Q419" s="51"/>
      <c r="R419" s="51"/>
      <c r="S419" s="51"/>
    </row>
    <row r="420" spans="17:19" x14ac:dyDescent="0.2">
      <c r="Q420" s="51"/>
      <c r="R420" s="51"/>
      <c r="S420" s="51"/>
    </row>
    <row r="421" spans="17:19" x14ac:dyDescent="0.2">
      <c r="Q421" s="51"/>
      <c r="R421" s="51"/>
      <c r="S421" s="51"/>
    </row>
    <row r="422" spans="17:19" x14ac:dyDescent="0.2">
      <c r="Q422" s="51"/>
      <c r="R422" s="51"/>
      <c r="S422" s="51"/>
    </row>
    <row r="423" spans="17:19" x14ac:dyDescent="0.2">
      <c r="Q423" s="51"/>
      <c r="R423" s="51"/>
      <c r="S423" s="51"/>
    </row>
    <row r="424" spans="17:19" x14ac:dyDescent="0.2">
      <c r="Q424" s="51"/>
      <c r="R424" s="51"/>
      <c r="S424" s="51"/>
    </row>
    <row r="425" spans="17:19" x14ac:dyDescent="0.2">
      <c r="Q425" s="51"/>
      <c r="R425" s="51"/>
      <c r="S425" s="51"/>
    </row>
    <row r="426" spans="17:19" x14ac:dyDescent="0.2">
      <c r="Q426" s="51"/>
      <c r="R426" s="51"/>
      <c r="S426" s="51"/>
    </row>
    <row r="427" spans="17:19" x14ac:dyDescent="0.2">
      <c r="Q427" s="51"/>
      <c r="R427" s="51"/>
      <c r="S427" s="51"/>
    </row>
    <row r="428" spans="17:19" x14ac:dyDescent="0.2">
      <c r="Q428" s="51"/>
      <c r="R428" s="51"/>
      <c r="S428" s="51"/>
    </row>
    <row r="429" spans="17:19" x14ac:dyDescent="0.2">
      <c r="Q429" s="51"/>
      <c r="R429" s="51"/>
      <c r="S429" s="51"/>
    </row>
    <row r="430" spans="17:19" x14ac:dyDescent="0.2">
      <c r="Q430" s="51"/>
      <c r="R430" s="51"/>
      <c r="S430" s="51"/>
    </row>
    <row r="431" spans="17:19" x14ac:dyDescent="0.2">
      <c r="Q431" s="51"/>
      <c r="R431" s="51"/>
      <c r="S431" s="51"/>
    </row>
    <row r="432" spans="17:19" x14ac:dyDescent="0.2">
      <c r="Q432" s="51"/>
      <c r="R432" s="51"/>
      <c r="S432" s="51"/>
    </row>
    <row r="433" spans="17:19" x14ac:dyDescent="0.2">
      <c r="Q433" s="51"/>
      <c r="R433" s="51"/>
      <c r="S433" s="51"/>
    </row>
    <row r="434" spans="17:19" x14ac:dyDescent="0.2">
      <c r="Q434" s="51"/>
      <c r="R434" s="51"/>
      <c r="S434" s="51"/>
    </row>
    <row r="435" spans="17:19" x14ac:dyDescent="0.2">
      <c r="Q435" s="51"/>
      <c r="R435" s="51"/>
      <c r="S435" s="51"/>
    </row>
    <row r="436" spans="17:19" x14ac:dyDescent="0.2">
      <c r="Q436" s="51"/>
      <c r="R436" s="51"/>
      <c r="S436" s="51"/>
    </row>
    <row r="437" spans="17:19" x14ac:dyDescent="0.2">
      <c r="Q437" s="51"/>
      <c r="R437" s="51"/>
      <c r="S437" s="51"/>
    </row>
    <row r="438" spans="17:19" x14ac:dyDescent="0.2">
      <c r="Q438" s="51"/>
      <c r="R438" s="51"/>
      <c r="S438" s="51"/>
    </row>
    <row r="439" spans="17:19" x14ac:dyDescent="0.2">
      <c r="Q439" s="51"/>
      <c r="R439" s="51"/>
      <c r="S439" s="51"/>
    </row>
    <row r="440" spans="17:19" x14ac:dyDescent="0.2">
      <c r="Q440" s="51"/>
      <c r="R440" s="51"/>
      <c r="S440" s="51"/>
    </row>
    <row r="441" spans="17:19" x14ac:dyDescent="0.2">
      <c r="Q441" s="51"/>
      <c r="R441" s="51"/>
      <c r="S441" s="51"/>
    </row>
    <row r="442" spans="17:19" x14ac:dyDescent="0.2">
      <c r="Q442" s="51"/>
      <c r="R442" s="51"/>
      <c r="S442" s="51"/>
    </row>
    <row r="443" spans="17:19" x14ac:dyDescent="0.2">
      <c r="Q443" s="51"/>
      <c r="R443" s="51"/>
      <c r="S443" s="51"/>
    </row>
    <row r="444" spans="17:19" x14ac:dyDescent="0.2">
      <c r="Q444" s="51"/>
      <c r="R444" s="51"/>
      <c r="S444" s="51"/>
    </row>
    <row r="445" spans="17:19" x14ac:dyDescent="0.2">
      <c r="Q445" s="51"/>
      <c r="R445" s="51"/>
      <c r="S445" s="51"/>
    </row>
    <row r="446" spans="17:19" x14ac:dyDescent="0.2">
      <c r="Q446" s="51"/>
      <c r="R446" s="51"/>
      <c r="S446" s="51"/>
    </row>
    <row r="447" spans="17:19" x14ac:dyDescent="0.2">
      <c r="Q447" s="51"/>
      <c r="R447" s="51"/>
      <c r="S447" s="51"/>
    </row>
    <row r="448" spans="17:19" x14ac:dyDescent="0.2">
      <c r="Q448" s="51"/>
      <c r="R448" s="51"/>
      <c r="S448" s="51"/>
    </row>
    <row r="449" spans="17:19" x14ac:dyDescent="0.2">
      <c r="Q449" s="51"/>
      <c r="R449" s="51"/>
      <c r="S449" s="51"/>
    </row>
    <row r="450" spans="17:19" x14ac:dyDescent="0.2">
      <c r="Q450" s="51"/>
      <c r="R450" s="51"/>
      <c r="S450" s="51"/>
    </row>
    <row r="451" spans="17:19" x14ac:dyDescent="0.2">
      <c r="Q451" s="51"/>
      <c r="R451" s="51"/>
      <c r="S451" s="51"/>
    </row>
    <row r="452" spans="17:19" x14ac:dyDescent="0.2">
      <c r="Q452" s="51"/>
      <c r="R452" s="51"/>
      <c r="S452" s="51"/>
    </row>
    <row r="453" spans="17:19" x14ac:dyDescent="0.2">
      <c r="Q453" s="51"/>
      <c r="R453" s="51"/>
      <c r="S453" s="51"/>
    </row>
    <row r="454" spans="17:19" x14ac:dyDescent="0.2">
      <c r="Q454" s="51"/>
      <c r="R454" s="51"/>
      <c r="S454" s="51"/>
    </row>
    <row r="455" spans="17:19" x14ac:dyDescent="0.2">
      <c r="Q455" s="51"/>
      <c r="R455" s="51"/>
      <c r="S455" s="51"/>
    </row>
    <row r="456" spans="17:19" x14ac:dyDescent="0.2">
      <c r="Q456" s="51"/>
      <c r="R456" s="51"/>
      <c r="S456" s="51"/>
    </row>
    <row r="457" spans="17:19" x14ac:dyDescent="0.2">
      <c r="Q457" s="51"/>
      <c r="R457" s="51"/>
      <c r="S457" s="51"/>
    </row>
    <row r="458" spans="17:19" x14ac:dyDescent="0.2">
      <c r="Q458" s="51"/>
      <c r="R458" s="51"/>
      <c r="S458" s="51"/>
    </row>
    <row r="459" spans="17:19" x14ac:dyDescent="0.2">
      <c r="Q459" s="51"/>
      <c r="R459" s="51"/>
      <c r="S459" s="51"/>
    </row>
    <row r="460" spans="17:19" x14ac:dyDescent="0.2">
      <c r="Q460" s="51"/>
      <c r="R460" s="51"/>
      <c r="S460" s="51"/>
    </row>
    <row r="461" spans="17:19" x14ac:dyDescent="0.2">
      <c r="Q461" s="51"/>
      <c r="R461" s="51"/>
      <c r="S461" s="51"/>
    </row>
    <row r="462" spans="17:19" x14ac:dyDescent="0.2">
      <c r="Q462" s="51"/>
      <c r="R462" s="51"/>
      <c r="S462" s="51"/>
    </row>
    <row r="463" spans="17:19" x14ac:dyDescent="0.2">
      <c r="Q463" s="51"/>
      <c r="R463" s="51"/>
      <c r="S463" s="51"/>
    </row>
    <row r="464" spans="17:19" x14ac:dyDescent="0.2">
      <c r="Q464" s="51"/>
      <c r="R464" s="51"/>
      <c r="S464" s="51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topLeftCell="G1" workbookViewId="0"/>
  </sheetViews>
  <sheetFormatPr defaultColWidth="9.140625" defaultRowHeight="12.75" x14ac:dyDescent="0.2"/>
  <cols>
    <col min="1" max="1" width="9.140625" style="128" hidden="1" customWidth="1"/>
    <col min="2" max="2" width="17.7109375" style="129" hidden="1" customWidth="1"/>
    <col min="3" max="6" width="5.140625" style="128" hidden="1" customWidth="1"/>
    <col min="7" max="9" width="5.140625" style="128" customWidth="1"/>
    <col min="10" max="10" width="9.42578125" style="131" customWidth="1"/>
    <col min="11" max="11" width="33.85546875" style="130" customWidth="1"/>
    <col min="12" max="15" width="11.140625" style="130" customWidth="1"/>
    <col min="16" max="16" width="13.42578125" style="130" customWidth="1"/>
    <col min="17" max="18" width="9.140625" style="130"/>
    <col min="19" max="24" width="9.140625" style="131"/>
    <col min="25" max="25" width="10.42578125" style="131" customWidth="1"/>
    <col min="26" max="26" width="15.7109375" style="131" customWidth="1"/>
    <col min="27" max="27" width="10.28515625" style="131" customWidth="1"/>
    <col min="28" max="28" width="15.140625" style="131" customWidth="1"/>
    <col min="29" max="16384" width="9.140625" style="130"/>
  </cols>
  <sheetData>
    <row r="1" spans="1:34" ht="7.5" customHeight="1" x14ac:dyDescent="0.2"/>
    <row r="2" spans="1:34" ht="45" customHeight="1" x14ac:dyDescent="0.2">
      <c r="J2" s="417" t="str">
        <f>Setup!C2</f>
        <v>Contest Name</v>
      </c>
      <c r="K2" s="417"/>
      <c r="L2" s="417"/>
      <c r="M2" s="417"/>
      <c r="N2" s="417"/>
      <c r="O2" s="417"/>
      <c r="P2" s="417"/>
    </row>
    <row r="3" spans="1:34" ht="110.25" customHeight="1" x14ac:dyDescent="0.2">
      <c r="B3" s="132"/>
      <c r="L3" s="199" t="s">
        <v>124</v>
      </c>
    </row>
    <row r="5" spans="1:34" x14ac:dyDescent="0.2">
      <c r="A5" s="129" t="s">
        <v>87</v>
      </c>
      <c r="B5" s="129" t="s">
        <v>96</v>
      </c>
    </row>
    <row r="6" spans="1:34" s="135" customFormat="1" ht="36" customHeight="1" x14ac:dyDescent="0.2">
      <c r="A6" s="133" t="e">
        <f ca="1">OFFSET(Setup!O6,MATCH(J6,INDIRECT(B6),0),0)</f>
        <v>#N/A</v>
      </c>
      <c r="B6" s="133" t="str">
        <f>CONCATENATE("Setup!P7:P",COUNTA(Setup!O:O)+4)</f>
        <v>Setup!P7:P247</v>
      </c>
      <c r="C6" s="128"/>
      <c r="D6" s="128"/>
      <c r="E6" s="128"/>
      <c r="F6" s="128"/>
      <c r="G6" s="128"/>
      <c r="H6" s="128"/>
      <c r="I6" s="128"/>
      <c r="J6" s="416" t="s">
        <v>123</v>
      </c>
      <c r="K6" s="416"/>
      <c r="L6" s="416"/>
      <c r="M6" s="416"/>
      <c r="N6" s="416"/>
      <c r="O6" s="416"/>
      <c r="P6" s="134"/>
      <c r="R6" s="130"/>
      <c r="S6" s="131"/>
      <c r="T6" s="131"/>
      <c r="U6" s="131"/>
      <c r="V6" s="131"/>
      <c r="W6" s="131"/>
      <c r="X6" s="131"/>
      <c r="Y6" s="136"/>
      <c r="Z6" s="136"/>
      <c r="AA6" s="131"/>
      <c r="AB6" s="131"/>
      <c r="AC6" s="130"/>
      <c r="AD6" s="130"/>
    </row>
    <row r="7" spans="1:34" s="135" customFormat="1" ht="36" customHeight="1" x14ac:dyDescent="0.2">
      <c r="A7" s="133" t="s">
        <v>97</v>
      </c>
      <c r="B7" s="133" t="e">
        <f ca="1">IF(LEFT(A6,1)="M","Setup!K9:K23","Setup!M9:M23")</f>
        <v>#N/A</v>
      </c>
      <c r="C7" s="128"/>
      <c r="D7" s="128"/>
      <c r="E7" s="128"/>
      <c r="F7" s="128"/>
      <c r="G7" s="128"/>
      <c r="H7" s="128"/>
      <c r="I7" s="128"/>
      <c r="J7" s="177">
        <v>181</v>
      </c>
      <c r="K7" s="137" t="str">
        <f>IF(J7="SHW","Class",IF(Setup!K6="BWt (Kg)","Kilo Class","Pound Class"))</f>
        <v>Kilo Class</v>
      </c>
      <c r="L7" s="415" t="s">
        <v>68</v>
      </c>
      <c r="M7" s="415"/>
      <c r="N7" s="415"/>
      <c r="O7" s="415"/>
      <c r="P7" s="134"/>
      <c r="R7" s="130"/>
      <c r="S7" s="131"/>
      <c r="T7" s="131"/>
      <c r="U7" s="131"/>
      <c r="V7" s="131"/>
      <c r="W7" s="131"/>
      <c r="X7" s="131"/>
      <c r="Y7" s="136"/>
      <c r="Z7" s="136"/>
      <c r="AA7" s="131"/>
      <c r="AB7" s="131"/>
      <c r="AC7" s="130"/>
      <c r="AD7" s="130"/>
    </row>
    <row r="8" spans="1:34" ht="5.25" customHeight="1" x14ac:dyDescent="0.2">
      <c r="J8" s="138"/>
      <c r="K8" s="139"/>
      <c r="L8" s="139"/>
      <c r="M8" s="139"/>
      <c r="N8" s="139"/>
      <c r="O8" s="139"/>
      <c r="P8" s="139"/>
      <c r="Y8" s="136"/>
      <c r="Z8" s="136"/>
    </row>
    <row r="9" spans="1:34" s="135" customFormat="1" ht="36" customHeight="1" x14ac:dyDescent="0.2">
      <c r="A9" s="140"/>
      <c r="B9" s="129" t="e">
        <f ca="1">OFFSET(Setup!Q6,MATCH(J6,INDIRECT(B6),0),0)</f>
        <v>#N/A</v>
      </c>
      <c r="C9" s="128"/>
      <c r="D9" s="128"/>
      <c r="E9" s="128"/>
      <c r="F9" s="128"/>
      <c r="G9" s="128"/>
      <c r="H9" s="128"/>
      <c r="I9" s="128"/>
      <c r="J9" s="141" t="s">
        <v>76</v>
      </c>
      <c r="K9" s="142" t="s">
        <v>0</v>
      </c>
      <c r="L9" s="141" t="s">
        <v>11</v>
      </c>
      <c r="M9" s="141" t="s">
        <v>15</v>
      </c>
      <c r="N9" s="141" t="s">
        <v>21</v>
      </c>
      <c r="O9" s="141" t="s">
        <v>68</v>
      </c>
      <c r="P9" s="143" t="e">
        <f ca="1">IF(B9=1,"","Coeff-Score")</f>
        <v>#N/A</v>
      </c>
      <c r="R9" s="130"/>
      <c r="S9" s="131"/>
      <c r="T9" s="131"/>
      <c r="U9" s="131"/>
      <c r="V9" s="131"/>
      <c r="W9" s="131"/>
      <c r="X9" s="131"/>
      <c r="Y9" s="136"/>
      <c r="Z9" s="136"/>
      <c r="AA9" s="131"/>
      <c r="AB9" s="131"/>
      <c r="AC9" s="130"/>
      <c r="AD9" s="130"/>
      <c r="AH9" s="144"/>
    </row>
    <row r="10" spans="1:34" s="135" customFormat="1" ht="36" customHeight="1" x14ac:dyDescent="0.2">
      <c r="A10" s="140"/>
      <c r="B10" s="129" t="e">
        <f ca="1">CONCATENATE(J10,"-",$A$6,IF($B$9=1,CONCATENATE("-",IF($J$7="SHW",$J$7,ROUND($J$7,1))),""))</f>
        <v>#N/A</v>
      </c>
      <c r="C10" s="128"/>
      <c r="D10" s="128"/>
      <c r="E10" s="128"/>
      <c r="F10" s="128"/>
      <c r="G10" s="128"/>
      <c r="H10" s="128"/>
      <c r="I10" s="128"/>
      <c r="J10" s="141">
        <v>1</v>
      </c>
      <c r="K10" s="142" t="str">
        <f ca="1">IF(ISERROR(INDIRECT(CONCATENATE("Lifting!C",MATCH(B10,Lifting!$AF:$AF,0)))),"",INDIRECT(CONCATENATE("Lifting!C",MATCH(B10,Lifting!$AF:$AF,0))))</f>
        <v/>
      </c>
      <c r="L10" s="141" t="str">
        <f ca="1">IF(OR($L$7="Best Bench",$L$7="Best Deadlift",$L$7="Push Pull Total"),"",IF(K10="","",INDIRECT(CONCATENATE("Lifting!O",MATCH(B10,Lifting!$AF:$AF,0)))))</f>
        <v/>
      </c>
      <c r="M10" s="141" t="str">
        <f ca="1">IF(OR($L$7="Best Squat",$L$7="Best Deadlift"),"",IF(K10="","",INDIRECT(CONCATENATE("Lifting!U",MATCH(B10,Lifting!$AF:$AF,0)))))</f>
        <v/>
      </c>
      <c r="N10" s="141" t="str">
        <f ca="1">IF(OR($L$7="Best Bench",$L$7="Best Squat"),"",IF(K10="","",INDIRECT(CONCATENATE("Lifting!AA",MATCH(B10,Lifting!$AF:$AF,0)))))</f>
        <v/>
      </c>
      <c r="O10" s="141" t="str">
        <f ca="1">IF(OR($L$7="Best Bench",$L$7="Best Deadlift",$L$7="Best Deadlift"),"",IF(K10="","",INDIRECT(CONCATENATE("Lifting!AB",MATCH(B10,Lifting!$AF:$AF,0)))))</f>
        <v/>
      </c>
      <c r="P10" s="134" t="e">
        <f ca="1">IF(OR($B$9=1,K10=""),"",INDIRECT(CONCATENATE(CONCATENATE("Lifting!",IF($B$9=2,"AC","AD"),MATCH(B10,Lifting!$AF:$AF,0)))))</f>
        <v>#N/A</v>
      </c>
      <c r="R10" s="130"/>
      <c r="S10" s="131"/>
      <c r="T10" s="131"/>
      <c r="U10" s="131"/>
      <c r="V10" s="131"/>
      <c r="W10" s="131"/>
      <c r="X10" s="131"/>
      <c r="Y10" s="136"/>
      <c r="Z10" s="136"/>
      <c r="AA10" s="131"/>
      <c r="AB10" s="131"/>
      <c r="AC10" s="130"/>
      <c r="AD10" s="130"/>
      <c r="AH10" s="144"/>
    </row>
    <row r="11" spans="1:34" s="135" customFormat="1" ht="36" customHeight="1" x14ac:dyDescent="0.2">
      <c r="A11" s="140"/>
      <c r="B11" s="129" t="e">
        <f ca="1">CONCATENATE(J11,"-",$A$6,IF($B$9=1,CONCATENATE("-",IF($J$7="SHW",$J$7,ROUND($J$7,1))),""))</f>
        <v>#N/A</v>
      </c>
      <c r="C11" s="128"/>
      <c r="D11" s="128"/>
      <c r="E11" s="128"/>
      <c r="F11" s="128"/>
      <c r="G11" s="128"/>
      <c r="H11" s="128"/>
      <c r="I11" s="128"/>
      <c r="J11" s="141">
        <v>2</v>
      </c>
      <c r="K11" s="142" t="str">
        <f ca="1">IF(ISERROR(INDIRECT(CONCATENATE("Lifting!C",MATCH(B11,Lifting!$AF:$AF,0)))),"",INDIRECT(CONCATENATE("Lifting!C",MATCH(B11,Lifting!$AF:$AF,0))))</f>
        <v/>
      </c>
      <c r="L11" s="141" t="str">
        <f ca="1">IF(OR($L$7="Best Bench",$L$7="Best Deadlift",$L$7="Push Pull Total"),"",IF(K11="","",INDIRECT(CONCATENATE("Lifting!O",MATCH(B11,Lifting!$AF:$AF,0)))))</f>
        <v/>
      </c>
      <c r="M11" s="141" t="str">
        <f ca="1">IF(OR($L$7="Best Squat",$L$7="Best Deadlift"),"",IF(K11="","",INDIRECT(CONCATENATE("Lifting!U",MATCH(B11,Lifting!$AF:$AF,0)))))</f>
        <v/>
      </c>
      <c r="N11" s="141" t="str">
        <f ca="1">IF(OR($L$7="Best Bench",$L$7="Best Squat"),"",IF(K11="","",INDIRECT(CONCATENATE("Lifting!AA",MATCH(B11,Lifting!$AF:$AF,0)))))</f>
        <v/>
      </c>
      <c r="O11" s="141" t="str">
        <f ca="1">IF(OR($L$7="Best Bench",$L$7="Best Deadlift",$L$7="Best Deadlift"),"",IF(K11="","",INDIRECT(CONCATENATE("Lifting!AB",MATCH(B11,Lifting!$AF:$AF,0)))))</f>
        <v/>
      </c>
      <c r="P11" s="134" t="e">
        <f ca="1">IF(OR($B$9=1,K11=""),"",INDIRECT(CONCATENATE(CONCATENATE("Lifting!",IF($B$9=2,"AC","AD"),MATCH(B11,Lifting!$AF:$AF,0)))))</f>
        <v>#N/A</v>
      </c>
      <c r="R11" s="130"/>
      <c r="S11" s="131"/>
      <c r="T11" s="131"/>
      <c r="U11" s="131"/>
      <c r="V11" s="131"/>
      <c r="W11" s="131"/>
      <c r="X11" s="131"/>
      <c r="Y11" s="136"/>
      <c r="Z11" s="136"/>
      <c r="AA11" s="131"/>
      <c r="AB11" s="131"/>
      <c r="AC11" s="130"/>
      <c r="AD11" s="130"/>
      <c r="AH11" s="144"/>
    </row>
    <row r="12" spans="1:34" s="135" customFormat="1" ht="36" customHeight="1" x14ac:dyDescent="0.2">
      <c r="A12" s="140"/>
      <c r="B12" s="129" t="e">
        <f ca="1">CONCATENATE(J12,"-",$A$6,IF($B$9=1,CONCATENATE("-",IF($J$7="SHW",$J$7,ROUND($J$7,1))),""))</f>
        <v>#N/A</v>
      </c>
      <c r="C12" s="128"/>
      <c r="D12" s="128"/>
      <c r="E12" s="128"/>
      <c r="F12" s="128"/>
      <c r="G12" s="128"/>
      <c r="H12" s="128"/>
      <c r="I12" s="128"/>
      <c r="J12" s="141">
        <v>3</v>
      </c>
      <c r="K12" s="142" t="str">
        <f ca="1">IF(ISERROR(INDIRECT(CONCATENATE("Lifting!C",MATCH(B12,Lifting!$AF:$AF,0)))),"",INDIRECT(CONCATENATE("Lifting!C",MATCH(B12,Lifting!$AF:$AF,0))))</f>
        <v/>
      </c>
      <c r="L12" s="141" t="str">
        <f ca="1">IF(OR($L$7="Best Bench",$L$7="Best Deadlift",$L$7="Push Pull Total"),"",IF(K12="","",INDIRECT(CONCATENATE("Lifting!O",MATCH(B12,Lifting!$AF:$AF,0)))))</f>
        <v/>
      </c>
      <c r="M12" s="141" t="str">
        <f ca="1">IF(OR($L$7="Best Squat",$L$7="Best Deadlift"),"",IF(K12="","",INDIRECT(CONCATENATE("Lifting!U",MATCH(B12,Lifting!$AF:$AF,0)))))</f>
        <v/>
      </c>
      <c r="N12" s="141" t="str">
        <f ca="1">IF(OR($L$7="Best Bench",$L$7="Best Squat"),"",IF(K12="","",INDIRECT(CONCATENATE("Lifting!AA",MATCH(B12,Lifting!$AF:$AF,0)))))</f>
        <v/>
      </c>
      <c r="O12" s="141" t="str">
        <f ca="1">IF(OR($L$7="Best Bench",$L$7="Best Deadlift",$L$7="Best Deadlift"),"",IF(K12="","",INDIRECT(CONCATENATE("Lifting!AB",MATCH(B12,Lifting!$AF:$AF,0)))))</f>
        <v/>
      </c>
      <c r="P12" s="134" t="e">
        <f ca="1">IF(OR($B$9=1,K12=""),"",INDIRECT(CONCATENATE(CONCATENATE("Lifting!",IF($B$9=2,"AC","AD"),MATCH(B12,Lifting!$AF:$AF,0)))))</f>
        <v>#N/A</v>
      </c>
      <c r="R12" s="130"/>
      <c r="S12" s="131"/>
      <c r="T12" s="131"/>
      <c r="U12" s="131"/>
      <c r="V12" s="131"/>
      <c r="W12" s="131"/>
      <c r="X12" s="131"/>
      <c r="Y12" s="136"/>
      <c r="Z12" s="136"/>
      <c r="AA12" s="131"/>
      <c r="AB12" s="131"/>
      <c r="AC12" s="130"/>
      <c r="AD12" s="130"/>
      <c r="AH12" s="144"/>
    </row>
    <row r="13" spans="1:34" s="135" customFormat="1" ht="36" customHeight="1" x14ac:dyDescent="0.2">
      <c r="A13" s="140"/>
      <c r="B13" s="129" t="e">
        <f ca="1">CONCATENATE(J13,"-",$A$6,IF($B$9=1,CONCATENATE("-",IF($J$7="SHW",$J$7,ROUND($J$7,1))),""))</f>
        <v>#N/A</v>
      </c>
      <c r="C13" s="128"/>
      <c r="D13" s="128"/>
      <c r="E13" s="128"/>
      <c r="F13" s="128"/>
      <c r="G13" s="128"/>
      <c r="H13" s="128"/>
      <c r="I13" s="128"/>
      <c r="J13" s="141">
        <v>4</v>
      </c>
      <c r="K13" s="142" t="str">
        <f ca="1">IF(ISERROR(INDIRECT(CONCATENATE("Lifting!C",MATCH(B13,Lifting!$AF:$AF,0)))),"",INDIRECT(CONCATENATE("Lifting!C",MATCH(B13,Lifting!$AF:$AF,0))))</f>
        <v/>
      </c>
      <c r="L13" s="141" t="str">
        <f ca="1">IF(OR($L$7="Best Bench",$L$7="Best Deadlift",$L$7="Push Pull Total"),"",IF(K13="","",INDIRECT(CONCATENATE("Lifting!O",MATCH(B13,Lifting!$AF:$AF,0)))))</f>
        <v/>
      </c>
      <c r="M13" s="141" t="str">
        <f ca="1">IF(OR($L$7="Best Squat",$L$7="Best Deadlift"),"",IF(K13="","",INDIRECT(CONCATENATE("Lifting!U",MATCH(B13,Lifting!$AF:$AF,0)))))</f>
        <v/>
      </c>
      <c r="N13" s="141" t="str">
        <f ca="1">IF(OR($L$7="Best Bench",$L$7="Best Squat"),"",IF(K13="","",INDIRECT(CONCATENATE("Lifting!AA",MATCH(B13,Lifting!$AF:$AF,0)))))</f>
        <v/>
      </c>
      <c r="O13" s="141" t="str">
        <f ca="1">IF(OR($L$7="Best Bench",$L$7="Best Deadlift",$L$7="Best Deadlift"),"",IF(K13="","",INDIRECT(CONCATENATE("Lifting!AB",MATCH(B13,Lifting!$AF:$AF,0)))))</f>
        <v/>
      </c>
      <c r="P13" s="134" t="e">
        <f ca="1">IF(OR($B$9=1,K13=""),"",INDIRECT(CONCATENATE(CONCATENATE("Lifting!",IF($B$9=2,"AC","AD"),MATCH(B13,Lifting!$AF:$AF,0)))))</f>
        <v>#N/A</v>
      </c>
      <c r="R13" s="130"/>
      <c r="S13" s="131"/>
      <c r="T13" s="131"/>
      <c r="U13" s="131"/>
      <c r="V13" s="131"/>
      <c r="W13" s="131"/>
      <c r="X13" s="131"/>
      <c r="Y13" s="136"/>
      <c r="Z13" s="136"/>
      <c r="AA13" s="131"/>
      <c r="AB13" s="131"/>
      <c r="AC13" s="130"/>
      <c r="AD13" s="130"/>
      <c r="AH13" s="144"/>
    </row>
    <row r="14" spans="1:34" s="135" customFormat="1" ht="36" customHeight="1" x14ac:dyDescent="0.2">
      <c r="A14" s="140"/>
      <c r="B14" s="129" t="e">
        <f ca="1">CONCATENATE(J14,"-",$A$6,IF($B$9=1,CONCATENATE("-",IF($J$7="SHW",$J$7,ROUND($J$7,1))),""))</f>
        <v>#N/A</v>
      </c>
      <c r="C14" s="128"/>
      <c r="D14" s="128"/>
      <c r="E14" s="128"/>
      <c r="F14" s="128"/>
      <c r="G14" s="128"/>
      <c r="H14" s="128"/>
      <c r="I14" s="128"/>
      <c r="J14" s="141">
        <v>5</v>
      </c>
      <c r="K14" s="142" t="str">
        <f ca="1">IF(ISERROR(INDIRECT(CONCATENATE("Lifting!C",MATCH(B14,Lifting!$AF:$AF,0)))),"",INDIRECT(CONCATENATE("Lifting!C",MATCH(B14,Lifting!$AF:$AF,0))))</f>
        <v/>
      </c>
      <c r="L14" s="141" t="str">
        <f ca="1">IF(OR($L$7="Best Bench",$L$7="Best Deadlift",$L$7="Push Pull Total"),"",IF(K14="","",INDIRECT(CONCATENATE("Lifting!O",MATCH(B14,Lifting!$AF:$AF,0)))))</f>
        <v/>
      </c>
      <c r="M14" s="141" t="str">
        <f ca="1">IF(OR($L$7="Best Squat",$L$7="Best Deadlift"),"",IF(K14="","",INDIRECT(CONCATENATE("Lifting!U",MATCH(B14,Lifting!$AF:$AF,0)))))</f>
        <v/>
      </c>
      <c r="N14" s="141" t="str">
        <f ca="1">IF(OR($L$7="Best Bench",$L$7="Best Squat"),"",IF(K14="","",INDIRECT(CONCATENATE("Lifting!AA",MATCH(B14,Lifting!$AF:$AF,0)))))</f>
        <v/>
      </c>
      <c r="O14" s="141" t="str">
        <f ca="1">IF(OR($L$7="Best Bench",$L$7="Best Deadlift",$L$7="Best Deadlift"),"",IF(K14="","",INDIRECT(CONCATENATE("Lifting!AB",MATCH(B14,Lifting!$AF:$AF,0)))))</f>
        <v/>
      </c>
      <c r="P14" s="134" t="e">
        <f ca="1">IF(OR($B$9=1,K14=""),"",INDIRECT(CONCATENATE(CONCATENATE("Lifting!",IF($B$9=2,"AC","AD"),MATCH(B14,Lifting!$AF:$AF,0)))))</f>
        <v>#N/A</v>
      </c>
      <c r="R14" s="130"/>
      <c r="S14" s="131"/>
      <c r="T14" s="131"/>
      <c r="U14" s="131"/>
      <c r="V14" s="131"/>
      <c r="W14" s="131"/>
      <c r="X14" s="131"/>
      <c r="Y14" s="136"/>
      <c r="Z14" s="136"/>
      <c r="AA14" s="131"/>
      <c r="AB14" s="131"/>
      <c r="AC14" s="130"/>
      <c r="AD14" s="130"/>
      <c r="AH14" s="144"/>
    </row>
    <row r="15" spans="1:34" s="135" customFormat="1" ht="36" customHeight="1" x14ac:dyDescent="0.2">
      <c r="A15" s="140"/>
      <c r="B15" s="129"/>
      <c r="C15" s="128"/>
      <c r="D15" s="128"/>
      <c r="E15" s="128"/>
      <c r="F15" s="128"/>
      <c r="G15" s="128"/>
      <c r="H15" s="128"/>
      <c r="I15" s="128"/>
      <c r="J15" s="145"/>
      <c r="K15" s="146"/>
      <c r="L15" s="145"/>
      <c r="M15" s="145"/>
      <c r="N15" s="145"/>
      <c r="O15" s="145"/>
      <c r="P15" s="147"/>
      <c r="R15" s="130"/>
      <c r="S15" s="131"/>
      <c r="T15" s="131"/>
      <c r="U15" s="131"/>
      <c r="V15" s="131"/>
      <c r="W15" s="131"/>
      <c r="X15" s="131"/>
      <c r="Y15" s="136"/>
      <c r="Z15" s="136"/>
      <c r="AA15" s="131"/>
      <c r="AB15" s="131"/>
      <c r="AC15" s="130"/>
      <c r="AD15" s="130"/>
      <c r="AH15" s="144"/>
    </row>
    <row r="16" spans="1:34" s="135" customFormat="1" ht="36" customHeight="1" x14ac:dyDescent="0.2">
      <c r="A16" s="140"/>
      <c r="B16" s="129"/>
      <c r="C16" s="128"/>
      <c r="D16" s="128"/>
      <c r="E16" s="128"/>
      <c r="F16" s="128"/>
      <c r="G16" s="128"/>
      <c r="H16" s="128"/>
      <c r="I16" s="128"/>
      <c r="J16" s="145"/>
      <c r="K16" s="146"/>
      <c r="L16" s="145"/>
      <c r="M16" s="145"/>
      <c r="N16" s="145"/>
      <c r="O16" s="145"/>
      <c r="P16" s="147"/>
      <c r="R16" s="130"/>
      <c r="S16" s="131"/>
      <c r="T16" s="131"/>
      <c r="U16" s="131"/>
      <c r="V16" s="131"/>
      <c r="W16" s="131"/>
      <c r="X16" s="131"/>
      <c r="Y16" s="136"/>
      <c r="Z16" s="136"/>
      <c r="AA16" s="131"/>
      <c r="AB16" s="131"/>
      <c r="AC16" s="130"/>
      <c r="AD16" s="130"/>
    </row>
    <row r="17" spans="1:30" s="135" customFormat="1" ht="36" customHeight="1" x14ac:dyDescent="0.2">
      <c r="A17" s="140"/>
      <c r="B17" s="129"/>
      <c r="C17" s="128"/>
      <c r="D17" s="128"/>
      <c r="E17" s="128"/>
      <c r="F17" s="128"/>
      <c r="G17" s="128"/>
      <c r="H17" s="128"/>
      <c r="I17" s="128"/>
      <c r="J17" s="145"/>
      <c r="K17" s="146"/>
      <c r="L17" s="145"/>
      <c r="M17" s="145"/>
      <c r="N17" s="145"/>
      <c r="O17" s="145"/>
      <c r="P17" s="147"/>
      <c r="R17" s="130"/>
      <c r="S17" s="131"/>
      <c r="T17" s="131"/>
      <c r="U17" s="131"/>
      <c r="V17" s="131"/>
      <c r="W17" s="131"/>
      <c r="X17" s="131"/>
      <c r="Y17" s="136"/>
      <c r="Z17" s="136"/>
      <c r="AA17" s="131"/>
      <c r="AB17" s="131"/>
      <c r="AC17" s="130"/>
      <c r="AD17" s="130"/>
    </row>
    <row r="18" spans="1:30" s="135" customFormat="1" ht="36" customHeight="1" x14ac:dyDescent="0.2">
      <c r="A18" s="140"/>
      <c r="B18" s="129"/>
      <c r="C18" s="128"/>
      <c r="D18" s="128"/>
      <c r="E18" s="128"/>
      <c r="F18" s="128"/>
      <c r="G18" s="128"/>
      <c r="H18" s="128"/>
      <c r="I18" s="128"/>
      <c r="J18" s="145"/>
      <c r="K18" s="146"/>
      <c r="L18" s="145"/>
      <c r="M18" s="145"/>
      <c r="N18" s="145"/>
      <c r="O18" s="145"/>
      <c r="P18" s="147"/>
      <c r="R18" s="130"/>
      <c r="S18" s="131"/>
      <c r="T18" s="131"/>
      <c r="U18" s="131"/>
      <c r="V18" s="131"/>
      <c r="W18" s="131"/>
      <c r="X18" s="131"/>
      <c r="Y18" s="136"/>
      <c r="Z18" s="136"/>
      <c r="AA18" s="131"/>
      <c r="AB18" s="131"/>
      <c r="AC18" s="130"/>
      <c r="AD18" s="130"/>
    </row>
    <row r="19" spans="1:30" s="135" customFormat="1" ht="36" customHeight="1" x14ac:dyDescent="0.2">
      <c r="A19" s="140"/>
      <c r="B19" s="129"/>
      <c r="C19" s="128"/>
      <c r="D19" s="128"/>
      <c r="E19" s="128"/>
      <c r="F19" s="128"/>
      <c r="G19" s="128"/>
      <c r="H19" s="128"/>
      <c r="I19" s="128"/>
      <c r="J19" s="145"/>
      <c r="K19" s="146"/>
      <c r="L19" s="145"/>
      <c r="M19" s="145"/>
      <c r="N19" s="145"/>
      <c r="O19" s="145"/>
      <c r="P19" s="147"/>
      <c r="R19" s="130"/>
      <c r="S19" s="131"/>
      <c r="T19" s="131"/>
      <c r="U19" s="131"/>
      <c r="V19" s="131"/>
      <c r="W19" s="131"/>
      <c r="X19" s="131"/>
      <c r="Y19" s="136"/>
      <c r="Z19" s="136"/>
      <c r="AA19" s="131"/>
      <c r="AB19" s="131"/>
      <c r="AC19" s="130"/>
      <c r="AD19" s="130"/>
    </row>
    <row r="20" spans="1:30" s="135" customFormat="1" ht="36" customHeight="1" x14ac:dyDescent="0.2">
      <c r="A20" s="140"/>
      <c r="B20" s="129"/>
      <c r="C20" s="128"/>
      <c r="D20" s="128"/>
      <c r="E20" s="128"/>
      <c r="F20" s="128"/>
      <c r="G20" s="128"/>
      <c r="H20" s="128"/>
      <c r="I20" s="128"/>
      <c r="J20" s="145"/>
      <c r="K20" s="146"/>
      <c r="L20" s="145"/>
      <c r="M20" s="145"/>
      <c r="N20" s="145"/>
      <c r="O20" s="145"/>
      <c r="P20" s="147"/>
      <c r="R20" s="130"/>
      <c r="S20" s="131"/>
      <c r="T20" s="131"/>
      <c r="U20" s="131"/>
      <c r="V20" s="131"/>
      <c r="W20" s="131"/>
      <c r="X20" s="131"/>
      <c r="Y20" s="136"/>
      <c r="Z20" s="136"/>
      <c r="AA20" s="131"/>
      <c r="AB20" s="131"/>
      <c r="AC20" s="130"/>
      <c r="AD20" s="130"/>
    </row>
    <row r="21" spans="1:30" s="135" customFormat="1" ht="36" customHeight="1" x14ac:dyDescent="0.2">
      <c r="A21" s="140"/>
      <c r="B21" s="129"/>
      <c r="C21" s="128"/>
      <c r="D21" s="128"/>
      <c r="E21" s="128"/>
      <c r="F21" s="128"/>
      <c r="G21" s="128"/>
      <c r="H21" s="128"/>
      <c r="I21" s="128"/>
      <c r="J21" s="145"/>
      <c r="K21" s="146"/>
      <c r="L21" s="145"/>
      <c r="M21" s="145"/>
      <c r="N21" s="145"/>
      <c r="O21" s="145"/>
      <c r="P21" s="147"/>
      <c r="R21" s="130"/>
      <c r="S21" s="131"/>
      <c r="T21" s="131"/>
      <c r="U21" s="131"/>
      <c r="V21" s="131"/>
      <c r="W21" s="131"/>
      <c r="X21" s="131"/>
      <c r="Y21" s="136"/>
      <c r="Z21" s="136"/>
      <c r="AA21" s="131"/>
      <c r="AB21" s="131"/>
      <c r="AC21" s="130"/>
      <c r="AD21" s="130"/>
    </row>
    <row r="22" spans="1:30" s="135" customFormat="1" ht="36" customHeight="1" x14ac:dyDescent="0.2">
      <c r="A22" s="140"/>
      <c r="B22" s="129"/>
      <c r="C22" s="148"/>
      <c r="D22" s="148"/>
      <c r="E22" s="148"/>
      <c r="F22" s="148"/>
      <c r="G22" s="148"/>
      <c r="H22" s="148"/>
      <c r="I22" s="148"/>
      <c r="J22" s="145"/>
      <c r="K22" s="146"/>
      <c r="L22" s="145"/>
      <c r="M22" s="145"/>
      <c r="N22" s="145"/>
      <c r="O22" s="145"/>
      <c r="P22" s="147"/>
      <c r="R22" s="130"/>
      <c r="S22" s="131"/>
      <c r="T22" s="131"/>
      <c r="U22" s="131"/>
      <c r="V22" s="131"/>
      <c r="W22" s="131"/>
      <c r="X22" s="131"/>
      <c r="Y22" s="136"/>
      <c r="Z22" s="136"/>
      <c r="AA22" s="131"/>
      <c r="AB22" s="131"/>
      <c r="AC22" s="130"/>
      <c r="AD22" s="130"/>
    </row>
    <row r="23" spans="1:30" s="135" customFormat="1" ht="36" customHeight="1" x14ac:dyDescent="0.2">
      <c r="A23" s="140"/>
      <c r="B23" s="129"/>
      <c r="C23" s="148"/>
      <c r="D23" s="148"/>
      <c r="E23" s="148"/>
      <c r="F23" s="148"/>
      <c r="G23" s="148"/>
      <c r="H23" s="148"/>
      <c r="I23" s="148"/>
      <c r="J23" s="145"/>
      <c r="K23" s="146"/>
      <c r="L23" s="145"/>
      <c r="M23" s="145"/>
      <c r="N23" s="145"/>
      <c r="O23" s="145"/>
      <c r="P23" s="147"/>
      <c r="R23" s="130"/>
      <c r="S23" s="131"/>
      <c r="T23" s="131"/>
      <c r="U23" s="131"/>
      <c r="V23" s="131"/>
      <c r="W23" s="131"/>
      <c r="X23" s="131"/>
      <c r="Y23" s="136"/>
      <c r="Z23" s="136"/>
      <c r="AA23" s="131"/>
      <c r="AB23" s="131"/>
      <c r="AC23" s="130"/>
      <c r="AD23" s="130"/>
    </row>
    <row r="24" spans="1:30" s="135" customFormat="1" ht="36" customHeight="1" x14ac:dyDescent="0.2">
      <c r="A24" s="140"/>
      <c r="B24" s="129"/>
      <c r="C24" s="148"/>
      <c r="D24" s="148"/>
      <c r="E24" s="148"/>
      <c r="F24" s="148"/>
      <c r="G24" s="148"/>
      <c r="H24" s="148"/>
      <c r="I24" s="148"/>
      <c r="J24" s="145"/>
      <c r="K24" s="146"/>
      <c r="L24" s="145"/>
      <c r="M24" s="145"/>
      <c r="N24" s="145"/>
      <c r="O24" s="145"/>
      <c r="P24" s="147"/>
      <c r="R24" s="130"/>
      <c r="S24" s="131"/>
      <c r="T24" s="131"/>
      <c r="U24" s="131"/>
      <c r="V24" s="131"/>
      <c r="W24" s="131"/>
      <c r="X24" s="131"/>
      <c r="Y24" s="136"/>
      <c r="Z24" s="136"/>
      <c r="AA24" s="131"/>
      <c r="AB24" s="131"/>
      <c r="AC24" s="130"/>
      <c r="AD24" s="130"/>
    </row>
    <row r="25" spans="1:30" s="135" customFormat="1" ht="36" customHeight="1" x14ac:dyDescent="0.2">
      <c r="A25" s="140"/>
      <c r="B25" s="129"/>
      <c r="C25" s="148"/>
      <c r="D25" s="148"/>
      <c r="E25" s="148"/>
      <c r="F25" s="148"/>
      <c r="G25" s="148"/>
      <c r="H25" s="148"/>
      <c r="I25" s="148"/>
      <c r="J25" s="145"/>
      <c r="K25" s="146"/>
      <c r="L25" s="145"/>
      <c r="M25" s="145"/>
      <c r="N25" s="145"/>
      <c r="O25" s="145"/>
      <c r="P25" s="147"/>
      <c r="R25" s="130"/>
      <c r="S25" s="131"/>
      <c r="T25" s="131"/>
      <c r="U25" s="131"/>
      <c r="V25" s="131"/>
      <c r="W25" s="131"/>
      <c r="X25" s="131"/>
      <c r="Y25" s="136"/>
      <c r="Z25" s="136"/>
      <c r="AA25" s="131"/>
      <c r="AB25" s="131"/>
      <c r="AC25" s="130"/>
      <c r="AD25" s="130"/>
    </row>
    <row r="26" spans="1:30" s="135" customFormat="1" ht="36" customHeight="1" x14ac:dyDescent="0.2">
      <c r="A26" s="140"/>
      <c r="B26" s="129"/>
      <c r="C26" s="148"/>
      <c r="D26" s="148"/>
      <c r="E26" s="148"/>
      <c r="F26" s="148"/>
      <c r="G26" s="148"/>
      <c r="H26" s="148"/>
      <c r="I26" s="148"/>
      <c r="J26" s="145"/>
      <c r="K26" s="146"/>
      <c r="L26" s="145"/>
      <c r="M26" s="145"/>
      <c r="N26" s="145"/>
      <c r="O26" s="145"/>
      <c r="P26" s="147"/>
      <c r="R26" s="130"/>
      <c r="S26" s="131"/>
      <c r="T26" s="131"/>
      <c r="U26" s="131"/>
      <c r="V26" s="131"/>
      <c r="W26" s="131"/>
      <c r="X26" s="131"/>
      <c r="Y26" s="136"/>
      <c r="Z26" s="136"/>
      <c r="AA26" s="131"/>
      <c r="AB26" s="131"/>
      <c r="AC26" s="130"/>
      <c r="AD26" s="130"/>
    </row>
    <row r="27" spans="1:30" s="135" customFormat="1" ht="36" customHeight="1" x14ac:dyDescent="0.2">
      <c r="A27" s="140"/>
      <c r="B27" s="129"/>
      <c r="C27" s="148"/>
      <c r="D27" s="148"/>
      <c r="E27" s="148"/>
      <c r="F27" s="148"/>
      <c r="G27" s="148"/>
      <c r="H27" s="148"/>
      <c r="I27" s="148"/>
      <c r="J27" s="145"/>
      <c r="K27" s="146"/>
      <c r="L27" s="145"/>
      <c r="M27" s="145"/>
      <c r="N27" s="145"/>
      <c r="O27" s="145"/>
      <c r="P27" s="147"/>
      <c r="R27" s="130"/>
      <c r="S27" s="131"/>
      <c r="T27" s="131"/>
      <c r="U27" s="131"/>
      <c r="V27" s="131"/>
      <c r="W27" s="131"/>
      <c r="X27" s="131"/>
      <c r="Y27" s="136"/>
      <c r="Z27" s="136"/>
      <c r="AA27" s="131"/>
      <c r="AB27" s="131"/>
      <c r="AC27" s="130"/>
      <c r="AD27" s="130"/>
    </row>
    <row r="28" spans="1:30" s="135" customFormat="1" ht="36" customHeight="1" x14ac:dyDescent="0.2">
      <c r="A28" s="140"/>
      <c r="B28" s="129"/>
      <c r="C28" s="148"/>
      <c r="D28" s="148"/>
      <c r="E28" s="148"/>
      <c r="F28" s="148"/>
      <c r="G28" s="148"/>
      <c r="H28" s="148"/>
      <c r="I28" s="148"/>
      <c r="J28" s="145"/>
      <c r="K28" s="146"/>
      <c r="L28" s="145"/>
      <c r="M28" s="145"/>
      <c r="N28" s="145"/>
      <c r="O28" s="145"/>
      <c r="P28" s="147"/>
      <c r="R28" s="130"/>
      <c r="S28" s="131"/>
      <c r="T28" s="131"/>
      <c r="U28" s="131"/>
      <c r="V28" s="131"/>
      <c r="W28" s="131"/>
      <c r="X28" s="131"/>
      <c r="Y28" s="136"/>
      <c r="Z28" s="136"/>
      <c r="AA28" s="131"/>
      <c r="AB28" s="131"/>
      <c r="AC28" s="130"/>
      <c r="AD28" s="130"/>
    </row>
    <row r="29" spans="1:30" s="135" customFormat="1" ht="36" customHeight="1" x14ac:dyDescent="0.2">
      <c r="A29" s="140"/>
      <c r="B29" s="129"/>
      <c r="C29" s="148"/>
      <c r="D29" s="148"/>
      <c r="E29" s="148"/>
      <c r="F29" s="148"/>
      <c r="G29" s="148"/>
      <c r="H29" s="148"/>
      <c r="I29" s="148"/>
      <c r="J29" s="145"/>
      <c r="K29" s="146"/>
      <c r="L29" s="145"/>
      <c r="M29" s="145"/>
      <c r="N29" s="145"/>
      <c r="O29" s="145"/>
      <c r="P29" s="147"/>
      <c r="R29" s="130"/>
      <c r="S29" s="131"/>
      <c r="T29" s="131"/>
      <c r="U29" s="131"/>
      <c r="V29" s="131"/>
      <c r="W29" s="131"/>
      <c r="X29" s="131"/>
      <c r="Y29" s="136"/>
      <c r="Z29" s="136"/>
      <c r="AA29" s="131"/>
      <c r="AB29" s="131"/>
      <c r="AC29" s="130"/>
      <c r="AD29" s="130"/>
    </row>
    <row r="30" spans="1:30" x14ac:dyDescent="0.2">
      <c r="Y30" s="136"/>
      <c r="Z30" s="136"/>
    </row>
    <row r="31" spans="1:30" x14ac:dyDescent="0.2">
      <c r="Y31" s="136"/>
      <c r="Z31" s="136"/>
    </row>
    <row r="32" spans="1:30" x14ac:dyDescent="0.2">
      <c r="Y32" s="136"/>
      <c r="Z32" s="136"/>
    </row>
    <row r="33" spans="25:26" x14ac:dyDescent="0.2">
      <c r="Y33" s="136"/>
      <c r="Z33" s="136"/>
    </row>
    <row r="34" spans="25:26" x14ac:dyDescent="0.2">
      <c r="Y34" s="136"/>
      <c r="Z34" s="136"/>
    </row>
    <row r="35" spans="25:26" x14ac:dyDescent="0.2">
      <c r="Y35" s="136"/>
      <c r="Z35" s="136"/>
    </row>
    <row r="36" spans="25:26" x14ac:dyDescent="0.2">
      <c r="Y36" s="136"/>
      <c r="Z36" s="136"/>
    </row>
    <row r="37" spans="25:26" x14ac:dyDescent="0.2">
      <c r="Y37" s="136"/>
      <c r="Z37" s="136"/>
    </row>
    <row r="38" spans="25:26" x14ac:dyDescent="0.2">
      <c r="Y38" s="136"/>
      <c r="Z38" s="136"/>
    </row>
    <row r="39" spans="25:26" x14ac:dyDescent="0.2">
      <c r="Y39" s="136"/>
      <c r="Z39" s="136"/>
    </row>
    <row r="40" spans="25:26" x14ac:dyDescent="0.2">
      <c r="Y40" s="136"/>
      <c r="Z40" s="136"/>
    </row>
    <row r="41" spans="25:26" x14ac:dyDescent="0.2">
      <c r="Y41" s="136"/>
      <c r="Z41" s="136"/>
    </row>
    <row r="42" spans="25:26" x14ac:dyDescent="0.2">
      <c r="Y42" s="136"/>
      <c r="Z42" s="136"/>
    </row>
    <row r="43" spans="25:26" x14ac:dyDescent="0.2">
      <c r="Y43" s="136"/>
      <c r="Z43" s="136"/>
    </row>
    <row r="44" spans="25:26" x14ac:dyDescent="0.2">
      <c r="Y44" s="136"/>
      <c r="Z44" s="136"/>
    </row>
    <row r="45" spans="25:26" x14ac:dyDescent="0.2">
      <c r="Y45" s="136"/>
      <c r="Z45" s="136"/>
    </row>
    <row r="46" spans="25:26" x14ac:dyDescent="0.2">
      <c r="Y46" s="136"/>
      <c r="Z46" s="136"/>
    </row>
    <row r="47" spans="25:26" x14ac:dyDescent="0.2">
      <c r="Y47" s="136"/>
      <c r="Z47" s="136"/>
    </row>
    <row r="48" spans="25:26" x14ac:dyDescent="0.2">
      <c r="Y48" s="136"/>
      <c r="Z48" s="136"/>
    </row>
    <row r="49" spans="25:26" x14ac:dyDescent="0.2">
      <c r="Y49" s="136"/>
      <c r="Z49" s="136"/>
    </row>
    <row r="50" spans="25:26" x14ac:dyDescent="0.2">
      <c r="Y50" s="136"/>
      <c r="Z50" s="136"/>
    </row>
    <row r="51" spans="25:26" x14ac:dyDescent="0.2">
      <c r="Y51" s="136"/>
      <c r="Z51" s="136"/>
    </row>
    <row r="52" spans="25:26" x14ac:dyDescent="0.2">
      <c r="Y52" s="136"/>
      <c r="Z52" s="136"/>
    </row>
    <row r="53" spans="25:26" x14ac:dyDescent="0.2">
      <c r="Y53" s="136"/>
      <c r="Z53" s="136"/>
    </row>
    <row r="54" spans="25:26" x14ac:dyDescent="0.2">
      <c r="Y54" s="136"/>
      <c r="Z54" s="136"/>
    </row>
    <row r="55" spans="25:26" x14ac:dyDescent="0.2">
      <c r="Y55" s="136"/>
      <c r="Z55" s="136"/>
    </row>
    <row r="56" spans="25:26" x14ac:dyDescent="0.2">
      <c r="Y56" s="136"/>
      <c r="Z56" s="136"/>
    </row>
    <row r="57" spans="25:26" x14ac:dyDescent="0.2">
      <c r="Y57" s="136"/>
      <c r="Z57" s="136"/>
    </row>
    <row r="58" spans="25:26" x14ac:dyDescent="0.2">
      <c r="Y58" s="136"/>
      <c r="Z58" s="136"/>
    </row>
    <row r="59" spans="25:26" x14ac:dyDescent="0.2">
      <c r="Y59" s="136"/>
      <c r="Z59" s="136"/>
    </row>
    <row r="60" spans="25:26" x14ac:dyDescent="0.2">
      <c r="Y60" s="136"/>
      <c r="Z60" s="136"/>
    </row>
    <row r="61" spans="25:26" x14ac:dyDescent="0.2">
      <c r="Y61" s="136"/>
      <c r="Z61" s="136"/>
    </row>
    <row r="62" spans="25:26" x14ac:dyDescent="0.2">
      <c r="Y62" s="136"/>
      <c r="Z62" s="136"/>
    </row>
    <row r="63" spans="25:26" x14ac:dyDescent="0.2">
      <c r="Y63" s="136"/>
      <c r="Z63" s="136"/>
    </row>
    <row r="64" spans="25:26" x14ac:dyDescent="0.2">
      <c r="Y64" s="136"/>
      <c r="Z64" s="136"/>
    </row>
    <row r="65" spans="25:26" x14ac:dyDescent="0.2">
      <c r="Y65" s="136"/>
      <c r="Z65" s="136"/>
    </row>
    <row r="66" spans="25:26" x14ac:dyDescent="0.2">
      <c r="Y66" s="136"/>
      <c r="Z66" s="136"/>
    </row>
    <row r="67" spans="25:26" x14ac:dyDescent="0.2">
      <c r="Y67" s="136"/>
      <c r="Z67" s="136"/>
    </row>
    <row r="68" spans="25:26" x14ac:dyDescent="0.2">
      <c r="Y68" s="136"/>
      <c r="Z68" s="136"/>
    </row>
    <row r="69" spans="25:26" x14ac:dyDescent="0.2">
      <c r="Y69" s="136"/>
      <c r="Z69" s="136"/>
    </row>
    <row r="70" spans="25:26" x14ac:dyDescent="0.2">
      <c r="Y70" s="136"/>
      <c r="Z70" s="136"/>
    </row>
    <row r="71" spans="25:26" x14ac:dyDescent="0.2">
      <c r="Y71" s="136"/>
      <c r="Z71" s="136"/>
    </row>
    <row r="72" spans="25:26" x14ac:dyDescent="0.2">
      <c r="Y72" s="136"/>
      <c r="Z72" s="136"/>
    </row>
    <row r="73" spans="25:26" x14ac:dyDescent="0.2">
      <c r="Y73" s="136"/>
      <c r="Z73" s="136"/>
    </row>
    <row r="74" spans="25:26" x14ac:dyDescent="0.2">
      <c r="Y74" s="136"/>
      <c r="Z74" s="136"/>
    </row>
    <row r="75" spans="25:26" x14ac:dyDescent="0.2">
      <c r="Y75" s="136"/>
      <c r="Z75" s="136"/>
    </row>
    <row r="76" spans="25:26" x14ac:dyDescent="0.2">
      <c r="Y76" s="136"/>
      <c r="Z76" s="136"/>
    </row>
    <row r="77" spans="25:26" x14ac:dyDescent="0.2">
      <c r="Y77" s="136"/>
      <c r="Z77" s="136"/>
    </row>
    <row r="78" spans="25:26" x14ac:dyDescent="0.2">
      <c r="Y78" s="136"/>
      <c r="Z78" s="136"/>
    </row>
    <row r="79" spans="25:26" x14ac:dyDescent="0.2">
      <c r="Y79" s="136"/>
      <c r="Z79" s="136"/>
    </row>
    <row r="80" spans="25:26" x14ac:dyDescent="0.2">
      <c r="Y80" s="136"/>
      <c r="Z80" s="136"/>
    </row>
    <row r="81" spans="25:26" x14ac:dyDescent="0.2">
      <c r="Y81" s="136"/>
      <c r="Z81" s="136"/>
    </row>
    <row r="82" spans="25:26" x14ac:dyDescent="0.2">
      <c r="Y82" s="136"/>
      <c r="Z82" s="136"/>
    </row>
    <row r="83" spans="25:26" x14ac:dyDescent="0.2">
      <c r="Y83" s="136"/>
      <c r="Z83" s="136"/>
    </row>
    <row r="84" spans="25:26" x14ac:dyDescent="0.2">
      <c r="Y84" s="136"/>
      <c r="Z84" s="136"/>
    </row>
    <row r="85" spans="25:26" x14ac:dyDescent="0.2">
      <c r="Y85" s="136"/>
      <c r="Z85" s="136"/>
    </row>
    <row r="86" spans="25:26" x14ac:dyDescent="0.2">
      <c r="Y86" s="136"/>
      <c r="Z86" s="136"/>
    </row>
    <row r="87" spans="25:26" x14ac:dyDescent="0.2">
      <c r="Y87" s="136"/>
      <c r="Z87" s="136"/>
    </row>
    <row r="88" spans="25:26" x14ac:dyDescent="0.2">
      <c r="Y88" s="136"/>
      <c r="Z88" s="136"/>
    </row>
    <row r="89" spans="25:26" x14ac:dyDescent="0.2">
      <c r="Y89" s="136"/>
      <c r="Z89" s="136"/>
    </row>
    <row r="90" spans="25:26" x14ac:dyDescent="0.2">
      <c r="Y90" s="136"/>
      <c r="Z90" s="136"/>
    </row>
    <row r="91" spans="25:26" x14ac:dyDescent="0.2">
      <c r="Y91" s="136"/>
      <c r="Z91" s="136"/>
    </row>
    <row r="92" spans="25:26" x14ac:dyDescent="0.2">
      <c r="Y92" s="136"/>
      <c r="Z92" s="136"/>
    </row>
    <row r="93" spans="25:26" x14ac:dyDescent="0.2">
      <c r="Y93" s="136"/>
      <c r="Z93" s="136"/>
    </row>
    <row r="94" spans="25:26" x14ac:dyDescent="0.2">
      <c r="Y94" s="136"/>
      <c r="Z94" s="136"/>
    </row>
    <row r="95" spans="25:26" x14ac:dyDescent="0.2">
      <c r="Y95" s="136"/>
      <c r="Z95" s="136"/>
    </row>
    <row r="96" spans="25:26" x14ac:dyDescent="0.2">
      <c r="Y96" s="136"/>
      <c r="Z96" s="136"/>
    </row>
    <row r="97" spans="25:26" x14ac:dyDescent="0.2">
      <c r="Y97" s="136"/>
      <c r="Z97" s="136"/>
    </row>
    <row r="98" spans="25:26" x14ac:dyDescent="0.2">
      <c r="Y98" s="136"/>
      <c r="Z98" s="136"/>
    </row>
    <row r="99" spans="25:26" x14ac:dyDescent="0.2">
      <c r="Y99" s="136"/>
      <c r="Z99" s="136"/>
    </row>
    <row r="100" spans="25:26" x14ac:dyDescent="0.2">
      <c r="Y100" s="136"/>
      <c r="Z100" s="136"/>
    </row>
    <row r="101" spans="25:26" x14ac:dyDescent="0.2">
      <c r="Y101" s="136"/>
      <c r="Z101" s="136"/>
    </row>
    <row r="102" spans="25:26" x14ac:dyDescent="0.2">
      <c r="Y102" s="136"/>
      <c r="Z102" s="136"/>
    </row>
    <row r="103" spans="25:26" x14ac:dyDescent="0.2">
      <c r="Y103" s="136"/>
      <c r="Z103" s="136"/>
    </row>
    <row r="104" spans="25:26" x14ac:dyDescent="0.2">
      <c r="Y104" s="136"/>
      <c r="Z104" s="136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/>
  </sheetViews>
  <sheetFormatPr defaultColWidth="8.85546875" defaultRowHeight="12.75" x14ac:dyDescent="0.2"/>
  <sheetData>
    <row r="2" spans="2:14" x14ac:dyDescent="0.2">
      <c r="B2" s="418" t="s">
        <v>125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2:14" x14ac:dyDescent="0.2">
      <c r="B3" s="418" t="s">
        <v>126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</row>
    <row r="4" spans="2:14" x14ac:dyDescent="0.2">
      <c r="B4" s="418" t="s">
        <v>45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2:14" x14ac:dyDescent="0.2"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</row>
    <row r="6" spans="2:14" x14ac:dyDescent="0.2">
      <c r="B6" s="418" t="s">
        <v>128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</row>
    <row r="7" spans="2:14" x14ac:dyDescent="0.2">
      <c r="B7" s="418" t="s">
        <v>127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</row>
    <row r="8" spans="2:14" x14ac:dyDescent="0.2"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</row>
    <row r="9" spans="2:14" x14ac:dyDescent="0.2">
      <c r="B9" s="418" t="s">
        <v>46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</row>
    <row r="10" spans="2:14" x14ac:dyDescent="0.2">
      <c r="B10" s="418" t="s">
        <v>130</v>
      </c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</row>
    <row r="11" spans="2:14" x14ac:dyDescent="0.2">
      <c r="B11" s="418" t="s">
        <v>47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</row>
    <row r="12" spans="2:14" x14ac:dyDescent="0.2">
      <c r="B12" s="418" t="s">
        <v>129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</row>
    <row r="13" spans="2:14" x14ac:dyDescent="0.2">
      <c r="B13" s="418" t="s">
        <v>48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8:N8"/>
    <mergeCell ref="B9:N9"/>
    <mergeCell ref="B13:N13"/>
    <mergeCell ref="B10:N10"/>
    <mergeCell ref="B11:N11"/>
    <mergeCell ref="B12:N12"/>
    <mergeCell ref="B6:N6"/>
    <mergeCell ref="B7:N7"/>
    <mergeCell ref="B2:N2"/>
    <mergeCell ref="B3:N3"/>
    <mergeCell ref="B4:N4"/>
    <mergeCell ref="B5:N5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260"/>
  <sheetViews>
    <sheetView workbookViewId="0">
      <selection activeCell="K2" sqref="K2"/>
    </sheetView>
  </sheetViews>
  <sheetFormatPr defaultColWidth="9.140625" defaultRowHeight="12.75" customHeight="1" x14ac:dyDescent="0.2"/>
  <cols>
    <col min="1" max="1" width="9.7109375" style="190" customWidth="1"/>
    <col min="2" max="2" width="4.7109375" style="193" customWidth="1"/>
    <col min="3" max="3" width="4.7109375" style="194" customWidth="1"/>
    <col min="4" max="4" width="4.7109375" style="193" customWidth="1"/>
    <col min="5" max="5" width="4.7109375" style="194" customWidth="1"/>
    <col min="6" max="6" width="4.7109375" style="193" customWidth="1"/>
    <col min="7" max="7" width="4.7109375" style="194" customWidth="1"/>
    <col min="8" max="8" width="4.7109375" style="193" customWidth="1"/>
    <col min="9" max="9" width="4.7109375" style="194" customWidth="1"/>
    <col min="10" max="10" width="4.7109375" style="193" customWidth="1"/>
    <col min="11" max="11" width="7.28515625" style="194" customWidth="1"/>
    <col min="12" max="18" width="9.140625" style="190" hidden="1" customWidth="1"/>
    <col min="19" max="16384" width="9.140625" style="190"/>
  </cols>
  <sheetData>
    <row r="1" spans="1:17" s="184" customFormat="1" ht="25.5" customHeight="1" x14ac:dyDescent="0.2">
      <c r="A1" s="180" t="s">
        <v>138</v>
      </c>
      <c r="B1" s="181">
        <v>4</v>
      </c>
      <c r="C1" s="182">
        <v>0</v>
      </c>
      <c r="D1" s="181">
        <v>0</v>
      </c>
      <c r="E1" s="182">
        <v>16</v>
      </c>
      <c r="F1" s="181">
        <v>2</v>
      </c>
      <c r="G1" s="182">
        <v>2</v>
      </c>
      <c r="H1" s="181">
        <v>4</v>
      </c>
      <c r="I1" s="182">
        <v>2</v>
      </c>
      <c r="J1" s="181">
        <v>2</v>
      </c>
      <c r="K1" s="182" t="s">
        <v>139</v>
      </c>
      <c r="L1" s="183">
        <f>K2+B2*B1+C2*C1+D2*D1+E2*E1+F2*F1+G2*G1+H2*H1+I2*I1+J2*J1</f>
        <v>632.5</v>
      </c>
      <c r="M1" s="183"/>
    </row>
    <row r="2" spans="1:17" ht="12.75" customHeight="1" x14ac:dyDescent="0.2">
      <c r="A2" s="185" t="s">
        <v>75</v>
      </c>
      <c r="B2" s="186">
        <f>IF($A$2="Kilos",50,110)</f>
        <v>50</v>
      </c>
      <c r="C2" s="187">
        <f>IF($A$2="Kilos",45,100)</f>
        <v>45</v>
      </c>
      <c r="D2" s="186">
        <f>IF($A$2="Kilos",25,55)</f>
        <v>25</v>
      </c>
      <c r="E2" s="187">
        <f>IF($A$2="Kilos",20,45)</f>
        <v>20</v>
      </c>
      <c r="F2" s="186">
        <f>IF($A$2="Kilos",15,35)</f>
        <v>15</v>
      </c>
      <c r="G2" s="187">
        <f>IF($A$2="Kilos",10,25)</f>
        <v>10</v>
      </c>
      <c r="H2" s="186">
        <f>IF($A$2="Kilos",5,10)</f>
        <v>5</v>
      </c>
      <c r="I2" s="187">
        <f>IF($A$2="Kilos",2.5,5)</f>
        <v>2.5</v>
      </c>
      <c r="J2" s="186">
        <f>IF($A$2="Kilos",1.25,2.5)</f>
        <v>1.25</v>
      </c>
      <c r="K2" s="188">
        <v>35</v>
      </c>
      <c r="L2" s="189" t="s">
        <v>140</v>
      </c>
      <c r="M2" s="189"/>
      <c r="O2" s="190">
        <f>IF($A$2="Pounds",P2,Q2)</f>
        <v>20</v>
      </c>
      <c r="P2" s="190">
        <v>45</v>
      </c>
      <c r="Q2" s="190">
        <v>20</v>
      </c>
    </row>
    <row r="3" spans="1:17" ht="12.75" customHeight="1" x14ac:dyDescent="0.2">
      <c r="A3" s="191" t="s">
        <v>141</v>
      </c>
      <c r="B3" s="186"/>
      <c r="C3" s="187"/>
      <c r="D3" s="186"/>
      <c r="E3" s="187"/>
      <c r="F3" s="186"/>
      <c r="G3" s="187"/>
      <c r="H3" s="186"/>
      <c r="I3" s="187"/>
      <c r="J3" s="186"/>
      <c r="K3" s="187"/>
      <c r="L3" s="189"/>
      <c r="M3" s="189" t="s">
        <v>142</v>
      </c>
      <c r="O3" s="190">
        <f>IF($A$2="Pounds",P3,Q3)</f>
        <v>22.5</v>
      </c>
      <c r="P3" s="190">
        <v>50</v>
      </c>
      <c r="Q3" s="190">
        <v>22.5</v>
      </c>
    </row>
    <row r="4" spans="1:17" ht="12.75" customHeight="1" x14ac:dyDescent="0.2">
      <c r="A4" s="191">
        <f>IF(M4+$K$2&gt;$L$1,0,M4+$K$2)</f>
        <v>35</v>
      </c>
      <c r="B4" s="186">
        <f>IF(A4=0,0,MIN($B$1/2,INT(M4/(2*$B$2))))</f>
        <v>0</v>
      </c>
      <c r="C4" s="187">
        <f>IF(A4=0,0,MIN($C$1/2,INT(($M4-2*$B4*$B$2)/(2*$C$2))))</f>
        <v>0</v>
      </c>
      <c r="D4" s="186">
        <f>IF(A4=0,0,MIN($D$1/2,INT(($M4-2*$B4*$B$2-2*$C4*$C$2)/(2*$D$2))))</f>
        <v>0</v>
      </c>
      <c r="E4" s="187">
        <f>IF(A4=0,0,MIN($E$1/2,INT(($M4-2*$B4*$B$2-2*$C4*$C$2-2*$D4*$D$2)/(2*$E$2))))</f>
        <v>0</v>
      </c>
      <c r="F4" s="186">
        <f>IF(A4=0,0,MIN($F$1/2,INT(($M4-2*$B4*$B$2-2*$C4*$C$2-2*$D4*$D$2-2*$E4*$E$2)/(2*$F$2))))</f>
        <v>0</v>
      </c>
      <c r="G4" s="187">
        <f>IF(A4=0,0,MIN($G$1/2,INT(($M4-2*$B4*$B$2-2*$C4*$C$2-2*$D4*$D$2-2*$E4*$E$2-2*$F4*$F$2)/(2*$G$2))))</f>
        <v>0</v>
      </c>
      <c r="H4" s="186">
        <f>IF(A4=0,0,MIN($H$1/2,INT(($M4-2*$B4*$B$2-2*$C4*$C$2-2*$D4*$D$2-2*$E4*$E$2-2*$F4*$F$2-2*$G4*$G$2)/(2*$H$2))))</f>
        <v>0</v>
      </c>
      <c r="I4" s="187">
        <f>IF(A4=0,0,MIN($I$1/2,INT(($M4-2*$B4*$B$2-2*$C4*$C$2-2*$D4*$D$2-2*$E4*$E$2-2*$F4*$F$2-2*$G4*$G$2-2*$H4*$H$2)/(2*$I$2))))</f>
        <v>0</v>
      </c>
      <c r="J4" s="186">
        <f>IF(A4=0,0,MIN($J$1/2,INT(($M4-2*$B4*$B$2-2*$C4*$C$2-2*$D4*$D$2-2*$E4*$E$2-2*$F4*$F$2-2*$G4*$G$2-2*$H4*$H$2-2*$I4*$I$2)/(2*$J$2))))</f>
        <v>0</v>
      </c>
      <c r="K4" s="187"/>
      <c r="L4" s="189">
        <v>0</v>
      </c>
      <c r="M4" s="192">
        <v>0</v>
      </c>
      <c r="N4" s="190" t="str">
        <f>IF($K$2+2*(B4*$B$2+C4*$C$2+D4*$D$2+E4*$E$2+F4*$F$2+G4*$G$2+H4*$H$2+I4*$I$2+J4*$J$2)=A4,"","Not enough weight for this load")</f>
        <v/>
      </c>
      <c r="O4" s="190">
        <f>IF($A$2="Pounds",P4,Q4)</f>
        <v>25</v>
      </c>
      <c r="P4" s="190">
        <v>55</v>
      </c>
      <c r="Q4" s="190">
        <v>25</v>
      </c>
    </row>
    <row r="5" spans="1:17" ht="12.75" customHeight="1" x14ac:dyDescent="0.2">
      <c r="A5" s="191">
        <f t="shared" ref="A5:A68" si="0">IF(M5+$K$2&gt;$L$1,0,M5+$K$2)</f>
        <v>37.5</v>
      </c>
      <c r="B5" s="186">
        <f t="shared" ref="B5:B68" si="1">IF(A5=0,0,MIN($B$1/2,INT(M5/(2*$B$2))))</f>
        <v>0</v>
      </c>
      <c r="C5" s="187">
        <f t="shared" ref="C5:C68" si="2">IF(A5=0,0,MIN($C$1/2,INT(($M5-2*$B5*$B$2)/(2*$C$2))))</f>
        <v>0</v>
      </c>
      <c r="D5" s="186">
        <f t="shared" ref="D5:D68" si="3">IF(A5=0,0,MIN($D$1/2,INT(($M5-2*$B5*$B$2-2*$C5*$C$2)/(2*$D$2))))</f>
        <v>0</v>
      </c>
      <c r="E5" s="187">
        <f t="shared" ref="E5:E68" si="4">IF(A5=0,0,MIN($E$1/2,INT(($M5-2*$B5*$B$2-2*$C5*$C$2-2*$D5*$D$2)/(2*$E$2))))</f>
        <v>0</v>
      </c>
      <c r="F5" s="186">
        <f t="shared" ref="F5:F68" si="5">IF(A5=0,0,MIN($F$1/2,INT(($M5-2*$B5*$B$2-2*$C5*$C$2-2*$D5*$D$2-2*$E5*$E$2)/(2*$F$2))))</f>
        <v>0</v>
      </c>
      <c r="G5" s="187">
        <f t="shared" ref="G5:G68" si="6">IF(A5=0,0,MIN($G$1/2,INT(($M5-2*$B5*$B$2-2*$C5*$C$2-2*$D5*$D$2-2*$E5*$E$2-2*$F5*$F$2)/(2*$G$2))))</f>
        <v>0</v>
      </c>
      <c r="H5" s="186">
        <f t="shared" ref="H5:H68" si="7">IF(A5=0,0,MIN($H$1/2,INT(($M5-2*$B5*$B$2-2*$C5*$C$2-2*$D5*$D$2-2*$E5*$E$2-2*$F5*$F$2-2*$G5*$G$2)/(2*$H$2))))</f>
        <v>0</v>
      </c>
      <c r="I5" s="187">
        <f t="shared" ref="I5:I68" si="8">IF(A5=0,0,MIN($I$1/2,INT(($M5-2*$B5*$B$2-2*$C5*$C$2-2*$D5*$D$2-2*$E5*$E$2-2*$F5*$F$2-2*$G5*$G$2-2*$H5*$H$2)/(2*$I$2))))</f>
        <v>0</v>
      </c>
      <c r="J5" s="186">
        <f t="shared" ref="J5:J68" si="9">IF(A5=0,0,MIN($J$1/2,INT(($M5-2*$B5*$B$2-2*$C5*$C$2-2*$D5*$D$2-2*$E5*$E$2-2*$F5*$F$2-2*$G5*$G$2-2*$H5*$H$2-2*$I5*$I$2)/(2*$J$2))))</f>
        <v>1</v>
      </c>
      <c r="K5" s="187"/>
      <c r="L5" s="189">
        <v>1</v>
      </c>
      <c r="M5" s="189">
        <f t="shared" ref="M5:M68" si="10">IF($A$2="Pounds",5*L5,2.5*L5)</f>
        <v>2.5</v>
      </c>
      <c r="O5" s="190">
        <f>IF($A$2="Pounds",P5,Q5)</f>
        <v>30</v>
      </c>
      <c r="P5" s="190">
        <v>65</v>
      </c>
      <c r="Q5" s="190">
        <v>30</v>
      </c>
    </row>
    <row r="6" spans="1:17" ht="12.75" customHeight="1" x14ac:dyDescent="0.2">
      <c r="A6" s="191">
        <f t="shared" si="0"/>
        <v>40</v>
      </c>
      <c r="B6" s="186">
        <f t="shared" si="1"/>
        <v>0</v>
      </c>
      <c r="C6" s="187">
        <f t="shared" si="2"/>
        <v>0</v>
      </c>
      <c r="D6" s="186">
        <f t="shared" si="3"/>
        <v>0</v>
      </c>
      <c r="E6" s="187">
        <f t="shared" si="4"/>
        <v>0</v>
      </c>
      <c r="F6" s="186">
        <f t="shared" si="5"/>
        <v>0</v>
      </c>
      <c r="G6" s="187">
        <f t="shared" si="6"/>
        <v>0</v>
      </c>
      <c r="H6" s="186">
        <f t="shared" si="7"/>
        <v>0</v>
      </c>
      <c r="I6" s="187">
        <f t="shared" si="8"/>
        <v>1</v>
      </c>
      <c r="J6" s="186">
        <f t="shared" si="9"/>
        <v>0</v>
      </c>
      <c r="K6" s="187"/>
      <c r="L6" s="189">
        <v>2</v>
      </c>
      <c r="M6" s="189">
        <f t="shared" si="10"/>
        <v>5</v>
      </c>
      <c r="O6" s="190">
        <f>IF($A$2="Pounds",P6,Q6)</f>
        <v>32.5</v>
      </c>
      <c r="P6" s="190">
        <v>70</v>
      </c>
      <c r="Q6" s="190">
        <v>32.5</v>
      </c>
    </row>
    <row r="7" spans="1:17" ht="12.75" customHeight="1" x14ac:dyDescent="0.2">
      <c r="A7" s="191">
        <f t="shared" si="0"/>
        <v>42.5</v>
      </c>
      <c r="B7" s="186">
        <f t="shared" si="1"/>
        <v>0</v>
      </c>
      <c r="C7" s="187">
        <f t="shared" si="2"/>
        <v>0</v>
      </c>
      <c r="D7" s="186">
        <f t="shared" si="3"/>
        <v>0</v>
      </c>
      <c r="E7" s="187">
        <f t="shared" si="4"/>
        <v>0</v>
      </c>
      <c r="F7" s="186">
        <f t="shared" si="5"/>
        <v>0</v>
      </c>
      <c r="G7" s="187">
        <f t="shared" si="6"/>
        <v>0</v>
      </c>
      <c r="H7" s="186">
        <f t="shared" si="7"/>
        <v>0</v>
      </c>
      <c r="I7" s="187">
        <f t="shared" si="8"/>
        <v>1</v>
      </c>
      <c r="J7" s="186">
        <f t="shared" si="9"/>
        <v>1</v>
      </c>
      <c r="K7" s="187"/>
      <c r="L7" s="189">
        <v>3</v>
      </c>
      <c r="M7" s="189">
        <f t="shared" si="10"/>
        <v>7.5</v>
      </c>
      <c r="O7" s="190">
        <v>35</v>
      </c>
      <c r="P7" s="190">
        <v>75</v>
      </c>
      <c r="Q7" s="190">
        <v>35</v>
      </c>
    </row>
    <row r="8" spans="1:17" ht="12.75" customHeight="1" x14ac:dyDescent="0.2">
      <c r="A8" s="191">
        <f t="shared" si="0"/>
        <v>45</v>
      </c>
      <c r="B8" s="186">
        <f t="shared" si="1"/>
        <v>0</v>
      </c>
      <c r="C8" s="187">
        <f t="shared" si="2"/>
        <v>0</v>
      </c>
      <c r="D8" s="186">
        <f t="shared" si="3"/>
        <v>0</v>
      </c>
      <c r="E8" s="187">
        <f t="shared" si="4"/>
        <v>0</v>
      </c>
      <c r="F8" s="186">
        <f t="shared" si="5"/>
        <v>0</v>
      </c>
      <c r="G8" s="187">
        <f t="shared" si="6"/>
        <v>0</v>
      </c>
      <c r="H8" s="186">
        <f t="shared" si="7"/>
        <v>1</v>
      </c>
      <c r="I8" s="187">
        <f t="shared" si="8"/>
        <v>0</v>
      </c>
      <c r="J8" s="186">
        <f t="shared" si="9"/>
        <v>0</v>
      </c>
      <c r="K8" s="187"/>
      <c r="L8" s="189">
        <v>4</v>
      </c>
      <c r="M8" s="189">
        <f t="shared" si="10"/>
        <v>10</v>
      </c>
    </row>
    <row r="9" spans="1:17" ht="12.75" customHeight="1" x14ac:dyDescent="0.2">
      <c r="A9" s="191">
        <f t="shared" si="0"/>
        <v>47.5</v>
      </c>
      <c r="B9" s="186">
        <f t="shared" si="1"/>
        <v>0</v>
      </c>
      <c r="C9" s="187">
        <f t="shared" si="2"/>
        <v>0</v>
      </c>
      <c r="D9" s="186">
        <f t="shared" si="3"/>
        <v>0</v>
      </c>
      <c r="E9" s="187">
        <f t="shared" si="4"/>
        <v>0</v>
      </c>
      <c r="F9" s="186">
        <f t="shared" si="5"/>
        <v>0</v>
      </c>
      <c r="G9" s="187">
        <f t="shared" si="6"/>
        <v>0</v>
      </c>
      <c r="H9" s="186">
        <f t="shared" si="7"/>
        <v>1</v>
      </c>
      <c r="I9" s="187">
        <f t="shared" si="8"/>
        <v>0</v>
      </c>
      <c r="J9" s="186">
        <f t="shared" si="9"/>
        <v>1</v>
      </c>
      <c r="K9" s="187"/>
      <c r="L9" s="189">
        <v>5</v>
      </c>
      <c r="M9" s="189">
        <f t="shared" si="10"/>
        <v>12.5</v>
      </c>
    </row>
    <row r="10" spans="1:17" ht="12.75" customHeight="1" x14ac:dyDescent="0.2">
      <c r="A10" s="191">
        <f t="shared" si="0"/>
        <v>50</v>
      </c>
      <c r="B10" s="186">
        <f t="shared" si="1"/>
        <v>0</v>
      </c>
      <c r="C10" s="187">
        <f t="shared" si="2"/>
        <v>0</v>
      </c>
      <c r="D10" s="186">
        <f t="shared" si="3"/>
        <v>0</v>
      </c>
      <c r="E10" s="187">
        <f t="shared" si="4"/>
        <v>0</v>
      </c>
      <c r="F10" s="186">
        <f t="shared" si="5"/>
        <v>0</v>
      </c>
      <c r="G10" s="187">
        <f t="shared" si="6"/>
        <v>0</v>
      </c>
      <c r="H10" s="186">
        <f t="shared" si="7"/>
        <v>1</v>
      </c>
      <c r="I10" s="187">
        <f t="shared" si="8"/>
        <v>1</v>
      </c>
      <c r="J10" s="186">
        <f t="shared" si="9"/>
        <v>0</v>
      </c>
      <c r="K10" s="187"/>
      <c r="L10" s="189">
        <v>6</v>
      </c>
      <c r="M10" s="189">
        <f t="shared" si="10"/>
        <v>15</v>
      </c>
    </row>
    <row r="11" spans="1:17" ht="12.75" customHeight="1" x14ac:dyDescent="0.2">
      <c r="A11" s="191">
        <f t="shared" si="0"/>
        <v>52.5</v>
      </c>
      <c r="B11" s="186">
        <f t="shared" si="1"/>
        <v>0</v>
      </c>
      <c r="C11" s="187">
        <f t="shared" si="2"/>
        <v>0</v>
      </c>
      <c r="D11" s="186">
        <f t="shared" si="3"/>
        <v>0</v>
      </c>
      <c r="E11" s="187">
        <f t="shared" si="4"/>
        <v>0</v>
      </c>
      <c r="F11" s="186">
        <f t="shared" si="5"/>
        <v>0</v>
      </c>
      <c r="G11" s="187">
        <f t="shared" si="6"/>
        <v>0</v>
      </c>
      <c r="H11" s="186">
        <f t="shared" si="7"/>
        <v>1</v>
      </c>
      <c r="I11" s="187">
        <f t="shared" si="8"/>
        <v>1</v>
      </c>
      <c r="J11" s="186">
        <f t="shared" si="9"/>
        <v>1</v>
      </c>
      <c r="K11" s="187"/>
      <c r="L11" s="189">
        <v>7</v>
      </c>
      <c r="M11" s="189">
        <f t="shared" si="10"/>
        <v>17.5</v>
      </c>
    </row>
    <row r="12" spans="1:17" ht="12.75" customHeight="1" x14ac:dyDescent="0.2">
      <c r="A12" s="191">
        <f t="shared" si="0"/>
        <v>55</v>
      </c>
      <c r="B12" s="186">
        <f t="shared" si="1"/>
        <v>0</v>
      </c>
      <c r="C12" s="187">
        <f t="shared" si="2"/>
        <v>0</v>
      </c>
      <c r="D12" s="186">
        <f t="shared" si="3"/>
        <v>0</v>
      </c>
      <c r="E12" s="187">
        <f t="shared" si="4"/>
        <v>0</v>
      </c>
      <c r="F12" s="186">
        <f t="shared" si="5"/>
        <v>0</v>
      </c>
      <c r="G12" s="187">
        <f t="shared" si="6"/>
        <v>1</v>
      </c>
      <c r="H12" s="186">
        <f t="shared" si="7"/>
        <v>0</v>
      </c>
      <c r="I12" s="187">
        <f t="shared" si="8"/>
        <v>0</v>
      </c>
      <c r="J12" s="186">
        <f t="shared" si="9"/>
        <v>0</v>
      </c>
      <c r="K12" s="187"/>
      <c r="L12" s="189">
        <v>8</v>
      </c>
      <c r="M12" s="189">
        <f t="shared" si="10"/>
        <v>20</v>
      </c>
    </row>
    <row r="13" spans="1:17" ht="12.75" customHeight="1" x14ac:dyDescent="0.2">
      <c r="A13" s="191">
        <f t="shared" si="0"/>
        <v>57.5</v>
      </c>
      <c r="B13" s="186">
        <f t="shared" si="1"/>
        <v>0</v>
      </c>
      <c r="C13" s="187">
        <f t="shared" si="2"/>
        <v>0</v>
      </c>
      <c r="D13" s="186">
        <f t="shared" si="3"/>
        <v>0</v>
      </c>
      <c r="E13" s="187">
        <f t="shared" si="4"/>
        <v>0</v>
      </c>
      <c r="F13" s="186">
        <f t="shared" si="5"/>
        <v>0</v>
      </c>
      <c r="G13" s="187">
        <f t="shared" si="6"/>
        <v>1</v>
      </c>
      <c r="H13" s="186">
        <f t="shared" si="7"/>
        <v>0</v>
      </c>
      <c r="I13" s="187">
        <f t="shared" si="8"/>
        <v>0</v>
      </c>
      <c r="J13" s="186">
        <f t="shared" si="9"/>
        <v>1</v>
      </c>
      <c r="K13" s="187"/>
      <c r="L13" s="189">
        <f t="shared" ref="L13:L76" si="11">L12+1</f>
        <v>9</v>
      </c>
      <c r="M13" s="189">
        <f t="shared" si="10"/>
        <v>22.5</v>
      </c>
    </row>
    <row r="14" spans="1:17" ht="12.75" customHeight="1" x14ac:dyDescent="0.2">
      <c r="A14" s="191">
        <f t="shared" si="0"/>
        <v>60</v>
      </c>
      <c r="B14" s="186">
        <f t="shared" si="1"/>
        <v>0</v>
      </c>
      <c r="C14" s="187">
        <f t="shared" si="2"/>
        <v>0</v>
      </c>
      <c r="D14" s="186">
        <f t="shared" si="3"/>
        <v>0</v>
      </c>
      <c r="E14" s="187">
        <f t="shared" si="4"/>
        <v>0</v>
      </c>
      <c r="F14" s="186">
        <f t="shared" si="5"/>
        <v>0</v>
      </c>
      <c r="G14" s="187">
        <f t="shared" si="6"/>
        <v>1</v>
      </c>
      <c r="H14" s="186">
        <f t="shared" si="7"/>
        <v>0</v>
      </c>
      <c r="I14" s="187">
        <f t="shared" si="8"/>
        <v>1</v>
      </c>
      <c r="J14" s="186">
        <f t="shared" si="9"/>
        <v>0</v>
      </c>
      <c r="K14" s="187"/>
      <c r="L14" s="189">
        <f t="shared" si="11"/>
        <v>10</v>
      </c>
      <c r="M14" s="189">
        <f t="shared" si="10"/>
        <v>25</v>
      </c>
    </row>
    <row r="15" spans="1:17" ht="12.75" customHeight="1" x14ac:dyDescent="0.2">
      <c r="A15" s="191">
        <f t="shared" si="0"/>
        <v>62.5</v>
      </c>
      <c r="B15" s="186">
        <f t="shared" si="1"/>
        <v>0</v>
      </c>
      <c r="C15" s="187">
        <f t="shared" si="2"/>
        <v>0</v>
      </c>
      <c r="D15" s="186">
        <f t="shared" si="3"/>
        <v>0</v>
      </c>
      <c r="E15" s="187">
        <f t="shared" si="4"/>
        <v>0</v>
      </c>
      <c r="F15" s="186">
        <f t="shared" si="5"/>
        <v>0</v>
      </c>
      <c r="G15" s="187">
        <f t="shared" si="6"/>
        <v>1</v>
      </c>
      <c r="H15" s="186">
        <f t="shared" si="7"/>
        <v>0</v>
      </c>
      <c r="I15" s="187">
        <f t="shared" si="8"/>
        <v>1</v>
      </c>
      <c r="J15" s="186">
        <f t="shared" si="9"/>
        <v>1</v>
      </c>
      <c r="K15" s="187"/>
      <c r="L15" s="189">
        <f t="shared" si="11"/>
        <v>11</v>
      </c>
      <c r="M15" s="189">
        <f t="shared" si="10"/>
        <v>27.5</v>
      </c>
    </row>
    <row r="16" spans="1:17" ht="12.75" customHeight="1" x14ac:dyDescent="0.2">
      <c r="A16" s="191">
        <f t="shared" si="0"/>
        <v>65</v>
      </c>
      <c r="B16" s="186">
        <f t="shared" si="1"/>
        <v>0</v>
      </c>
      <c r="C16" s="187">
        <f t="shared" si="2"/>
        <v>0</v>
      </c>
      <c r="D16" s="186">
        <f t="shared" si="3"/>
        <v>0</v>
      </c>
      <c r="E16" s="187">
        <f t="shared" si="4"/>
        <v>0</v>
      </c>
      <c r="F16" s="186">
        <f t="shared" si="5"/>
        <v>1</v>
      </c>
      <c r="G16" s="187">
        <f t="shared" si="6"/>
        <v>0</v>
      </c>
      <c r="H16" s="186">
        <f t="shared" si="7"/>
        <v>0</v>
      </c>
      <c r="I16" s="187">
        <f t="shared" si="8"/>
        <v>0</v>
      </c>
      <c r="J16" s="186">
        <f t="shared" si="9"/>
        <v>0</v>
      </c>
      <c r="K16" s="187"/>
      <c r="L16" s="189">
        <f t="shared" si="11"/>
        <v>12</v>
      </c>
      <c r="M16" s="189">
        <f t="shared" si="10"/>
        <v>30</v>
      </c>
    </row>
    <row r="17" spans="1:13" ht="12.75" customHeight="1" x14ac:dyDescent="0.2">
      <c r="A17" s="191">
        <f t="shared" si="0"/>
        <v>67.5</v>
      </c>
      <c r="B17" s="186">
        <f t="shared" si="1"/>
        <v>0</v>
      </c>
      <c r="C17" s="187">
        <f t="shared" si="2"/>
        <v>0</v>
      </c>
      <c r="D17" s="186">
        <f t="shared" si="3"/>
        <v>0</v>
      </c>
      <c r="E17" s="187">
        <f t="shared" si="4"/>
        <v>0</v>
      </c>
      <c r="F17" s="186">
        <f t="shared" si="5"/>
        <v>1</v>
      </c>
      <c r="G17" s="187">
        <f t="shared" si="6"/>
        <v>0</v>
      </c>
      <c r="H17" s="186">
        <f t="shared" si="7"/>
        <v>0</v>
      </c>
      <c r="I17" s="187">
        <f t="shared" si="8"/>
        <v>0</v>
      </c>
      <c r="J17" s="186">
        <f t="shared" si="9"/>
        <v>1</v>
      </c>
      <c r="K17" s="187"/>
      <c r="L17" s="189">
        <f t="shared" si="11"/>
        <v>13</v>
      </c>
      <c r="M17" s="189">
        <f t="shared" si="10"/>
        <v>32.5</v>
      </c>
    </row>
    <row r="18" spans="1:13" ht="12.75" customHeight="1" x14ac:dyDescent="0.2">
      <c r="A18" s="191">
        <f t="shared" si="0"/>
        <v>70</v>
      </c>
      <c r="B18" s="186">
        <f t="shared" si="1"/>
        <v>0</v>
      </c>
      <c r="C18" s="187">
        <f t="shared" si="2"/>
        <v>0</v>
      </c>
      <c r="D18" s="186">
        <f t="shared" si="3"/>
        <v>0</v>
      </c>
      <c r="E18" s="187">
        <f t="shared" si="4"/>
        <v>0</v>
      </c>
      <c r="F18" s="186">
        <f t="shared" si="5"/>
        <v>1</v>
      </c>
      <c r="G18" s="187">
        <f t="shared" si="6"/>
        <v>0</v>
      </c>
      <c r="H18" s="186">
        <f t="shared" si="7"/>
        <v>0</v>
      </c>
      <c r="I18" s="187">
        <f t="shared" si="8"/>
        <v>1</v>
      </c>
      <c r="J18" s="186">
        <f t="shared" si="9"/>
        <v>0</v>
      </c>
      <c r="K18" s="187"/>
      <c r="L18" s="189">
        <f t="shared" si="11"/>
        <v>14</v>
      </c>
      <c r="M18" s="189">
        <f t="shared" si="10"/>
        <v>35</v>
      </c>
    </row>
    <row r="19" spans="1:13" ht="12.75" customHeight="1" x14ac:dyDescent="0.2">
      <c r="A19" s="191">
        <f t="shared" si="0"/>
        <v>72.5</v>
      </c>
      <c r="B19" s="186">
        <f t="shared" si="1"/>
        <v>0</v>
      </c>
      <c r="C19" s="187">
        <f t="shared" si="2"/>
        <v>0</v>
      </c>
      <c r="D19" s="186">
        <f t="shared" si="3"/>
        <v>0</v>
      </c>
      <c r="E19" s="187">
        <f t="shared" si="4"/>
        <v>0</v>
      </c>
      <c r="F19" s="186">
        <f t="shared" si="5"/>
        <v>1</v>
      </c>
      <c r="G19" s="187">
        <f t="shared" si="6"/>
        <v>0</v>
      </c>
      <c r="H19" s="186">
        <f t="shared" si="7"/>
        <v>0</v>
      </c>
      <c r="I19" s="187">
        <f t="shared" si="8"/>
        <v>1</v>
      </c>
      <c r="J19" s="186">
        <f t="shared" si="9"/>
        <v>1</v>
      </c>
      <c r="K19" s="187"/>
      <c r="L19" s="189">
        <f t="shared" si="11"/>
        <v>15</v>
      </c>
      <c r="M19" s="189">
        <f t="shared" si="10"/>
        <v>37.5</v>
      </c>
    </row>
    <row r="20" spans="1:13" ht="12.75" customHeight="1" x14ac:dyDescent="0.2">
      <c r="A20" s="191">
        <f t="shared" si="0"/>
        <v>75</v>
      </c>
      <c r="B20" s="186">
        <f t="shared" si="1"/>
        <v>0</v>
      </c>
      <c r="C20" s="187">
        <f t="shared" si="2"/>
        <v>0</v>
      </c>
      <c r="D20" s="186">
        <f t="shared" si="3"/>
        <v>0</v>
      </c>
      <c r="E20" s="187">
        <f t="shared" si="4"/>
        <v>1</v>
      </c>
      <c r="F20" s="186">
        <f t="shared" si="5"/>
        <v>0</v>
      </c>
      <c r="G20" s="187">
        <f t="shared" si="6"/>
        <v>0</v>
      </c>
      <c r="H20" s="186">
        <f t="shared" si="7"/>
        <v>0</v>
      </c>
      <c r="I20" s="187">
        <f t="shared" si="8"/>
        <v>0</v>
      </c>
      <c r="J20" s="186">
        <f t="shared" si="9"/>
        <v>0</v>
      </c>
      <c r="K20" s="187"/>
      <c r="L20" s="189">
        <f t="shared" si="11"/>
        <v>16</v>
      </c>
      <c r="M20" s="189">
        <f t="shared" si="10"/>
        <v>40</v>
      </c>
    </row>
    <row r="21" spans="1:13" ht="12.75" customHeight="1" x14ac:dyDescent="0.2">
      <c r="A21" s="191">
        <f t="shared" si="0"/>
        <v>77.5</v>
      </c>
      <c r="B21" s="186">
        <f t="shared" si="1"/>
        <v>0</v>
      </c>
      <c r="C21" s="187">
        <f t="shared" si="2"/>
        <v>0</v>
      </c>
      <c r="D21" s="186">
        <f t="shared" si="3"/>
        <v>0</v>
      </c>
      <c r="E21" s="187">
        <f t="shared" si="4"/>
        <v>1</v>
      </c>
      <c r="F21" s="186">
        <f t="shared" si="5"/>
        <v>0</v>
      </c>
      <c r="G21" s="187">
        <f t="shared" si="6"/>
        <v>0</v>
      </c>
      <c r="H21" s="186">
        <f t="shared" si="7"/>
        <v>0</v>
      </c>
      <c r="I21" s="187">
        <f t="shared" si="8"/>
        <v>0</v>
      </c>
      <c r="J21" s="186">
        <f t="shared" si="9"/>
        <v>1</v>
      </c>
      <c r="K21" s="187"/>
      <c r="L21" s="189">
        <f t="shared" si="11"/>
        <v>17</v>
      </c>
      <c r="M21" s="189">
        <f t="shared" si="10"/>
        <v>42.5</v>
      </c>
    </row>
    <row r="22" spans="1:13" ht="12.75" customHeight="1" x14ac:dyDescent="0.2">
      <c r="A22" s="191">
        <f t="shared" si="0"/>
        <v>80</v>
      </c>
      <c r="B22" s="186">
        <f t="shared" si="1"/>
        <v>0</v>
      </c>
      <c r="C22" s="187">
        <f t="shared" si="2"/>
        <v>0</v>
      </c>
      <c r="D22" s="186">
        <f t="shared" si="3"/>
        <v>0</v>
      </c>
      <c r="E22" s="187">
        <f t="shared" si="4"/>
        <v>1</v>
      </c>
      <c r="F22" s="186">
        <f t="shared" si="5"/>
        <v>0</v>
      </c>
      <c r="G22" s="187">
        <f t="shared" si="6"/>
        <v>0</v>
      </c>
      <c r="H22" s="186">
        <f t="shared" si="7"/>
        <v>0</v>
      </c>
      <c r="I22" s="187">
        <f t="shared" si="8"/>
        <v>1</v>
      </c>
      <c r="J22" s="186">
        <f t="shared" si="9"/>
        <v>0</v>
      </c>
      <c r="K22" s="187"/>
      <c r="L22" s="189">
        <f t="shared" si="11"/>
        <v>18</v>
      </c>
      <c r="M22" s="189">
        <f t="shared" si="10"/>
        <v>45</v>
      </c>
    </row>
    <row r="23" spans="1:13" ht="12.75" customHeight="1" x14ac:dyDescent="0.2">
      <c r="A23" s="191">
        <f t="shared" si="0"/>
        <v>82.5</v>
      </c>
      <c r="B23" s="186">
        <f t="shared" si="1"/>
        <v>0</v>
      </c>
      <c r="C23" s="187">
        <f t="shared" si="2"/>
        <v>0</v>
      </c>
      <c r="D23" s="186">
        <f t="shared" si="3"/>
        <v>0</v>
      </c>
      <c r="E23" s="187">
        <f t="shared" si="4"/>
        <v>1</v>
      </c>
      <c r="F23" s="186">
        <f t="shared" si="5"/>
        <v>0</v>
      </c>
      <c r="G23" s="187">
        <f t="shared" si="6"/>
        <v>0</v>
      </c>
      <c r="H23" s="186">
        <f t="shared" si="7"/>
        <v>0</v>
      </c>
      <c r="I23" s="187">
        <f t="shared" si="8"/>
        <v>1</v>
      </c>
      <c r="J23" s="186">
        <f t="shared" si="9"/>
        <v>1</v>
      </c>
      <c r="K23" s="187"/>
      <c r="L23" s="189">
        <f t="shared" si="11"/>
        <v>19</v>
      </c>
      <c r="M23" s="189">
        <f t="shared" si="10"/>
        <v>47.5</v>
      </c>
    </row>
    <row r="24" spans="1:13" ht="12.75" customHeight="1" x14ac:dyDescent="0.2">
      <c r="A24" s="191">
        <f t="shared" si="0"/>
        <v>85</v>
      </c>
      <c r="B24" s="186">
        <f t="shared" si="1"/>
        <v>0</v>
      </c>
      <c r="C24" s="187">
        <f t="shared" si="2"/>
        <v>0</v>
      </c>
      <c r="D24" s="186">
        <f t="shared" si="3"/>
        <v>0</v>
      </c>
      <c r="E24" s="187">
        <f t="shared" si="4"/>
        <v>1</v>
      </c>
      <c r="F24" s="186">
        <f t="shared" si="5"/>
        <v>0</v>
      </c>
      <c r="G24" s="187">
        <f t="shared" si="6"/>
        <v>0</v>
      </c>
      <c r="H24" s="186">
        <f t="shared" si="7"/>
        <v>1</v>
      </c>
      <c r="I24" s="187">
        <f t="shared" si="8"/>
        <v>0</v>
      </c>
      <c r="J24" s="186">
        <f t="shared" si="9"/>
        <v>0</v>
      </c>
      <c r="K24" s="187"/>
      <c r="L24" s="189">
        <f t="shared" si="11"/>
        <v>20</v>
      </c>
      <c r="M24" s="189">
        <f t="shared" si="10"/>
        <v>50</v>
      </c>
    </row>
    <row r="25" spans="1:13" ht="12.75" customHeight="1" x14ac:dyDescent="0.2">
      <c r="A25" s="191">
        <f t="shared" si="0"/>
        <v>87.5</v>
      </c>
      <c r="B25" s="186">
        <f t="shared" si="1"/>
        <v>0</v>
      </c>
      <c r="C25" s="187">
        <f t="shared" si="2"/>
        <v>0</v>
      </c>
      <c r="D25" s="186">
        <f t="shared" si="3"/>
        <v>0</v>
      </c>
      <c r="E25" s="187">
        <f t="shared" si="4"/>
        <v>1</v>
      </c>
      <c r="F25" s="186">
        <f t="shared" si="5"/>
        <v>0</v>
      </c>
      <c r="G25" s="187">
        <f t="shared" si="6"/>
        <v>0</v>
      </c>
      <c r="H25" s="186">
        <f t="shared" si="7"/>
        <v>1</v>
      </c>
      <c r="I25" s="187">
        <f t="shared" si="8"/>
        <v>0</v>
      </c>
      <c r="J25" s="186">
        <f t="shared" si="9"/>
        <v>1</v>
      </c>
      <c r="K25" s="187"/>
      <c r="L25" s="189">
        <f t="shared" si="11"/>
        <v>21</v>
      </c>
      <c r="M25" s="189">
        <f t="shared" si="10"/>
        <v>52.5</v>
      </c>
    </row>
    <row r="26" spans="1:13" ht="12.75" customHeight="1" x14ac:dyDescent="0.2">
      <c r="A26" s="191">
        <f t="shared" si="0"/>
        <v>90</v>
      </c>
      <c r="B26" s="186">
        <f t="shared" si="1"/>
        <v>0</v>
      </c>
      <c r="C26" s="187">
        <f t="shared" si="2"/>
        <v>0</v>
      </c>
      <c r="D26" s="186">
        <f t="shared" si="3"/>
        <v>0</v>
      </c>
      <c r="E26" s="187">
        <f t="shared" si="4"/>
        <v>1</v>
      </c>
      <c r="F26" s="186">
        <f t="shared" si="5"/>
        <v>0</v>
      </c>
      <c r="G26" s="187">
        <f t="shared" si="6"/>
        <v>0</v>
      </c>
      <c r="H26" s="186">
        <f t="shared" si="7"/>
        <v>1</v>
      </c>
      <c r="I26" s="187">
        <f t="shared" si="8"/>
        <v>1</v>
      </c>
      <c r="J26" s="186">
        <f t="shared" si="9"/>
        <v>0</v>
      </c>
      <c r="K26" s="187"/>
      <c r="L26" s="189">
        <f t="shared" si="11"/>
        <v>22</v>
      </c>
      <c r="M26" s="189">
        <f t="shared" si="10"/>
        <v>55</v>
      </c>
    </row>
    <row r="27" spans="1:13" ht="12.75" customHeight="1" x14ac:dyDescent="0.2">
      <c r="A27" s="191">
        <f t="shared" si="0"/>
        <v>92.5</v>
      </c>
      <c r="B27" s="186">
        <f t="shared" si="1"/>
        <v>0</v>
      </c>
      <c r="C27" s="187">
        <f t="shared" si="2"/>
        <v>0</v>
      </c>
      <c r="D27" s="186">
        <f t="shared" si="3"/>
        <v>0</v>
      </c>
      <c r="E27" s="187">
        <f t="shared" si="4"/>
        <v>1</v>
      </c>
      <c r="F27" s="186">
        <f t="shared" si="5"/>
        <v>0</v>
      </c>
      <c r="G27" s="187">
        <f t="shared" si="6"/>
        <v>0</v>
      </c>
      <c r="H27" s="186">
        <f t="shared" si="7"/>
        <v>1</v>
      </c>
      <c r="I27" s="187">
        <f t="shared" si="8"/>
        <v>1</v>
      </c>
      <c r="J27" s="186">
        <f t="shared" si="9"/>
        <v>1</v>
      </c>
      <c r="K27" s="187"/>
      <c r="L27" s="189">
        <f t="shared" si="11"/>
        <v>23</v>
      </c>
      <c r="M27" s="189">
        <f t="shared" si="10"/>
        <v>57.5</v>
      </c>
    </row>
    <row r="28" spans="1:13" ht="12.75" customHeight="1" x14ac:dyDescent="0.2">
      <c r="A28" s="191">
        <f t="shared" si="0"/>
        <v>95</v>
      </c>
      <c r="B28" s="186">
        <f t="shared" si="1"/>
        <v>0</v>
      </c>
      <c r="C28" s="187">
        <f t="shared" si="2"/>
        <v>0</v>
      </c>
      <c r="D28" s="186">
        <f t="shared" si="3"/>
        <v>0</v>
      </c>
      <c r="E28" s="187">
        <f t="shared" si="4"/>
        <v>1</v>
      </c>
      <c r="F28" s="186">
        <f t="shared" si="5"/>
        <v>0</v>
      </c>
      <c r="G28" s="187">
        <f t="shared" si="6"/>
        <v>1</v>
      </c>
      <c r="H28" s="186">
        <f t="shared" si="7"/>
        <v>0</v>
      </c>
      <c r="I28" s="187">
        <f t="shared" si="8"/>
        <v>0</v>
      </c>
      <c r="J28" s="186">
        <f t="shared" si="9"/>
        <v>0</v>
      </c>
      <c r="K28" s="187"/>
      <c r="L28" s="189">
        <f t="shared" si="11"/>
        <v>24</v>
      </c>
      <c r="M28" s="189">
        <f t="shared" si="10"/>
        <v>60</v>
      </c>
    </row>
    <row r="29" spans="1:13" ht="12.75" customHeight="1" x14ac:dyDescent="0.2">
      <c r="A29" s="191">
        <f t="shared" si="0"/>
        <v>97.5</v>
      </c>
      <c r="B29" s="186">
        <f t="shared" si="1"/>
        <v>0</v>
      </c>
      <c r="C29" s="187">
        <f t="shared" si="2"/>
        <v>0</v>
      </c>
      <c r="D29" s="186">
        <f t="shared" si="3"/>
        <v>0</v>
      </c>
      <c r="E29" s="187">
        <f t="shared" si="4"/>
        <v>1</v>
      </c>
      <c r="F29" s="186">
        <f t="shared" si="5"/>
        <v>0</v>
      </c>
      <c r="G29" s="187">
        <f t="shared" si="6"/>
        <v>1</v>
      </c>
      <c r="H29" s="186">
        <f t="shared" si="7"/>
        <v>0</v>
      </c>
      <c r="I29" s="187">
        <f t="shared" si="8"/>
        <v>0</v>
      </c>
      <c r="J29" s="186">
        <f t="shared" si="9"/>
        <v>1</v>
      </c>
      <c r="K29" s="187"/>
      <c r="L29" s="189">
        <f t="shared" si="11"/>
        <v>25</v>
      </c>
      <c r="M29" s="189">
        <f t="shared" si="10"/>
        <v>62.5</v>
      </c>
    </row>
    <row r="30" spans="1:13" ht="12.75" customHeight="1" x14ac:dyDescent="0.2">
      <c r="A30" s="191">
        <f t="shared" si="0"/>
        <v>100</v>
      </c>
      <c r="B30" s="186">
        <f t="shared" si="1"/>
        <v>0</v>
      </c>
      <c r="C30" s="187">
        <f t="shared" si="2"/>
        <v>0</v>
      </c>
      <c r="D30" s="186">
        <f t="shared" si="3"/>
        <v>0</v>
      </c>
      <c r="E30" s="187">
        <f t="shared" si="4"/>
        <v>1</v>
      </c>
      <c r="F30" s="186">
        <f t="shared" si="5"/>
        <v>0</v>
      </c>
      <c r="G30" s="187">
        <f t="shared" si="6"/>
        <v>1</v>
      </c>
      <c r="H30" s="186">
        <f t="shared" si="7"/>
        <v>0</v>
      </c>
      <c r="I30" s="187">
        <f t="shared" si="8"/>
        <v>1</v>
      </c>
      <c r="J30" s="186">
        <f t="shared" si="9"/>
        <v>0</v>
      </c>
      <c r="K30" s="187"/>
      <c r="L30" s="189">
        <f t="shared" si="11"/>
        <v>26</v>
      </c>
      <c r="M30" s="189">
        <f t="shared" si="10"/>
        <v>65</v>
      </c>
    </row>
    <row r="31" spans="1:13" ht="12.75" customHeight="1" x14ac:dyDescent="0.2">
      <c r="A31" s="191">
        <f t="shared" si="0"/>
        <v>102.5</v>
      </c>
      <c r="B31" s="186">
        <f t="shared" si="1"/>
        <v>0</v>
      </c>
      <c r="C31" s="187">
        <f t="shared" si="2"/>
        <v>0</v>
      </c>
      <c r="D31" s="186">
        <f t="shared" si="3"/>
        <v>0</v>
      </c>
      <c r="E31" s="187">
        <f t="shared" si="4"/>
        <v>1</v>
      </c>
      <c r="F31" s="186">
        <f t="shared" si="5"/>
        <v>0</v>
      </c>
      <c r="G31" s="187">
        <f t="shared" si="6"/>
        <v>1</v>
      </c>
      <c r="H31" s="186">
        <f t="shared" si="7"/>
        <v>0</v>
      </c>
      <c r="I31" s="187">
        <f t="shared" si="8"/>
        <v>1</v>
      </c>
      <c r="J31" s="186">
        <f t="shared" si="9"/>
        <v>1</v>
      </c>
      <c r="K31" s="187"/>
      <c r="L31" s="189">
        <f t="shared" si="11"/>
        <v>27</v>
      </c>
      <c r="M31" s="189">
        <f t="shared" si="10"/>
        <v>67.5</v>
      </c>
    </row>
    <row r="32" spans="1:13" ht="12.75" customHeight="1" x14ac:dyDescent="0.2">
      <c r="A32" s="191">
        <f t="shared" si="0"/>
        <v>105</v>
      </c>
      <c r="B32" s="186">
        <f t="shared" si="1"/>
        <v>0</v>
      </c>
      <c r="C32" s="187">
        <f t="shared" si="2"/>
        <v>0</v>
      </c>
      <c r="D32" s="186">
        <f t="shared" si="3"/>
        <v>0</v>
      </c>
      <c r="E32" s="187">
        <f t="shared" si="4"/>
        <v>1</v>
      </c>
      <c r="F32" s="186">
        <f t="shared" si="5"/>
        <v>1</v>
      </c>
      <c r="G32" s="187">
        <f t="shared" si="6"/>
        <v>0</v>
      </c>
      <c r="H32" s="186">
        <f t="shared" si="7"/>
        <v>0</v>
      </c>
      <c r="I32" s="187">
        <f t="shared" si="8"/>
        <v>0</v>
      </c>
      <c r="J32" s="186">
        <f t="shared" si="9"/>
        <v>0</v>
      </c>
      <c r="K32" s="187"/>
      <c r="L32" s="189">
        <f t="shared" si="11"/>
        <v>28</v>
      </c>
      <c r="M32" s="189">
        <f t="shared" si="10"/>
        <v>70</v>
      </c>
    </row>
    <row r="33" spans="1:13" ht="12.75" customHeight="1" x14ac:dyDescent="0.2">
      <c r="A33" s="191">
        <f t="shared" si="0"/>
        <v>107.5</v>
      </c>
      <c r="B33" s="186">
        <f t="shared" si="1"/>
        <v>0</v>
      </c>
      <c r="C33" s="187">
        <f t="shared" si="2"/>
        <v>0</v>
      </c>
      <c r="D33" s="186">
        <f t="shared" si="3"/>
        <v>0</v>
      </c>
      <c r="E33" s="187">
        <f t="shared" si="4"/>
        <v>1</v>
      </c>
      <c r="F33" s="186">
        <f t="shared" si="5"/>
        <v>1</v>
      </c>
      <c r="G33" s="187">
        <f t="shared" si="6"/>
        <v>0</v>
      </c>
      <c r="H33" s="186">
        <f t="shared" si="7"/>
        <v>0</v>
      </c>
      <c r="I33" s="187">
        <f t="shared" si="8"/>
        <v>0</v>
      </c>
      <c r="J33" s="186">
        <f t="shared" si="9"/>
        <v>1</v>
      </c>
      <c r="K33" s="187"/>
      <c r="L33" s="189">
        <f t="shared" si="11"/>
        <v>29</v>
      </c>
      <c r="M33" s="189">
        <f t="shared" si="10"/>
        <v>72.5</v>
      </c>
    </row>
    <row r="34" spans="1:13" ht="12.75" customHeight="1" x14ac:dyDescent="0.2">
      <c r="A34" s="191">
        <f t="shared" si="0"/>
        <v>110</v>
      </c>
      <c r="B34" s="186">
        <f t="shared" si="1"/>
        <v>0</v>
      </c>
      <c r="C34" s="187">
        <f t="shared" si="2"/>
        <v>0</v>
      </c>
      <c r="D34" s="186">
        <f t="shared" si="3"/>
        <v>0</v>
      </c>
      <c r="E34" s="187">
        <f t="shared" si="4"/>
        <v>1</v>
      </c>
      <c r="F34" s="186">
        <f t="shared" si="5"/>
        <v>1</v>
      </c>
      <c r="G34" s="187">
        <f t="shared" si="6"/>
        <v>0</v>
      </c>
      <c r="H34" s="186">
        <f t="shared" si="7"/>
        <v>0</v>
      </c>
      <c r="I34" s="187">
        <f t="shared" si="8"/>
        <v>1</v>
      </c>
      <c r="J34" s="186">
        <f t="shared" si="9"/>
        <v>0</v>
      </c>
      <c r="K34" s="187"/>
      <c r="L34" s="189">
        <f t="shared" si="11"/>
        <v>30</v>
      </c>
      <c r="M34" s="189">
        <f t="shared" si="10"/>
        <v>75</v>
      </c>
    </row>
    <row r="35" spans="1:13" ht="12.75" customHeight="1" x14ac:dyDescent="0.2">
      <c r="A35" s="191">
        <f t="shared" si="0"/>
        <v>112.5</v>
      </c>
      <c r="B35" s="186">
        <f t="shared" si="1"/>
        <v>0</v>
      </c>
      <c r="C35" s="187">
        <f t="shared" si="2"/>
        <v>0</v>
      </c>
      <c r="D35" s="186">
        <f t="shared" si="3"/>
        <v>0</v>
      </c>
      <c r="E35" s="187">
        <f t="shared" si="4"/>
        <v>1</v>
      </c>
      <c r="F35" s="186">
        <f t="shared" si="5"/>
        <v>1</v>
      </c>
      <c r="G35" s="187">
        <f t="shared" si="6"/>
        <v>0</v>
      </c>
      <c r="H35" s="186">
        <f t="shared" si="7"/>
        <v>0</v>
      </c>
      <c r="I35" s="187">
        <f t="shared" si="8"/>
        <v>1</v>
      </c>
      <c r="J35" s="186">
        <f t="shared" si="9"/>
        <v>1</v>
      </c>
      <c r="K35" s="187"/>
      <c r="L35" s="189">
        <f t="shared" si="11"/>
        <v>31</v>
      </c>
      <c r="M35" s="189">
        <f t="shared" si="10"/>
        <v>77.5</v>
      </c>
    </row>
    <row r="36" spans="1:13" ht="12.75" customHeight="1" x14ac:dyDescent="0.2">
      <c r="A36" s="191">
        <f t="shared" si="0"/>
        <v>115</v>
      </c>
      <c r="B36" s="186">
        <f t="shared" si="1"/>
        <v>0</v>
      </c>
      <c r="C36" s="187">
        <f t="shared" si="2"/>
        <v>0</v>
      </c>
      <c r="D36" s="186">
        <f t="shared" si="3"/>
        <v>0</v>
      </c>
      <c r="E36" s="187">
        <f t="shared" si="4"/>
        <v>2</v>
      </c>
      <c r="F36" s="186">
        <f t="shared" si="5"/>
        <v>0</v>
      </c>
      <c r="G36" s="187">
        <f t="shared" si="6"/>
        <v>0</v>
      </c>
      <c r="H36" s="186">
        <f t="shared" si="7"/>
        <v>0</v>
      </c>
      <c r="I36" s="187">
        <f t="shared" si="8"/>
        <v>0</v>
      </c>
      <c r="J36" s="186">
        <f t="shared" si="9"/>
        <v>0</v>
      </c>
      <c r="K36" s="187"/>
      <c r="L36" s="189">
        <f t="shared" si="11"/>
        <v>32</v>
      </c>
      <c r="M36" s="189">
        <f t="shared" si="10"/>
        <v>80</v>
      </c>
    </row>
    <row r="37" spans="1:13" ht="12.75" customHeight="1" x14ac:dyDescent="0.2">
      <c r="A37" s="191">
        <f t="shared" si="0"/>
        <v>117.5</v>
      </c>
      <c r="B37" s="186">
        <f t="shared" si="1"/>
        <v>0</v>
      </c>
      <c r="C37" s="187">
        <f t="shared" si="2"/>
        <v>0</v>
      </c>
      <c r="D37" s="186">
        <f t="shared" si="3"/>
        <v>0</v>
      </c>
      <c r="E37" s="187">
        <f t="shared" si="4"/>
        <v>2</v>
      </c>
      <c r="F37" s="186">
        <f t="shared" si="5"/>
        <v>0</v>
      </c>
      <c r="G37" s="187">
        <f t="shared" si="6"/>
        <v>0</v>
      </c>
      <c r="H37" s="186">
        <f t="shared" si="7"/>
        <v>0</v>
      </c>
      <c r="I37" s="187">
        <f t="shared" si="8"/>
        <v>0</v>
      </c>
      <c r="J37" s="186">
        <f t="shared" si="9"/>
        <v>1</v>
      </c>
      <c r="K37" s="187"/>
      <c r="L37" s="189">
        <f t="shared" si="11"/>
        <v>33</v>
      </c>
      <c r="M37" s="189">
        <f t="shared" si="10"/>
        <v>82.5</v>
      </c>
    </row>
    <row r="38" spans="1:13" ht="12.75" customHeight="1" x14ac:dyDescent="0.2">
      <c r="A38" s="191">
        <f t="shared" si="0"/>
        <v>120</v>
      </c>
      <c r="B38" s="186">
        <f t="shared" si="1"/>
        <v>0</v>
      </c>
      <c r="C38" s="187">
        <f t="shared" si="2"/>
        <v>0</v>
      </c>
      <c r="D38" s="186">
        <f t="shared" si="3"/>
        <v>0</v>
      </c>
      <c r="E38" s="187">
        <f t="shared" si="4"/>
        <v>2</v>
      </c>
      <c r="F38" s="186">
        <f t="shared" si="5"/>
        <v>0</v>
      </c>
      <c r="G38" s="187">
        <f t="shared" si="6"/>
        <v>0</v>
      </c>
      <c r="H38" s="186">
        <f t="shared" si="7"/>
        <v>0</v>
      </c>
      <c r="I38" s="187">
        <f t="shared" si="8"/>
        <v>1</v>
      </c>
      <c r="J38" s="186">
        <f t="shared" si="9"/>
        <v>0</v>
      </c>
      <c r="K38" s="187"/>
      <c r="L38" s="189">
        <f t="shared" si="11"/>
        <v>34</v>
      </c>
      <c r="M38" s="189">
        <f t="shared" si="10"/>
        <v>85</v>
      </c>
    </row>
    <row r="39" spans="1:13" ht="12.75" customHeight="1" x14ac:dyDescent="0.2">
      <c r="A39" s="191">
        <f t="shared" si="0"/>
        <v>122.5</v>
      </c>
      <c r="B39" s="186">
        <f t="shared" si="1"/>
        <v>0</v>
      </c>
      <c r="C39" s="187">
        <f t="shared" si="2"/>
        <v>0</v>
      </c>
      <c r="D39" s="186">
        <f t="shared" si="3"/>
        <v>0</v>
      </c>
      <c r="E39" s="187">
        <f t="shared" si="4"/>
        <v>2</v>
      </c>
      <c r="F39" s="186">
        <f t="shared" si="5"/>
        <v>0</v>
      </c>
      <c r="G39" s="187">
        <f t="shared" si="6"/>
        <v>0</v>
      </c>
      <c r="H39" s="186">
        <f t="shared" si="7"/>
        <v>0</v>
      </c>
      <c r="I39" s="187">
        <f t="shared" si="8"/>
        <v>1</v>
      </c>
      <c r="J39" s="186">
        <f t="shared" si="9"/>
        <v>1</v>
      </c>
      <c r="K39" s="187"/>
      <c r="L39" s="189">
        <f t="shared" si="11"/>
        <v>35</v>
      </c>
      <c r="M39" s="189">
        <f t="shared" si="10"/>
        <v>87.5</v>
      </c>
    </row>
    <row r="40" spans="1:13" ht="12.75" customHeight="1" x14ac:dyDescent="0.2">
      <c r="A40" s="191">
        <f t="shared" si="0"/>
        <v>125</v>
      </c>
      <c r="B40" s="186">
        <f t="shared" si="1"/>
        <v>0</v>
      </c>
      <c r="C40" s="187">
        <f t="shared" si="2"/>
        <v>0</v>
      </c>
      <c r="D40" s="186">
        <f t="shared" si="3"/>
        <v>0</v>
      </c>
      <c r="E40" s="187">
        <f t="shared" si="4"/>
        <v>2</v>
      </c>
      <c r="F40" s="186">
        <f t="shared" si="5"/>
        <v>0</v>
      </c>
      <c r="G40" s="187">
        <f t="shared" si="6"/>
        <v>0</v>
      </c>
      <c r="H40" s="186">
        <f t="shared" si="7"/>
        <v>1</v>
      </c>
      <c r="I40" s="187">
        <f t="shared" si="8"/>
        <v>0</v>
      </c>
      <c r="J40" s="186">
        <f t="shared" si="9"/>
        <v>0</v>
      </c>
      <c r="K40" s="187"/>
      <c r="L40" s="189">
        <f t="shared" si="11"/>
        <v>36</v>
      </c>
      <c r="M40" s="189">
        <f t="shared" si="10"/>
        <v>90</v>
      </c>
    </row>
    <row r="41" spans="1:13" ht="12.75" customHeight="1" x14ac:dyDescent="0.2">
      <c r="A41" s="191">
        <f t="shared" si="0"/>
        <v>127.5</v>
      </c>
      <c r="B41" s="186">
        <f t="shared" si="1"/>
        <v>0</v>
      </c>
      <c r="C41" s="187">
        <f t="shared" si="2"/>
        <v>0</v>
      </c>
      <c r="D41" s="186">
        <f t="shared" si="3"/>
        <v>0</v>
      </c>
      <c r="E41" s="187">
        <f t="shared" si="4"/>
        <v>2</v>
      </c>
      <c r="F41" s="186">
        <f t="shared" si="5"/>
        <v>0</v>
      </c>
      <c r="G41" s="187">
        <f t="shared" si="6"/>
        <v>0</v>
      </c>
      <c r="H41" s="186">
        <f t="shared" si="7"/>
        <v>1</v>
      </c>
      <c r="I41" s="187">
        <f t="shared" si="8"/>
        <v>0</v>
      </c>
      <c r="J41" s="186">
        <f t="shared" si="9"/>
        <v>1</v>
      </c>
      <c r="K41" s="187"/>
      <c r="L41" s="189">
        <f t="shared" si="11"/>
        <v>37</v>
      </c>
      <c r="M41" s="189">
        <f t="shared" si="10"/>
        <v>92.5</v>
      </c>
    </row>
    <row r="42" spans="1:13" ht="12.75" customHeight="1" x14ac:dyDescent="0.2">
      <c r="A42" s="191">
        <f t="shared" si="0"/>
        <v>130</v>
      </c>
      <c r="B42" s="186">
        <f t="shared" si="1"/>
        <v>0</v>
      </c>
      <c r="C42" s="187">
        <f t="shared" si="2"/>
        <v>0</v>
      </c>
      <c r="D42" s="186">
        <f t="shared" si="3"/>
        <v>0</v>
      </c>
      <c r="E42" s="187">
        <f t="shared" si="4"/>
        <v>2</v>
      </c>
      <c r="F42" s="186">
        <f t="shared" si="5"/>
        <v>0</v>
      </c>
      <c r="G42" s="187">
        <f t="shared" si="6"/>
        <v>0</v>
      </c>
      <c r="H42" s="186">
        <f t="shared" si="7"/>
        <v>1</v>
      </c>
      <c r="I42" s="187">
        <f t="shared" si="8"/>
        <v>1</v>
      </c>
      <c r="J42" s="186">
        <f t="shared" si="9"/>
        <v>0</v>
      </c>
      <c r="K42" s="187"/>
      <c r="L42" s="189">
        <f t="shared" si="11"/>
        <v>38</v>
      </c>
      <c r="M42" s="189">
        <f t="shared" si="10"/>
        <v>95</v>
      </c>
    </row>
    <row r="43" spans="1:13" ht="12.75" customHeight="1" x14ac:dyDescent="0.2">
      <c r="A43" s="191">
        <f t="shared" si="0"/>
        <v>132.5</v>
      </c>
      <c r="B43" s="186">
        <f t="shared" si="1"/>
        <v>0</v>
      </c>
      <c r="C43" s="187">
        <f t="shared" si="2"/>
        <v>0</v>
      </c>
      <c r="D43" s="186">
        <f t="shared" si="3"/>
        <v>0</v>
      </c>
      <c r="E43" s="187">
        <f t="shared" si="4"/>
        <v>2</v>
      </c>
      <c r="F43" s="186">
        <f t="shared" si="5"/>
        <v>0</v>
      </c>
      <c r="G43" s="187">
        <f t="shared" si="6"/>
        <v>0</v>
      </c>
      <c r="H43" s="186">
        <f t="shared" si="7"/>
        <v>1</v>
      </c>
      <c r="I43" s="187">
        <f t="shared" si="8"/>
        <v>1</v>
      </c>
      <c r="J43" s="186">
        <f t="shared" si="9"/>
        <v>1</v>
      </c>
      <c r="K43" s="187"/>
      <c r="L43" s="189">
        <f t="shared" si="11"/>
        <v>39</v>
      </c>
      <c r="M43" s="189">
        <f t="shared" si="10"/>
        <v>97.5</v>
      </c>
    </row>
    <row r="44" spans="1:13" ht="12.75" customHeight="1" x14ac:dyDescent="0.2">
      <c r="A44" s="191">
        <f t="shared" si="0"/>
        <v>135</v>
      </c>
      <c r="B44" s="186">
        <f t="shared" si="1"/>
        <v>1</v>
      </c>
      <c r="C44" s="187">
        <f t="shared" si="2"/>
        <v>0</v>
      </c>
      <c r="D44" s="186">
        <f t="shared" si="3"/>
        <v>0</v>
      </c>
      <c r="E44" s="187">
        <f t="shared" si="4"/>
        <v>0</v>
      </c>
      <c r="F44" s="186">
        <f t="shared" si="5"/>
        <v>0</v>
      </c>
      <c r="G44" s="187">
        <f t="shared" si="6"/>
        <v>0</v>
      </c>
      <c r="H44" s="186">
        <f t="shared" si="7"/>
        <v>0</v>
      </c>
      <c r="I44" s="187">
        <f t="shared" si="8"/>
        <v>0</v>
      </c>
      <c r="J44" s="186">
        <f t="shared" si="9"/>
        <v>0</v>
      </c>
      <c r="K44" s="187"/>
      <c r="L44" s="189">
        <f t="shared" si="11"/>
        <v>40</v>
      </c>
      <c r="M44" s="189">
        <f t="shared" si="10"/>
        <v>100</v>
      </c>
    </row>
    <row r="45" spans="1:13" ht="12.75" customHeight="1" x14ac:dyDescent="0.2">
      <c r="A45" s="191">
        <f t="shared" si="0"/>
        <v>137.5</v>
      </c>
      <c r="B45" s="186">
        <f t="shared" si="1"/>
        <v>1</v>
      </c>
      <c r="C45" s="187">
        <f t="shared" si="2"/>
        <v>0</v>
      </c>
      <c r="D45" s="186">
        <f t="shared" si="3"/>
        <v>0</v>
      </c>
      <c r="E45" s="187">
        <f t="shared" si="4"/>
        <v>0</v>
      </c>
      <c r="F45" s="186">
        <f t="shared" si="5"/>
        <v>0</v>
      </c>
      <c r="G45" s="187">
        <f t="shared" si="6"/>
        <v>0</v>
      </c>
      <c r="H45" s="186">
        <f t="shared" si="7"/>
        <v>0</v>
      </c>
      <c r="I45" s="187">
        <f t="shared" si="8"/>
        <v>0</v>
      </c>
      <c r="J45" s="186">
        <f t="shared" si="9"/>
        <v>1</v>
      </c>
      <c r="K45" s="187"/>
      <c r="L45" s="189">
        <f t="shared" si="11"/>
        <v>41</v>
      </c>
      <c r="M45" s="189">
        <f t="shared" si="10"/>
        <v>102.5</v>
      </c>
    </row>
    <row r="46" spans="1:13" ht="12.75" customHeight="1" x14ac:dyDescent="0.2">
      <c r="A46" s="191">
        <f t="shared" si="0"/>
        <v>140</v>
      </c>
      <c r="B46" s="186">
        <f t="shared" si="1"/>
        <v>1</v>
      </c>
      <c r="C46" s="187">
        <f t="shared" si="2"/>
        <v>0</v>
      </c>
      <c r="D46" s="186">
        <f t="shared" si="3"/>
        <v>0</v>
      </c>
      <c r="E46" s="187">
        <f t="shared" si="4"/>
        <v>0</v>
      </c>
      <c r="F46" s="186">
        <f t="shared" si="5"/>
        <v>0</v>
      </c>
      <c r="G46" s="187">
        <f t="shared" si="6"/>
        <v>0</v>
      </c>
      <c r="H46" s="186">
        <f t="shared" si="7"/>
        <v>0</v>
      </c>
      <c r="I46" s="187">
        <f t="shared" si="8"/>
        <v>1</v>
      </c>
      <c r="J46" s="186">
        <f t="shared" si="9"/>
        <v>0</v>
      </c>
      <c r="K46" s="187"/>
      <c r="L46" s="189">
        <f t="shared" si="11"/>
        <v>42</v>
      </c>
      <c r="M46" s="189">
        <f t="shared" si="10"/>
        <v>105</v>
      </c>
    </row>
    <row r="47" spans="1:13" ht="12.75" customHeight="1" x14ac:dyDescent="0.2">
      <c r="A47" s="191">
        <f t="shared" si="0"/>
        <v>142.5</v>
      </c>
      <c r="B47" s="186">
        <f t="shared" si="1"/>
        <v>1</v>
      </c>
      <c r="C47" s="187">
        <f t="shared" si="2"/>
        <v>0</v>
      </c>
      <c r="D47" s="186">
        <f t="shared" si="3"/>
        <v>0</v>
      </c>
      <c r="E47" s="187">
        <f t="shared" si="4"/>
        <v>0</v>
      </c>
      <c r="F47" s="186">
        <f t="shared" si="5"/>
        <v>0</v>
      </c>
      <c r="G47" s="187">
        <f t="shared" si="6"/>
        <v>0</v>
      </c>
      <c r="H47" s="186">
        <f t="shared" si="7"/>
        <v>0</v>
      </c>
      <c r="I47" s="187">
        <f t="shared" si="8"/>
        <v>1</v>
      </c>
      <c r="J47" s="186">
        <f t="shared" si="9"/>
        <v>1</v>
      </c>
      <c r="K47" s="187"/>
      <c r="L47" s="189">
        <f t="shared" si="11"/>
        <v>43</v>
      </c>
      <c r="M47" s="189">
        <f t="shared" si="10"/>
        <v>107.5</v>
      </c>
    </row>
    <row r="48" spans="1:13" ht="12.75" customHeight="1" x14ac:dyDescent="0.2">
      <c r="A48" s="191">
        <f t="shared" si="0"/>
        <v>145</v>
      </c>
      <c r="B48" s="186">
        <f t="shared" si="1"/>
        <v>1</v>
      </c>
      <c r="C48" s="187">
        <f t="shared" si="2"/>
        <v>0</v>
      </c>
      <c r="D48" s="186">
        <f t="shared" si="3"/>
        <v>0</v>
      </c>
      <c r="E48" s="187">
        <f t="shared" si="4"/>
        <v>0</v>
      </c>
      <c r="F48" s="186">
        <f t="shared" si="5"/>
        <v>0</v>
      </c>
      <c r="G48" s="187">
        <f t="shared" si="6"/>
        <v>0</v>
      </c>
      <c r="H48" s="186">
        <f t="shared" si="7"/>
        <v>1</v>
      </c>
      <c r="I48" s="187">
        <f t="shared" si="8"/>
        <v>0</v>
      </c>
      <c r="J48" s="186">
        <f t="shared" si="9"/>
        <v>0</v>
      </c>
      <c r="K48" s="187"/>
      <c r="L48" s="189">
        <f t="shared" si="11"/>
        <v>44</v>
      </c>
      <c r="M48" s="189">
        <f t="shared" si="10"/>
        <v>110</v>
      </c>
    </row>
    <row r="49" spans="1:13" ht="12.75" customHeight="1" x14ac:dyDescent="0.2">
      <c r="A49" s="191">
        <f t="shared" si="0"/>
        <v>147.5</v>
      </c>
      <c r="B49" s="186">
        <f t="shared" si="1"/>
        <v>1</v>
      </c>
      <c r="C49" s="187">
        <f t="shared" si="2"/>
        <v>0</v>
      </c>
      <c r="D49" s="186">
        <f t="shared" si="3"/>
        <v>0</v>
      </c>
      <c r="E49" s="187">
        <f t="shared" si="4"/>
        <v>0</v>
      </c>
      <c r="F49" s="186">
        <f t="shared" si="5"/>
        <v>0</v>
      </c>
      <c r="G49" s="187">
        <f t="shared" si="6"/>
        <v>0</v>
      </c>
      <c r="H49" s="186">
        <f t="shared" si="7"/>
        <v>1</v>
      </c>
      <c r="I49" s="187">
        <f t="shared" si="8"/>
        <v>0</v>
      </c>
      <c r="J49" s="186">
        <f t="shared" si="9"/>
        <v>1</v>
      </c>
      <c r="K49" s="187"/>
      <c r="L49" s="189">
        <f t="shared" si="11"/>
        <v>45</v>
      </c>
      <c r="M49" s="189">
        <f t="shared" si="10"/>
        <v>112.5</v>
      </c>
    </row>
    <row r="50" spans="1:13" ht="12.75" customHeight="1" x14ac:dyDescent="0.2">
      <c r="A50" s="191">
        <f t="shared" si="0"/>
        <v>150</v>
      </c>
      <c r="B50" s="186">
        <f t="shared" si="1"/>
        <v>1</v>
      </c>
      <c r="C50" s="187">
        <f t="shared" si="2"/>
        <v>0</v>
      </c>
      <c r="D50" s="186">
        <f t="shared" si="3"/>
        <v>0</v>
      </c>
      <c r="E50" s="187">
        <f t="shared" si="4"/>
        <v>0</v>
      </c>
      <c r="F50" s="186">
        <f t="shared" si="5"/>
        <v>0</v>
      </c>
      <c r="G50" s="187">
        <f t="shared" si="6"/>
        <v>0</v>
      </c>
      <c r="H50" s="186">
        <f t="shared" si="7"/>
        <v>1</v>
      </c>
      <c r="I50" s="187">
        <f t="shared" si="8"/>
        <v>1</v>
      </c>
      <c r="J50" s="186">
        <f t="shared" si="9"/>
        <v>0</v>
      </c>
      <c r="K50" s="187"/>
      <c r="L50" s="189">
        <f t="shared" si="11"/>
        <v>46</v>
      </c>
      <c r="M50" s="189">
        <f t="shared" si="10"/>
        <v>115</v>
      </c>
    </row>
    <row r="51" spans="1:13" ht="12.75" customHeight="1" x14ac:dyDescent="0.2">
      <c r="A51" s="191">
        <f t="shared" si="0"/>
        <v>152.5</v>
      </c>
      <c r="B51" s="186">
        <f t="shared" si="1"/>
        <v>1</v>
      </c>
      <c r="C51" s="187">
        <f t="shared" si="2"/>
        <v>0</v>
      </c>
      <c r="D51" s="186">
        <f t="shared" si="3"/>
        <v>0</v>
      </c>
      <c r="E51" s="187">
        <f t="shared" si="4"/>
        <v>0</v>
      </c>
      <c r="F51" s="186">
        <f t="shared" si="5"/>
        <v>0</v>
      </c>
      <c r="G51" s="187">
        <f t="shared" si="6"/>
        <v>0</v>
      </c>
      <c r="H51" s="186">
        <f t="shared" si="7"/>
        <v>1</v>
      </c>
      <c r="I51" s="187">
        <f t="shared" si="8"/>
        <v>1</v>
      </c>
      <c r="J51" s="186">
        <f t="shared" si="9"/>
        <v>1</v>
      </c>
      <c r="K51" s="187"/>
      <c r="L51" s="189">
        <f t="shared" si="11"/>
        <v>47</v>
      </c>
      <c r="M51" s="189">
        <f t="shared" si="10"/>
        <v>117.5</v>
      </c>
    </row>
    <row r="52" spans="1:13" ht="12.75" customHeight="1" x14ac:dyDescent="0.2">
      <c r="A52" s="191">
        <f t="shared" si="0"/>
        <v>155</v>
      </c>
      <c r="B52" s="186">
        <f t="shared" si="1"/>
        <v>1</v>
      </c>
      <c r="C52" s="187">
        <f t="shared" si="2"/>
        <v>0</v>
      </c>
      <c r="D52" s="186">
        <f t="shared" si="3"/>
        <v>0</v>
      </c>
      <c r="E52" s="187">
        <f t="shared" si="4"/>
        <v>0</v>
      </c>
      <c r="F52" s="186">
        <f t="shared" si="5"/>
        <v>0</v>
      </c>
      <c r="G52" s="187">
        <f t="shared" si="6"/>
        <v>1</v>
      </c>
      <c r="H52" s="186">
        <f t="shared" si="7"/>
        <v>0</v>
      </c>
      <c r="I52" s="187">
        <f t="shared" si="8"/>
        <v>0</v>
      </c>
      <c r="J52" s="186">
        <f t="shared" si="9"/>
        <v>0</v>
      </c>
      <c r="K52" s="187"/>
      <c r="L52" s="189">
        <f t="shared" si="11"/>
        <v>48</v>
      </c>
      <c r="M52" s="189">
        <f t="shared" si="10"/>
        <v>120</v>
      </c>
    </row>
    <row r="53" spans="1:13" ht="12.75" customHeight="1" x14ac:dyDescent="0.2">
      <c r="A53" s="191">
        <f t="shared" si="0"/>
        <v>157.5</v>
      </c>
      <c r="B53" s="186">
        <f t="shared" si="1"/>
        <v>1</v>
      </c>
      <c r="C53" s="187">
        <f t="shared" si="2"/>
        <v>0</v>
      </c>
      <c r="D53" s="186">
        <f t="shared" si="3"/>
        <v>0</v>
      </c>
      <c r="E53" s="187">
        <f t="shared" si="4"/>
        <v>0</v>
      </c>
      <c r="F53" s="186">
        <f t="shared" si="5"/>
        <v>0</v>
      </c>
      <c r="G53" s="187">
        <f t="shared" si="6"/>
        <v>1</v>
      </c>
      <c r="H53" s="186">
        <f t="shared" si="7"/>
        <v>0</v>
      </c>
      <c r="I53" s="187">
        <f t="shared" si="8"/>
        <v>0</v>
      </c>
      <c r="J53" s="186">
        <f t="shared" si="9"/>
        <v>1</v>
      </c>
      <c r="K53" s="187"/>
      <c r="L53" s="189">
        <f t="shared" si="11"/>
        <v>49</v>
      </c>
      <c r="M53" s="189">
        <f t="shared" si="10"/>
        <v>122.5</v>
      </c>
    </row>
    <row r="54" spans="1:13" ht="12.75" customHeight="1" x14ac:dyDescent="0.2">
      <c r="A54" s="191">
        <f t="shared" si="0"/>
        <v>160</v>
      </c>
      <c r="B54" s="186">
        <f t="shared" si="1"/>
        <v>1</v>
      </c>
      <c r="C54" s="187">
        <f t="shared" si="2"/>
        <v>0</v>
      </c>
      <c r="D54" s="186">
        <f t="shared" si="3"/>
        <v>0</v>
      </c>
      <c r="E54" s="187">
        <f t="shared" si="4"/>
        <v>0</v>
      </c>
      <c r="F54" s="186">
        <f t="shared" si="5"/>
        <v>0</v>
      </c>
      <c r="G54" s="187">
        <f t="shared" si="6"/>
        <v>1</v>
      </c>
      <c r="H54" s="186">
        <f t="shared" si="7"/>
        <v>0</v>
      </c>
      <c r="I54" s="187">
        <f t="shared" si="8"/>
        <v>1</v>
      </c>
      <c r="J54" s="186">
        <f t="shared" si="9"/>
        <v>0</v>
      </c>
      <c r="K54" s="187"/>
      <c r="L54" s="189">
        <f t="shared" si="11"/>
        <v>50</v>
      </c>
      <c r="M54" s="189">
        <f t="shared" si="10"/>
        <v>125</v>
      </c>
    </row>
    <row r="55" spans="1:13" ht="12.75" customHeight="1" x14ac:dyDescent="0.2">
      <c r="A55" s="191">
        <f t="shared" si="0"/>
        <v>162.5</v>
      </c>
      <c r="B55" s="186">
        <f t="shared" si="1"/>
        <v>1</v>
      </c>
      <c r="C55" s="187">
        <f t="shared" si="2"/>
        <v>0</v>
      </c>
      <c r="D55" s="186">
        <f t="shared" si="3"/>
        <v>0</v>
      </c>
      <c r="E55" s="187">
        <f t="shared" si="4"/>
        <v>0</v>
      </c>
      <c r="F55" s="186">
        <f t="shared" si="5"/>
        <v>0</v>
      </c>
      <c r="G55" s="187">
        <f t="shared" si="6"/>
        <v>1</v>
      </c>
      <c r="H55" s="186">
        <f t="shared" si="7"/>
        <v>0</v>
      </c>
      <c r="I55" s="187">
        <f t="shared" si="8"/>
        <v>1</v>
      </c>
      <c r="J55" s="186">
        <f t="shared" si="9"/>
        <v>1</v>
      </c>
      <c r="K55" s="187"/>
      <c r="L55" s="189">
        <f t="shared" si="11"/>
        <v>51</v>
      </c>
      <c r="M55" s="189">
        <f t="shared" si="10"/>
        <v>127.5</v>
      </c>
    </row>
    <row r="56" spans="1:13" ht="12.75" customHeight="1" x14ac:dyDescent="0.2">
      <c r="A56" s="191">
        <f t="shared" si="0"/>
        <v>165</v>
      </c>
      <c r="B56" s="186">
        <f t="shared" si="1"/>
        <v>1</v>
      </c>
      <c r="C56" s="187">
        <f t="shared" si="2"/>
        <v>0</v>
      </c>
      <c r="D56" s="186">
        <f t="shared" si="3"/>
        <v>0</v>
      </c>
      <c r="E56" s="187">
        <f t="shared" si="4"/>
        <v>0</v>
      </c>
      <c r="F56" s="186">
        <f t="shared" si="5"/>
        <v>1</v>
      </c>
      <c r="G56" s="187">
        <f t="shared" si="6"/>
        <v>0</v>
      </c>
      <c r="H56" s="186">
        <f t="shared" si="7"/>
        <v>0</v>
      </c>
      <c r="I56" s="187">
        <f t="shared" si="8"/>
        <v>0</v>
      </c>
      <c r="J56" s="186">
        <f t="shared" si="9"/>
        <v>0</v>
      </c>
      <c r="K56" s="187"/>
      <c r="L56" s="189">
        <f t="shared" si="11"/>
        <v>52</v>
      </c>
      <c r="M56" s="189">
        <f t="shared" si="10"/>
        <v>130</v>
      </c>
    </row>
    <row r="57" spans="1:13" ht="12.75" customHeight="1" x14ac:dyDescent="0.2">
      <c r="A57" s="191">
        <f t="shared" si="0"/>
        <v>167.5</v>
      </c>
      <c r="B57" s="186">
        <f t="shared" si="1"/>
        <v>1</v>
      </c>
      <c r="C57" s="187">
        <f t="shared" si="2"/>
        <v>0</v>
      </c>
      <c r="D57" s="186">
        <f t="shared" si="3"/>
        <v>0</v>
      </c>
      <c r="E57" s="187">
        <f t="shared" si="4"/>
        <v>0</v>
      </c>
      <c r="F57" s="186">
        <f t="shared" si="5"/>
        <v>1</v>
      </c>
      <c r="G57" s="187">
        <f t="shared" si="6"/>
        <v>0</v>
      </c>
      <c r="H57" s="186">
        <f t="shared" si="7"/>
        <v>0</v>
      </c>
      <c r="I57" s="187">
        <f t="shared" si="8"/>
        <v>0</v>
      </c>
      <c r="J57" s="186">
        <f t="shared" si="9"/>
        <v>1</v>
      </c>
      <c r="K57" s="187"/>
      <c r="L57" s="189">
        <f t="shared" si="11"/>
        <v>53</v>
      </c>
      <c r="M57" s="189">
        <f t="shared" si="10"/>
        <v>132.5</v>
      </c>
    </row>
    <row r="58" spans="1:13" ht="12.75" customHeight="1" x14ac:dyDescent="0.2">
      <c r="A58" s="191">
        <f t="shared" si="0"/>
        <v>170</v>
      </c>
      <c r="B58" s="186">
        <f t="shared" si="1"/>
        <v>1</v>
      </c>
      <c r="C58" s="187">
        <f t="shared" si="2"/>
        <v>0</v>
      </c>
      <c r="D58" s="186">
        <f t="shared" si="3"/>
        <v>0</v>
      </c>
      <c r="E58" s="187">
        <f t="shared" si="4"/>
        <v>0</v>
      </c>
      <c r="F58" s="186">
        <f t="shared" si="5"/>
        <v>1</v>
      </c>
      <c r="G58" s="187">
        <f t="shared" si="6"/>
        <v>0</v>
      </c>
      <c r="H58" s="186">
        <f t="shared" si="7"/>
        <v>0</v>
      </c>
      <c r="I58" s="187">
        <f t="shared" si="8"/>
        <v>1</v>
      </c>
      <c r="J58" s="186">
        <f t="shared" si="9"/>
        <v>0</v>
      </c>
      <c r="K58" s="187"/>
      <c r="L58" s="189">
        <f t="shared" si="11"/>
        <v>54</v>
      </c>
      <c r="M58" s="189">
        <f t="shared" si="10"/>
        <v>135</v>
      </c>
    </row>
    <row r="59" spans="1:13" ht="12.75" customHeight="1" x14ac:dyDescent="0.2">
      <c r="A59" s="191">
        <f t="shared" si="0"/>
        <v>172.5</v>
      </c>
      <c r="B59" s="186">
        <f t="shared" si="1"/>
        <v>1</v>
      </c>
      <c r="C59" s="187">
        <f t="shared" si="2"/>
        <v>0</v>
      </c>
      <c r="D59" s="186">
        <f t="shared" si="3"/>
        <v>0</v>
      </c>
      <c r="E59" s="187">
        <f t="shared" si="4"/>
        <v>0</v>
      </c>
      <c r="F59" s="186">
        <f t="shared" si="5"/>
        <v>1</v>
      </c>
      <c r="G59" s="187">
        <f t="shared" si="6"/>
        <v>0</v>
      </c>
      <c r="H59" s="186">
        <f t="shared" si="7"/>
        <v>0</v>
      </c>
      <c r="I59" s="187">
        <f t="shared" si="8"/>
        <v>1</v>
      </c>
      <c r="J59" s="186">
        <f t="shared" si="9"/>
        <v>1</v>
      </c>
      <c r="K59" s="187"/>
      <c r="L59" s="189">
        <f t="shared" si="11"/>
        <v>55</v>
      </c>
      <c r="M59" s="189">
        <f t="shared" si="10"/>
        <v>137.5</v>
      </c>
    </row>
    <row r="60" spans="1:13" ht="12.75" customHeight="1" x14ac:dyDescent="0.2">
      <c r="A60" s="191">
        <f t="shared" si="0"/>
        <v>175</v>
      </c>
      <c r="B60" s="186">
        <f t="shared" si="1"/>
        <v>1</v>
      </c>
      <c r="C60" s="187">
        <f t="shared" si="2"/>
        <v>0</v>
      </c>
      <c r="D60" s="186">
        <f t="shared" si="3"/>
        <v>0</v>
      </c>
      <c r="E60" s="187">
        <f t="shared" si="4"/>
        <v>1</v>
      </c>
      <c r="F60" s="186">
        <f t="shared" si="5"/>
        <v>0</v>
      </c>
      <c r="G60" s="187">
        <f t="shared" si="6"/>
        <v>0</v>
      </c>
      <c r="H60" s="186">
        <f t="shared" si="7"/>
        <v>0</v>
      </c>
      <c r="I60" s="187">
        <f t="shared" si="8"/>
        <v>0</v>
      </c>
      <c r="J60" s="186">
        <f t="shared" si="9"/>
        <v>0</v>
      </c>
      <c r="K60" s="187"/>
      <c r="L60" s="189">
        <f t="shared" si="11"/>
        <v>56</v>
      </c>
      <c r="M60" s="189">
        <f t="shared" si="10"/>
        <v>140</v>
      </c>
    </row>
    <row r="61" spans="1:13" ht="12.75" customHeight="1" x14ac:dyDescent="0.2">
      <c r="A61" s="191">
        <f t="shared" si="0"/>
        <v>177.5</v>
      </c>
      <c r="B61" s="186">
        <f t="shared" si="1"/>
        <v>1</v>
      </c>
      <c r="C61" s="187">
        <f t="shared" si="2"/>
        <v>0</v>
      </c>
      <c r="D61" s="186">
        <f t="shared" si="3"/>
        <v>0</v>
      </c>
      <c r="E61" s="187">
        <f t="shared" si="4"/>
        <v>1</v>
      </c>
      <c r="F61" s="186">
        <f t="shared" si="5"/>
        <v>0</v>
      </c>
      <c r="G61" s="187">
        <f t="shared" si="6"/>
        <v>0</v>
      </c>
      <c r="H61" s="186">
        <f t="shared" si="7"/>
        <v>0</v>
      </c>
      <c r="I61" s="187">
        <f t="shared" si="8"/>
        <v>0</v>
      </c>
      <c r="J61" s="186">
        <f t="shared" si="9"/>
        <v>1</v>
      </c>
      <c r="K61" s="187"/>
      <c r="L61" s="189">
        <f t="shared" si="11"/>
        <v>57</v>
      </c>
      <c r="M61" s="189">
        <f t="shared" si="10"/>
        <v>142.5</v>
      </c>
    </row>
    <row r="62" spans="1:13" ht="12.75" customHeight="1" x14ac:dyDescent="0.2">
      <c r="A62" s="191">
        <f t="shared" si="0"/>
        <v>180</v>
      </c>
      <c r="B62" s="186">
        <f t="shared" si="1"/>
        <v>1</v>
      </c>
      <c r="C62" s="187">
        <f t="shared" si="2"/>
        <v>0</v>
      </c>
      <c r="D62" s="186">
        <f t="shared" si="3"/>
        <v>0</v>
      </c>
      <c r="E62" s="187">
        <f t="shared" si="4"/>
        <v>1</v>
      </c>
      <c r="F62" s="186">
        <f t="shared" si="5"/>
        <v>0</v>
      </c>
      <c r="G62" s="187">
        <f t="shared" si="6"/>
        <v>0</v>
      </c>
      <c r="H62" s="186">
        <f t="shared" si="7"/>
        <v>0</v>
      </c>
      <c r="I62" s="187">
        <f t="shared" si="8"/>
        <v>1</v>
      </c>
      <c r="J62" s="186">
        <f t="shared" si="9"/>
        <v>0</v>
      </c>
      <c r="K62" s="187"/>
      <c r="L62" s="189">
        <f t="shared" si="11"/>
        <v>58</v>
      </c>
      <c r="M62" s="189">
        <f t="shared" si="10"/>
        <v>145</v>
      </c>
    </row>
    <row r="63" spans="1:13" ht="12.75" customHeight="1" x14ac:dyDescent="0.2">
      <c r="A63" s="191">
        <f t="shared" si="0"/>
        <v>182.5</v>
      </c>
      <c r="B63" s="186">
        <f t="shared" si="1"/>
        <v>1</v>
      </c>
      <c r="C63" s="187">
        <f t="shared" si="2"/>
        <v>0</v>
      </c>
      <c r="D63" s="186">
        <f t="shared" si="3"/>
        <v>0</v>
      </c>
      <c r="E63" s="187">
        <f t="shared" si="4"/>
        <v>1</v>
      </c>
      <c r="F63" s="186">
        <f t="shared" si="5"/>
        <v>0</v>
      </c>
      <c r="G63" s="187">
        <f t="shared" si="6"/>
        <v>0</v>
      </c>
      <c r="H63" s="186">
        <f t="shared" si="7"/>
        <v>0</v>
      </c>
      <c r="I63" s="187">
        <f t="shared" si="8"/>
        <v>1</v>
      </c>
      <c r="J63" s="186">
        <f t="shared" si="9"/>
        <v>1</v>
      </c>
      <c r="K63" s="187"/>
      <c r="L63" s="189">
        <f t="shared" si="11"/>
        <v>59</v>
      </c>
      <c r="M63" s="189">
        <f t="shared" si="10"/>
        <v>147.5</v>
      </c>
    </row>
    <row r="64" spans="1:13" ht="12.75" customHeight="1" x14ac:dyDescent="0.2">
      <c r="A64" s="191">
        <f t="shared" si="0"/>
        <v>185</v>
      </c>
      <c r="B64" s="186">
        <f t="shared" si="1"/>
        <v>1</v>
      </c>
      <c r="C64" s="187">
        <f t="shared" si="2"/>
        <v>0</v>
      </c>
      <c r="D64" s="186">
        <f t="shared" si="3"/>
        <v>0</v>
      </c>
      <c r="E64" s="187">
        <f t="shared" si="4"/>
        <v>1</v>
      </c>
      <c r="F64" s="186">
        <f t="shared" si="5"/>
        <v>0</v>
      </c>
      <c r="G64" s="187">
        <f t="shared" si="6"/>
        <v>0</v>
      </c>
      <c r="H64" s="186">
        <f t="shared" si="7"/>
        <v>1</v>
      </c>
      <c r="I64" s="187">
        <f t="shared" si="8"/>
        <v>0</v>
      </c>
      <c r="J64" s="186">
        <f t="shared" si="9"/>
        <v>0</v>
      </c>
      <c r="K64" s="187"/>
      <c r="L64" s="189">
        <f t="shared" si="11"/>
        <v>60</v>
      </c>
      <c r="M64" s="189">
        <f t="shared" si="10"/>
        <v>150</v>
      </c>
    </row>
    <row r="65" spans="1:13" ht="12.75" customHeight="1" x14ac:dyDescent="0.2">
      <c r="A65" s="191">
        <f t="shared" si="0"/>
        <v>187.5</v>
      </c>
      <c r="B65" s="186">
        <f t="shared" si="1"/>
        <v>1</v>
      </c>
      <c r="C65" s="187">
        <f t="shared" si="2"/>
        <v>0</v>
      </c>
      <c r="D65" s="186">
        <f t="shared" si="3"/>
        <v>0</v>
      </c>
      <c r="E65" s="187">
        <f t="shared" si="4"/>
        <v>1</v>
      </c>
      <c r="F65" s="186">
        <f t="shared" si="5"/>
        <v>0</v>
      </c>
      <c r="G65" s="187">
        <f t="shared" si="6"/>
        <v>0</v>
      </c>
      <c r="H65" s="186">
        <f t="shared" si="7"/>
        <v>1</v>
      </c>
      <c r="I65" s="187">
        <f t="shared" si="8"/>
        <v>0</v>
      </c>
      <c r="J65" s="186">
        <f t="shared" si="9"/>
        <v>1</v>
      </c>
      <c r="K65" s="187"/>
      <c r="L65" s="189">
        <f t="shared" si="11"/>
        <v>61</v>
      </c>
      <c r="M65" s="189">
        <f t="shared" si="10"/>
        <v>152.5</v>
      </c>
    </row>
    <row r="66" spans="1:13" ht="12.75" customHeight="1" x14ac:dyDescent="0.2">
      <c r="A66" s="191">
        <f t="shared" si="0"/>
        <v>190</v>
      </c>
      <c r="B66" s="186">
        <f t="shared" si="1"/>
        <v>1</v>
      </c>
      <c r="C66" s="187">
        <f t="shared" si="2"/>
        <v>0</v>
      </c>
      <c r="D66" s="186">
        <f t="shared" si="3"/>
        <v>0</v>
      </c>
      <c r="E66" s="187">
        <f t="shared" si="4"/>
        <v>1</v>
      </c>
      <c r="F66" s="186">
        <f t="shared" si="5"/>
        <v>0</v>
      </c>
      <c r="G66" s="187">
        <f t="shared" si="6"/>
        <v>0</v>
      </c>
      <c r="H66" s="186">
        <f t="shared" si="7"/>
        <v>1</v>
      </c>
      <c r="I66" s="187">
        <f t="shared" si="8"/>
        <v>1</v>
      </c>
      <c r="J66" s="186">
        <f t="shared" si="9"/>
        <v>0</v>
      </c>
      <c r="K66" s="187"/>
      <c r="L66" s="189">
        <f t="shared" si="11"/>
        <v>62</v>
      </c>
      <c r="M66" s="189">
        <f t="shared" si="10"/>
        <v>155</v>
      </c>
    </row>
    <row r="67" spans="1:13" ht="12.75" customHeight="1" x14ac:dyDescent="0.2">
      <c r="A67" s="191">
        <f t="shared" si="0"/>
        <v>192.5</v>
      </c>
      <c r="B67" s="186">
        <f t="shared" si="1"/>
        <v>1</v>
      </c>
      <c r="C67" s="187">
        <f t="shared" si="2"/>
        <v>0</v>
      </c>
      <c r="D67" s="186">
        <f t="shared" si="3"/>
        <v>0</v>
      </c>
      <c r="E67" s="187">
        <f t="shared" si="4"/>
        <v>1</v>
      </c>
      <c r="F67" s="186">
        <f t="shared" si="5"/>
        <v>0</v>
      </c>
      <c r="G67" s="187">
        <f t="shared" si="6"/>
        <v>0</v>
      </c>
      <c r="H67" s="186">
        <f t="shared" si="7"/>
        <v>1</v>
      </c>
      <c r="I67" s="187">
        <f t="shared" si="8"/>
        <v>1</v>
      </c>
      <c r="J67" s="186">
        <f t="shared" si="9"/>
        <v>1</v>
      </c>
      <c r="K67" s="187"/>
      <c r="L67" s="189">
        <f t="shared" si="11"/>
        <v>63</v>
      </c>
      <c r="M67" s="189">
        <f t="shared" si="10"/>
        <v>157.5</v>
      </c>
    </row>
    <row r="68" spans="1:13" ht="12.75" customHeight="1" x14ac:dyDescent="0.2">
      <c r="A68" s="191">
        <f t="shared" si="0"/>
        <v>195</v>
      </c>
      <c r="B68" s="186">
        <f t="shared" si="1"/>
        <v>1</v>
      </c>
      <c r="C68" s="187">
        <f t="shared" si="2"/>
        <v>0</v>
      </c>
      <c r="D68" s="186">
        <f t="shared" si="3"/>
        <v>0</v>
      </c>
      <c r="E68" s="187">
        <f t="shared" si="4"/>
        <v>1</v>
      </c>
      <c r="F68" s="186">
        <f t="shared" si="5"/>
        <v>0</v>
      </c>
      <c r="G68" s="187">
        <f t="shared" si="6"/>
        <v>1</v>
      </c>
      <c r="H68" s="186">
        <f t="shared" si="7"/>
        <v>0</v>
      </c>
      <c r="I68" s="187">
        <f t="shared" si="8"/>
        <v>0</v>
      </c>
      <c r="J68" s="186">
        <f t="shared" si="9"/>
        <v>0</v>
      </c>
      <c r="K68" s="187"/>
      <c r="L68" s="189">
        <f t="shared" si="11"/>
        <v>64</v>
      </c>
      <c r="M68" s="189">
        <f t="shared" si="10"/>
        <v>160</v>
      </c>
    </row>
    <row r="69" spans="1:13" ht="12.75" customHeight="1" x14ac:dyDescent="0.2">
      <c r="A69" s="191">
        <f t="shared" ref="A69:A132" si="12">IF(M69+$K$2&gt;$L$1,0,M69+$K$2)</f>
        <v>197.5</v>
      </c>
      <c r="B69" s="186">
        <f t="shared" ref="B69:B132" si="13">IF(A69=0,0,MIN($B$1/2,INT(M69/(2*$B$2))))</f>
        <v>1</v>
      </c>
      <c r="C69" s="187">
        <f t="shared" ref="C69:C132" si="14">IF(A69=0,0,MIN($C$1/2,INT(($M69-2*$B69*$B$2)/(2*$C$2))))</f>
        <v>0</v>
      </c>
      <c r="D69" s="186">
        <f t="shared" ref="D69:D132" si="15">IF(A69=0,0,MIN($D$1/2,INT(($M69-2*$B69*$B$2-2*$C69*$C$2)/(2*$D$2))))</f>
        <v>0</v>
      </c>
      <c r="E69" s="187">
        <f t="shared" ref="E69:E132" si="16">IF(A69=0,0,MIN($E$1/2,INT(($M69-2*$B69*$B$2-2*$C69*$C$2-2*$D69*$D$2)/(2*$E$2))))</f>
        <v>1</v>
      </c>
      <c r="F69" s="186">
        <f t="shared" ref="F69:F132" si="17">IF(A69=0,0,MIN($F$1/2,INT(($M69-2*$B69*$B$2-2*$C69*$C$2-2*$D69*$D$2-2*$E69*$E$2)/(2*$F$2))))</f>
        <v>0</v>
      </c>
      <c r="G69" s="187">
        <f t="shared" ref="G69:G132" si="18">IF(A69=0,0,MIN($G$1/2,INT(($M69-2*$B69*$B$2-2*$C69*$C$2-2*$D69*$D$2-2*$E69*$E$2-2*$F69*$F$2)/(2*$G$2))))</f>
        <v>1</v>
      </c>
      <c r="H69" s="186">
        <f t="shared" ref="H69:H132" si="19">IF(A69=0,0,MIN($H$1/2,INT(($M69-2*$B69*$B$2-2*$C69*$C$2-2*$D69*$D$2-2*$E69*$E$2-2*$F69*$F$2-2*$G69*$G$2)/(2*$H$2))))</f>
        <v>0</v>
      </c>
      <c r="I69" s="187">
        <f t="shared" ref="I69:I132" si="20">IF(A69=0,0,MIN($I$1/2,INT(($M69-2*$B69*$B$2-2*$C69*$C$2-2*$D69*$D$2-2*$E69*$E$2-2*$F69*$F$2-2*$G69*$G$2-2*$H69*$H$2)/(2*$I$2))))</f>
        <v>0</v>
      </c>
      <c r="J69" s="186">
        <f t="shared" ref="J69:J132" si="21">IF(A69=0,0,MIN($J$1/2,INT(($M69-2*$B69*$B$2-2*$C69*$C$2-2*$D69*$D$2-2*$E69*$E$2-2*$F69*$F$2-2*$G69*$G$2-2*$H69*$H$2-2*$I69*$I$2)/(2*$J$2))))</f>
        <v>1</v>
      </c>
      <c r="K69" s="187"/>
      <c r="L69" s="189">
        <f t="shared" si="11"/>
        <v>65</v>
      </c>
      <c r="M69" s="189">
        <f t="shared" ref="M69:M132" si="22">IF($A$2="Pounds",5*L69,2.5*L69)</f>
        <v>162.5</v>
      </c>
    </row>
    <row r="70" spans="1:13" ht="12.75" customHeight="1" x14ac:dyDescent="0.2">
      <c r="A70" s="191">
        <f t="shared" si="12"/>
        <v>200</v>
      </c>
      <c r="B70" s="186">
        <f t="shared" si="13"/>
        <v>1</v>
      </c>
      <c r="C70" s="187">
        <f t="shared" si="14"/>
        <v>0</v>
      </c>
      <c r="D70" s="186">
        <f t="shared" si="15"/>
        <v>0</v>
      </c>
      <c r="E70" s="187">
        <f t="shared" si="16"/>
        <v>1</v>
      </c>
      <c r="F70" s="186">
        <f t="shared" si="17"/>
        <v>0</v>
      </c>
      <c r="G70" s="187">
        <f t="shared" si="18"/>
        <v>1</v>
      </c>
      <c r="H70" s="186">
        <f t="shared" si="19"/>
        <v>0</v>
      </c>
      <c r="I70" s="187">
        <f t="shared" si="20"/>
        <v>1</v>
      </c>
      <c r="J70" s="186">
        <f t="shared" si="21"/>
        <v>0</v>
      </c>
      <c r="K70" s="187"/>
      <c r="L70" s="189">
        <f t="shared" si="11"/>
        <v>66</v>
      </c>
      <c r="M70" s="189">
        <f t="shared" si="22"/>
        <v>165</v>
      </c>
    </row>
    <row r="71" spans="1:13" ht="12.75" customHeight="1" x14ac:dyDescent="0.2">
      <c r="A71" s="191">
        <f t="shared" si="12"/>
        <v>202.5</v>
      </c>
      <c r="B71" s="186">
        <f t="shared" si="13"/>
        <v>1</v>
      </c>
      <c r="C71" s="187">
        <f t="shared" si="14"/>
        <v>0</v>
      </c>
      <c r="D71" s="186">
        <f t="shared" si="15"/>
        <v>0</v>
      </c>
      <c r="E71" s="187">
        <f t="shared" si="16"/>
        <v>1</v>
      </c>
      <c r="F71" s="186">
        <f t="shared" si="17"/>
        <v>0</v>
      </c>
      <c r="G71" s="187">
        <f t="shared" si="18"/>
        <v>1</v>
      </c>
      <c r="H71" s="186">
        <f t="shared" si="19"/>
        <v>0</v>
      </c>
      <c r="I71" s="187">
        <f t="shared" si="20"/>
        <v>1</v>
      </c>
      <c r="J71" s="186">
        <f t="shared" si="21"/>
        <v>1</v>
      </c>
      <c r="K71" s="187"/>
      <c r="L71" s="189">
        <f t="shared" si="11"/>
        <v>67</v>
      </c>
      <c r="M71" s="189">
        <f t="shared" si="22"/>
        <v>167.5</v>
      </c>
    </row>
    <row r="72" spans="1:13" ht="12.75" customHeight="1" x14ac:dyDescent="0.2">
      <c r="A72" s="191">
        <f t="shared" si="12"/>
        <v>205</v>
      </c>
      <c r="B72" s="186">
        <f t="shared" si="13"/>
        <v>1</v>
      </c>
      <c r="C72" s="187">
        <f t="shared" si="14"/>
        <v>0</v>
      </c>
      <c r="D72" s="186">
        <f t="shared" si="15"/>
        <v>0</v>
      </c>
      <c r="E72" s="187">
        <f t="shared" si="16"/>
        <v>1</v>
      </c>
      <c r="F72" s="186">
        <f t="shared" si="17"/>
        <v>1</v>
      </c>
      <c r="G72" s="187">
        <f t="shared" si="18"/>
        <v>0</v>
      </c>
      <c r="H72" s="186">
        <f t="shared" si="19"/>
        <v>0</v>
      </c>
      <c r="I72" s="187">
        <f t="shared" si="20"/>
        <v>0</v>
      </c>
      <c r="J72" s="186">
        <f t="shared" si="21"/>
        <v>0</v>
      </c>
      <c r="K72" s="187"/>
      <c r="L72" s="189">
        <f t="shared" si="11"/>
        <v>68</v>
      </c>
      <c r="M72" s="189">
        <f t="shared" si="22"/>
        <v>170</v>
      </c>
    </row>
    <row r="73" spans="1:13" ht="12.75" customHeight="1" x14ac:dyDescent="0.2">
      <c r="A73" s="191">
        <f t="shared" si="12"/>
        <v>207.5</v>
      </c>
      <c r="B73" s="186">
        <f t="shared" si="13"/>
        <v>1</v>
      </c>
      <c r="C73" s="187">
        <f t="shared" si="14"/>
        <v>0</v>
      </c>
      <c r="D73" s="186">
        <f t="shared" si="15"/>
        <v>0</v>
      </c>
      <c r="E73" s="187">
        <f t="shared" si="16"/>
        <v>1</v>
      </c>
      <c r="F73" s="186">
        <f t="shared" si="17"/>
        <v>1</v>
      </c>
      <c r="G73" s="187">
        <f t="shared" si="18"/>
        <v>0</v>
      </c>
      <c r="H73" s="186">
        <f t="shared" si="19"/>
        <v>0</v>
      </c>
      <c r="I73" s="187">
        <f t="shared" si="20"/>
        <v>0</v>
      </c>
      <c r="J73" s="186">
        <f t="shared" si="21"/>
        <v>1</v>
      </c>
      <c r="K73" s="187"/>
      <c r="L73" s="189">
        <f t="shared" si="11"/>
        <v>69</v>
      </c>
      <c r="M73" s="189">
        <f t="shared" si="22"/>
        <v>172.5</v>
      </c>
    </row>
    <row r="74" spans="1:13" ht="12.75" customHeight="1" x14ac:dyDescent="0.2">
      <c r="A74" s="191">
        <f t="shared" si="12"/>
        <v>210</v>
      </c>
      <c r="B74" s="186">
        <f t="shared" si="13"/>
        <v>1</v>
      </c>
      <c r="C74" s="187">
        <f t="shared" si="14"/>
        <v>0</v>
      </c>
      <c r="D74" s="186">
        <f t="shared" si="15"/>
        <v>0</v>
      </c>
      <c r="E74" s="187">
        <f t="shared" si="16"/>
        <v>1</v>
      </c>
      <c r="F74" s="186">
        <f t="shared" si="17"/>
        <v>1</v>
      </c>
      <c r="G74" s="187">
        <f t="shared" si="18"/>
        <v>0</v>
      </c>
      <c r="H74" s="186">
        <f t="shared" si="19"/>
        <v>0</v>
      </c>
      <c r="I74" s="187">
        <f t="shared" si="20"/>
        <v>1</v>
      </c>
      <c r="J74" s="186">
        <f t="shared" si="21"/>
        <v>0</v>
      </c>
      <c r="K74" s="187"/>
      <c r="L74" s="189">
        <f t="shared" si="11"/>
        <v>70</v>
      </c>
      <c r="M74" s="189">
        <f t="shared" si="22"/>
        <v>175</v>
      </c>
    </row>
    <row r="75" spans="1:13" ht="12.75" customHeight="1" x14ac:dyDescent="0.2">
      <c r="A75" s="191">
        <f t="shared" si="12"/>
        <v>212.5</v>
      </c>
      <c r="B75" s="186">
        <f t="shared" si="13"/>
        <v>1</v>
      </c>
      <c r="C75" s="187">
        <f t="shared" si="14"/>
        <v>0</v>
      </c>
      <c r="D75" s="186">
        <f t="shared" si="15"/>
        <v>0</v>
      </c>
      <c r="E75" s="187">
        <f t="shared" si="16"/>
        <v>1</v>
      </c>
      <c r="F75" s="186">
        <f t="shared" si="17"/>
        <v>1</v>
      </c>
      <c r="G75" s="187">
        <f t="shared" si="18"/>
        <v>0</v>
      </c>
      <c r="H75" s="186">
        <f t="shared" si="19"/>
        <v>0</v>
      </c>
      <c r="I75" s="187">
        <f t="shared" si="20"/>
        <v>1</v>
      </c>
      <c r="J75" s="186">
        <f t="shared" si="21"/>
        <v>1</v>
      </c>
      <c r="K75" s="187"/>
      <c r="L75" s="189">
        <f t="shared" si="11"/>
        <v>71</v>
      </c>
      <c r="M75" s="189">
        <f t="shared" si="22"/>
        <v>177.5</v>
      </c>
    </row>
    <row r="76" spans="1:13" ht="12.75" customHeight="1" x14ac:dyDescent="0.2">
      <c r="A76" s="191">
        <f t="shared" si="12"/>
        <v>215</v>
      </c>
      <c r="B76" s="186">
        <f t="shared" si="13"/>
        <v>1</v>
      </c>
      <c r="C76" s="187">
        <f t="shared" si="14"/>
        <v>0</v>
      </c>
      <c r="D76" s="186">
        <f t="shared" si="15"/>
        <v>0</v>
      </c>
      <c r="E76" s="187">
        <f t="shared" si="16"/>
        <v>2</v>
      </c>
      <c r="F76" s="186">
        <f t="shared" si="17"/>
        <v>0</v>
      </c>
      <c r="G76" s="187">
        <f t="shared" si="18"/>
        <v>0</v>
      </c>
      <c r="H76" s="186">
        <f t="shared" si="19"/>
        <v>0</v>
      </c>
      <c r="I76" s="187">
        <f t="shared" si="20"/>
        <v>0</v>
      </c>
      <c r="J76" s="186">
        <f t="shared" si="21"/>
        <v>0</v>
      </c>
      <c r="K76" s="187"/>
      <c r="L76" s="189">
        <f t="shared" si="11"/>
        <v>72</v>
      </c>
      <c r="M76" s="189">
        <f t="shared" si="22"/>
        <v>180</v>
      </c>
    </row>
    <row r="77" spans="1:13" ht="12.75" customHeight="1" x14ac:dyDescent="0.2">
      <c r="A77" s="191">
        <f t="shared" si="12"/>
        <v>217.5</v>
      </c>
      <c r="B77" s="186">
        <f t="shared" si="13"/>
        <v>1</v>
      </c>
      <c r="C77" s="187">
        <f t="shared" si="14"/>
        <v>0</v>
      </c>
      <c r="D77" s="186">
        <f t="shared" si="15"/>
        <v>0</v>
      </c>
      <c r="E77" s="187">
        <f t="shared" si="16"/>
        <v>2</v>
      </c>
      <c r="F77" s="186">
        <f t="shared" si="17"/>
        <v>0</v>
      </c>
      <c r="G77" s="187">
        <f t="shared" si="18"/>
        <v>0</v>
      </c>
      <c r="H77" s="186">
        <f t="shared" si="19"/>
        <v>0</v>
      </c>
      <c r="I77" s="187">
        <f t="shared" si="20"/>
        <v>0</v>
      </c>
      <c r="J77" s="186">
        <f t="shared" si="21"/>
        <v>1</v>
      </c>
      <c r="K77" s="187"/>
      <c r="L77" s="189">
        <f t="shared" ref="L77:L140" si="23">L76+1</f>
        <v>73</v>
      </c>
      <c r="M77" s="189">
        <f t="shared" si="22"/>
        <v>182.5</v>
      </c>
    </row>
    <row r="78" spans="1:13" ht="12.75" customHeight="1" x14ac:dyDescent="0.2">
      <c r="A78" s="191">
        <f t="shared" si="12"/>
        <v>220</v>
      </c>
      <c r="B78" s="186">
        <f t="shared" si="13"/>
        <v>1</v>
      </c>
      <c r="C78" s="187">
        <f t="shared" si="14"/>
        <v>0</v>
      </c>
      <c r="D78" s="186">
        <f t="shared" si="15"/>
        <v>0</v>
      </c>
      <c r="E78" s="187">
        <f t="shared" si="16"/>
        <v>2</v>
      </c>
      <c r="F78" s="186">
        <f t="shared" si="17"/>
        <v>0</v>
      </c>
      <c r="G78" s="187">
        <f t="shared" si="18"/>
        <v>0</v>
      </c>
      <c r="H78" s="186">
        <f t="shared" si="19"/>
        <v>0</v>
      </c>
      <c r="I78" s="187">
        <f t="shared" si="20"/>
        <v>1</v>
      </c>
      <c r="J78" s="186">
        <f t="shared" si="21"/>
        <v>0</v>
      </c>
      <c r="K78" s="187"/>
      <c r="L78" s="189">
        <f t="shared" si="23"/>
        <v>74</v>
      </c>
      <c r="M78" s="189">
        <f t="shared" si="22"/>
        <v>185</v>
      </c>
    </row>
    <row r="79" spans="1:13" ht="12.75" customHeight="1" x14ac:dyDescent="0.2">
      <c r="A79" s="191">
        <f t="shared" si="12"/>
        <v>222.5</v>
      </c>
      <c r="B79" s="186">
        <f t="shared" si="13"/>
        <v>1</v>
      </c>
      <c r="C79" s="187">
        <f t="shared" si="14"/>
        <v>0</v>
      </c>
      <c r="D79" s="186">
        <f t="shared" si="15"/>
        <v>0</v>
      </c>
      <c r="E79" s="187">
        <f t="shared" si="16"/>
        <v>2</v>
      </c>
      <c r="F79" s="186">
        <f t="shared" si="17"/>
        <v>0</v>
      </c>
      <c r="G79" s="187">
        <f t="shared" si="18"/>
        <v>0</v>
      </c>
      <c r="H79" s="186">
        <f t="shared" si="19"/>
        <v>0</v>
      </c>
      <c r="I79" s="187">
        <f t="shared" si="20"/>
        <v>1</v>
      </c>
      <c r="J79" s="186">
        <f t="shared" si="21"/>
        <v>1</v>
      </c>
      <c r="K79" s="187"/>
      <c r="L79" s="189">
        <f t="shared" si="23"/>
        <v>75</v>
      </c>
      <c r="M79" s="189">
        <f t="shared" si="22"/>
        <v>187.5</v>
      </c>
    </row>
    <row r="80" spans="1:13" ht="12.75" customHeight="1" x14ac:dyDescent="0.2">
      <c r="A80" s="191">
        <f t="shared" si="12"/>
        <v>225</v>
      </c>
      <c r="B80" s="186">
        <f t="shared" si="13"/>
        <v>1</v>
      </c>
      <c r="C80" s="187">
        <f t="shared" si="14"/>
        <v>0</v>
      </c>
      <c r="D80" s="186">
        <f t="shared" si="15"/>
        <v>0</v>
      </c>
      <c r="E80" s="187">
        <f t="shared" si="16"/>
        <v>2</v>
      </c>
      <c r="F80" s="186">
        <f t="shared" si="17"/>
        <v>0</v>
      </c>
      <c r="G80" s="187">
        <f t="shared" si="18"/>
        <v>0</v>
      </c>
      <c r="H80" s="186">
        <f t="shared" si="19"/>
        <v>1</v>
      </c>
      <c r="I80" s="187">
        <f t="shared" si="20"/>
        <v>0</v>
      </c>
      <c r="J80" s="186">
        <f t="shared" si="21"/>
        <v>0</v>
      </c>
      <c r="K80" s="187"/>
      <c r="L80" s="189">
        <f t="shared" si="23"/>
        <v>76</v>
      </c>
      <c r="M80" s="189">
        <f t="shared" si="22"/>
        <v>190</v>
      </c>
    </row>
    <row r="81" spans="1:13" ht="12.75" customHeight="1" x14ac:dyDescent="0.2">
      <c r="A81" s="191">
        <f t="shared" si="12"/>
        <v>227.5</v>
      </c>
      <c r="B81" s="186">
        <f t="shared" si="13"/>
        <v>1</v>
      </c>
      <c r="C81" s="187">
        <f t="shared" si="14"/>
        <v>0</v>
      </c>
      <c r="D81" s="186">
        <f t="shared" si="15"/>
        <v>0</v>
      </c>
      <c r="E81" s="187">
        <f t="shared" si="16"/>
        <v>2</v>
      </c>
      <c r="F81" s="186">
        <f t="shared" si="17"/>
        <v>0</v>
      </c>
      <c r="G81" s="187">
        <f t="shared" si="18"/>
        <v>0</v>
      </c>
      <c r="H81" s="186">
        <f t="shared" si="19"/>
        <v>1</v>
      </c>
      <c r="I81" s="187">
        <f t="shared" si="20"/>
        <v>0</v>
      </c>
      <c r="J81" s="186">
        <f t="shared" si="21"/>
        <v>1</v>
      </c>
      <c r="K81" s="187"/>
      <c r="L81" s="189">
        <f t="shared" si="23"/>
        <v>77</v>
      </c>
      <c r="M81" s="189">
        <f t="shared" si="22"/>
        <v>192.5</v>
      </c>
    </row>
    <row r="82" spans="1:13" ht="12.75" customHeight="1" x14ac:dyDescent="0.2">
      <c r="A82" s="191">
        <f t="shared" si="12"/>
        <v>230</v>
      </c>
      <c r="B82" s="186">
        <f t="shared" si="13"/>
        <v>1</v>
      </c>
      <c r="C82" s="187">
        <f t="shared" si="14"/>
        <v>0</v>
      </c>
      <c r="D82" s="186">
        <f t="shared" si="15"/>
        <v>0</v>
      </c>
      <c r="E82" s="187">
        <f t="shared" si="16"/>
        <v>2</v>
      </c>
      <c r="F82" s="186">
        <f t="shared" si="17"/>
        <v>0</v>
      </c>
      <c r="G82" s="187">
        <f t="shared" si="18"/>
        <v>0</v>
      </c>
      <c r="H82" s="186">
        <f t="shared" si="19"/>
        <v>1</v>
      </c>
      <c r="I82" s="187">
        <f t="shared" si="20"/>
        <v>1</v>
      </c>
      <c r="J82" s="186">
        <f t="shared" si="21"/>
        <v>0</v>
      </c>
      <c r="K82" s="187"/>
      <c r="L82" s="189">
        <f t="shared" si="23"/>
        <v>78</v>
      </c>
      <c r="M82" s="189">
        <f t="shared" si="22"/>
        <v>195</v>
      </c>
    </row>
    <row r="83" spans="1:13" ht="12.75" customHeight="1" x14ac:dyDescent="0.2">
      <c r="A83" s="191">
        <f t="shared" si="12"/>
        <v>232.5</v>
      </c>
      <c r="B83" s="186">
        <f t="shared" si="13"/>
        <v>1</v>
      </c>
      <c r="C83" s="187">
        <f t="shared" si="14"/>
        <v>0</v>
      </c>
      <c r="D83" s="186">
        <f t="shared" si="15"/>
        <v>0</v>
      </c>
      <c r="E83" s="187">
        <f t="shared" si="16"/>
        <v>2</v>
      </c>
      <c r="F83" s="186">
        <f t="shared" si="17"/>
        <v>0</v>
      </c>
      <c r="G83" s="187">
        <f t="shared" si="18"/>
        <v>0</v>
      </c>
      <c r="H83" s="186">
        <f t="shared" si="19"/>
        <v>1</v>
      </c>
      <c r="I83" s="187">
        <f t="shared" si="20"/>
        <v>1</v>
      </c>
      <c r="J83" s="186">
        <f t="shared" si="21"/>
        <v>1</v>
      </c>
      <c r="K83" s="187"/>
      <c r="L83" s="189">
        <f t="shared" si="23"/>
        <v>79</v>
      </c>
      <c r="M83" s="189">
        <f t="shared" si="22"/>
        <v>197.5</v>
      </c>
    </row>
    <row r="84" spans="1:13" ht="12.75" customHeight="1" x14ac:dyDescent="0.2">
      <c r="A84" s="191">
        <f t="shared" si="12"/>
        <v>235</v>
      </c>
      <c r="B84" s="186">
        <f t="shared" si="13"/>
        <v>2</v>
      </c>
      <c r="C84" s="187">
        <f t="shared" si="14"/>
        <v>0</v>
      </c>
      <c r="D84" s="186">
        <f t="shared" si="15"/>
        <v>0</v>
      </c>
      <c r="E84" s="187">
        <f t="shared" si="16"/>
        <v>0</v>
      </c>
      <c r="F84" s="186">
        <f t="shared" si="17"/>
        <v>0</v>
      </c>
      <c r="G84" s="187">
        <f t="shared" si="18"/>
        <v>0</v>
      </c>
      <c r="H84" s="186">
        <f t="shared" si="19"/>
        <v>0</v>
      </c>
      <c r="I84" s="187">
        <f t="shared" si="20"/>
        <v>0</v>
      </c>
      <c r="J84" s="186">
        <f t="shared" si="21"/>
        <v>0</v>
      </c>
      <c r="K84" s="187"/>
      <c r="L84" s="189">
        <f t="shared" si="23"/>
        <v>80</v>
      </c>
      <c r="M84" s="189">
        <f t="shared" si="22"/>
        <v>200</v>
      </c>
    </row>
    <row r="85" spans="1:13" ht="12.75" customHeight="1" x14ac:dyDescent="0.2">
      <c r="A85" s="191">
        <f t="shared" si="12"/>
        <v>237.5</v>
      </c>
      <c r="B85" s="186">
        <f t="shared" si="13"/>
        <v>2</v>
      </c>
      <c r="C85" s="187">
        <f t="shared" si="14"/>
        <v>0</v>
      </c>
      <c r="D85" s="186">
        <f t="shared" si="15"/>
        <v>0</v>
      </c>
      <c r="E85" s="187">
        <f t="shared" si="16"/>
        <v>0</v>
      </c>
      <c r="F85" s="186">
        <f t="shared" si="17"/>
        <v>0</v>
      </c>
      <c r="G85" s="187">
        <f t="shared" si="18"/>
        <v>0</v>
      </c>
      <c r="H85" s="186">
        <f t="shared" si="19"/>
        <v>0</v>
      </c>
      <c r="I85" s="187">
        <f t="shared" si="20"/>
        <v>0</v>
      </c>
      <c r="J85" s="186">
        <f t="shared" si="21"/>
        <v>1</v>
      </c>
      <c r="K85" s="187"/>
      <c r="L85" s="189">
        <f t="shared" si="23"/>
        <v>81</v>
      </c>
      <c r="M85" s="189">
        <f t="shared" si="22"/>
        <v>202.5</v>
      </c>
    </row>
    <row r="86" spans="1:13" ht="12.75" customHeight="1" x14ac:dyDescent="0.2">
      <c r="A86" s="191">
        <f t="shared" si="12"/>
        <v>240</v>
      </c>
      <c r="B86" s="186">
        <f t="shared" si="13"/>
        <v>2</v>
      </c>
      <c r="C86" s="187">
        <f t="shared" si="14"/>
        <v>0</v>
      </c>
      <c r="D86" s="186">
        <f t="shared" si="15"/>
        <v>0</v>
      </c>
      <c r="E86" s="187">
        <f t="shared" si="16"/>
        <v>0</v>
      </c>
      <c r="F86" s="186">
        <f t="shared" si="17"/>
        <v>0</v>
      </c>
      <c r="G86" s="187">
        <f t="shared" si="18"/>
        <v>0</v>
      </c>
      <c r="H86" s="186">
        <f t="shared" si="19"/>
        <v>0</v>
      </c>
      <c r="I86" s="187">
        <f t="shared" si="20"/>
        <v>1</v>
      </c>
      <c r="J86" s="186">
        <f t="shared" si="21"/>
        <v>0</v>
      </c>
      <c r="K86" s="187"/>
      <c r="L86" s="189">
        <f t="shared" si="23"/>
        <v>82</v>
      </c>
      <c r="M86" s="189">
        <f t="shared" si="22"/>
        <v>205</v>
      </c>
    </row>
    <row r="87" spans="1:13" ht="12.75" customHeight="1" x14ac:dyDescent="0.2">
      <c r="A87" s="191">
        <f t="shared" si="12"/>
        <v>242.5</v>
      </c>
      <c r="B87" s="186">
        <f t="shared" si="13"/>
        <v>2</v>
      </c>
      <c r="C87" s="187">
        <f t="shared" si="14"/>
        <v>0</v>
      </c>
      <c r="D87" s="186">
        <f t="shared" si="15"/>
        <v>0</v>
      </c>
      <c r="E87" s="187">
        <f t="shared" si="16"/>
        <v>0</v>
      </c>
      <c r="F87" s="186">
        <f t="shared" si="17"/>
        <v>0</v>
      </c>
      <c r="G87" s="187">
        <f t="shared" si="18"/>
        <v>0</v>
      </c>
      <c r="H87" s="186">
        <f t="shared" si="19"/>
        <v>0</v>
      </c>
      <c r="I87" s="187">
        <f t="shared" si="20"/>
        <v>1</v>
      </c>
      <c r="J87" s="186">
        <f t="shared" si="21"/>
        <v>1</v>
      </c>
      <c r="K87" s="187"/>
      <c r="L87" s="189">
        <f t="shared" si="23"/>
        <v>83</v>
      </c>
      <c r="M87" s="189">
        <f t="shared" si="22"/>
        <v>207.5</v>
      </c>
    </row>
    <row r="88" spans="1:13" ht="12.75" customHeight="1" x14ac:dyDescent="0.2">
      <c r="A88" s="191">
        <f t="shared" si="12"/>
        <v>245</v>
      </c>
      <c r="B88" s="186">
        <f t="shared" si="13"/>
        <v>2</v>
      </c>
      <c r="C88" s="187">
        <f t="shared" si="14"/>
        <v>0</v>
      </c>
      <c r="D88" s="186">
        <f t="shared" si="15"/>
        <v>0</v>
      </c>
      <c r="E88" s="187">
        <f t="shared" si="16"/>
        <v>0</v>
      </c>
      <c r="F88" s="186">
        <f t="shared" si="17"/>
        <v>0</v>
      </c>
      <c r="G88" s="187">
        <f t="shared" si="18"/>
        <v>0</v>
      </c>
      <c r="H88" s="186">
        <f t="shared" si="19"/>
        <v>1</v>
      </c>
      <c r="I88" s="187">
        <f t="shared" si="20"/>
        <v>0</v>
      </c>
      <c r="J88" s="186">
        <f t="shared" si="21"/>
        <v>0</v>
      </c>
      <c r="K88" s="187"/>
      <c r="L88" s="189">
        <f t="shared" si="23"/>
        <v>84</v>
      </c>
      <c r="M88" s="189">
        <f t="shared" si="22"/>
        <v>210</v>
      </c>
    </row>
    <row r="89" spans="1:13" ht="12.75" customHeight="1" x14ac:dyDescent="0.2">
      <c r="A89" s="191">
        <f t="shared" si="12"/>
        <v>247.5</v>
      </c>
      <c r="B89" s="186">
        <f t="shared" si="13"/>
        <v>2</v>
      </c>
      <c r="C89" s="187">
        <f t="shared" si="14"/>
        <v>0</v>
      </c>
      <c r="D89" s="186">
        <f t="shared" si="15"/>
        <v>0</v>
      </c>
      <c r="E89" s="187">
        <f t="shared" si="16"/>
        <v>0</v>
      </c>
      <c r="F89" s="186">
        <f t="shared" si="17"/>
        <v>0</v>
      </c>
      <c r="G89" s="187">
        <f t="shared" si="18"/>
        <v>0</v>
      </c>
      <c r="H89" s="186">
        <f t="shared" si="19"/>
        <v>1</v>
      </c>
      <c r="I89" s="187">
        <f t="shared" si="20"/>
        <v>0</v>
      </c>
      <c r="J89" s="186">
        <f t="shared" si="21"/>
        <v>1</v>
      </c>
      <c r="K89" s="187"/>
      <c r="L89" s="189">
        <f t="shared" si="23"/>
        <v>85</v>
      </c>
      <c r="M89" s="189">
        <f t="shared" si="22"/>
        <v>212.5</v>
      </c>
    </row>
    <row r="90" spans="1:13" ht="12.75" customHeight="1" x14ac:dyDescent="0.2">
      <c r="A90" s="191">
        <f t="shared" si="12"/>
        <v>250</v>
      </c>
      <c r="B90" s="186">
        <f t="shared" si="13"/>
        <v>2</v>
      </c>
      <c r="C90" s="187">
        <f t="shared" si="14"/>
        <v>0</v>
      </c>
      <c r="D90" s="186">
        <f t="shared" si="15"/>
        <v>0</v>
      </c>
      <c r="E90" s="187">
        <f t="shared" si="16"/>
        <v>0</v>
      </c>
      <c r="F90" s="186">
        <f t="shared" si="17"/>
        <v>0</v>
      </c>
      <c r="G90" s="187">
        <f t="shared" si="18"/>
        <v>0</v>
      </c>
      <c r="H90" s="186">
        <f t="shared" si="19"/>
        <v>1</v>
      </c>
      <c r="I90" s="187">
        <f t="shared" si="20"/>
        <v>1</v>
      </c>
      <c r="J90" s="186">
        <f t="shared" si="21"/>
        <v>0</v>
      </c>
      <c r="K90" s="187"/>
      <c r="L90" s="189">
        <f t="shared" si="23"/>
        <v>86</v>
      </c>
      <c r="M90" s="189">
        <f t="shared" si="22"/>
        <v>215</v>
      </c>
    </row>
    <row r="91" spans="1:13" ht="12.75" customHeight="1" x14ac:dyDescent="0.2">
      <c r="A91" s="191">
        <f t="shared" si="12"/>
        <v>252.5</v>
      </c>
      <c r="B91" s="186">
        <f t="shared" si="13"/>
        <v>2</v>
      </c>
      <c r="C91" s="187">
        <f t="shared" si="14"/>
        <v>0</v>
      </c>
      <c r="D91" s="186">
        <f t="shared" si="15"/>
        <v>0</v>
      </c>
      <c r="E91" s="187">
        <f t="shared" si="16"/>
        <v>0</v>
      </c>
      <c r="F91" s="186">
        <f t="shared" si="17"/>
        <v>0</v>
      </c>
      <c r="G91" s="187">
        <f t="shared" si="18"/>
        <v>0</v>
      </c>
      <c r="H91" s="186">
        <f t="shared" si="19"/>
        <v>1</v>
      </c>
      <c r="I91" s="187">
        <f t="shared" si="20"/>
        <v>1</v>
      </c>
      <c r="J91" s="186">
        <f t="shared" si="21"/>
        <v>1</v>
      </c>
      <c r="K91" s="187"/>
      <c r="L91" s="189">
        <f t="shared" si="23"/>
        <v>87</v>
      </c>
      <c r="M91" s="189">
        <f t="shared" si="22"/>
        <v>217.5</v>
      </c>
    </row>
    <row r="92" spans="1:13" ht="12.75" customHeight="1" x14ac:dyDescent="0.2">
      <c r="A92" s="191">
        <f t="shared" si="12"/>
        <v>255</v>
      </c>
      <c r="B92" s="186">
        <f t="shared" si="13"/>
        <v>2</v>
      </c>
      <c r="C92" s="187">
        <f t="shared" si="14"/>
        <v>0</v>
      </c>
      <c r="D92" s="186">
        <f t="shared" si="15"/>
        <v>0</v>
      </c>
      <c r="E92" s="187">
        <f t="shared" si="16"/>
        <v>0</v>
      </c>
      <c r="F92" s="186">
        <f t="shared" si="17"/>
        <v>0</v>
      </c>
      <c r="G92" s="187">
        <f t="shared" si="18"/>
        <v>1</v>
      </c>
      <c r="H92" s="186">
        <f t="shared" si="19"/>
        <v>0</v>
      </c>
      <c r="I92" s="187">
        <f t="shared" si="20"/>
        <v>0</v>
      </c>
      <c r="J92" s="186">
        <f t="shared" si="21"/>
        <v>0</v>
      </c>
      <c r="K92" s="187"/>
      <c r="L92" s="189">
        <f t="shared" si="23"/>
        <v>88</v>
      </c>
      <c r="M92" s="189">
        <f t="shared" si="22"/>
        <v>220</v>
      </c>
    </row>
    <row r="93" spans="1:13" ht="12.75" customHeight="1" x14ac:dyDescent="0.2">
      <c r="A93" s="191">
        <f t="shared" si="12"/>
        <v>257.5</v>
      </c>
      <c r="B93" s="186">
        <f t="shared" si="13"/>
        <v>2</v>
      </c>
      <c r="C93" s="187">
        <f t="shared" si="14"/>
        <v>0</v>
      </c>
      <c r="D93" s="186">
        <f t="shared" si="15"/>
        <v>0</v>
      </c>
      <c r="E93" s="187">
        <f t="shared" si="16"/>
        <v>0</v>
      </c>
      <c r="F93" s="186">
        <f t="shared" si="17"/>
        <v>0</v>
      </c>
      <c r="G93" s="187">
        <f t="shared" si="18"/>
        <v>1</v>
      </c>
      <c r="H93" s="186">
        <f t="shared" si="19"/>
        <v>0</v>
      </c>
      <c r="I93" s="187">
        <f t="shared" si="20"/>
        <v>0</v>
      </c>
      <c r="J93" s="186">
        <f t="shared" si="21"/>
        <v>1</v>
      </c>
      <c r="K93" s="187"/>
      <c r="L93" s="189">
        <f t="shared" si="23"/>
        <v>89</v>
      </c>
      <c r="M93" s="189">
        <f t="shared" si="22"/>
        <v>222.5</v>
      </c>
    </row>
    <row r="94" spans="1:13" ht="12.75" customHeight="1" x14ac:dyDescent="0.2">
      <c r="A94" s="191">
        <f t="shared" si="12"/>
        <v>260</v>
      </c>
      <c r="B94" s="186">
        <f t="shared" si="13"/>
        <v>2</v>
      </c>
      <c r="C94" s="187">
        <f t="shared" si="14"/>
        <v>0</v>
      </c>
      <c r="D94" s="186">
        <f t="shared" si="15"/>
        <v>0</v>
      </c>
      <c r="E94" s="187">
        <f t="shared" si="16"/>
        <v>0</v>
      </c>
      <c r="F94" s="186">
        <f t="shared" si="17"/>
        <v>0</v>
      </c>
      <c r="G94" s="187">
        <f t="shared" si="18"/>
        <v>1</v>
      </c>
      <c r="H94" s="186">
        <f t="shared" si="19"/>
        <v>0</v>
      </c>
      <c r="I94" s="187">
        <f t="shared" si="20"/>
        <v>1</v>
      </c>
      <c r="J94" s="186">
        <f t="shared" si="21"/>
        <v>0</v>
      </c>
      <c r="K94" s="187"/>
      <c r="L94" s="189">
        <f t="shared" si="23"/>
        <v>90</v>
      </c>
      <c r="M94" s="189">
        <f t="shared" si="22"/>
        <v>225</v>
      </c>
    </row>
    <row r="95" spans="1:13" ht="12.75" customHeight="1" x14ac:dyDescent="0.2">
      <c r="A95" s="191">
        <f t="shared" si="12"/>
        <v>262.5</v>
      </c>
      <c r="B95" s="186">
        <f t="shared" si="13"/>
        <v>2</v>
      </c>
      <c r="C95" s="187">
        <f t="shared" si="14"/>
        <v>0</v>
      </c>
      <c r="D95" s="186">
        <f t="shared" si="15"/>
        <v>0</v>
      </c>
      <c r="E95" s="187">
        <f t="shared" si="16"/>
        <v>0</v>
      </c>
      <c r="F95" s="186">
        <f t="shared" si="17"/>
        <v>0</v>
      </c>
      <c r="G95" s="187">
        <f t="shared" si="18"/>
        <v>1</v>
      </c>
      <c r="H95" s="186">
        <f t="shared" si="19"/>
        <v>0</v>
      </c>
      <c r="I95" s="187">
        <f t="shared" si="20"/>
        <v>1</v>
      </c>
      <c r="J95" s="186">
        <f t="shared" si="21"/>
        <v>1</v>
      </c>
      <c r="K95" s="187"/>
      <c r="L95" s="189">
        <f t="shared" si="23"/>
        <v>91</v>
      </c>
      <c r="M95" s="189">
        <f t="shared" si="22"/>
        <v>227.5</v>
      </c>
    </row>
    <row r="96" spans="1:13" ht="12.75" customHeight="1" x14ac:dyDescent="0.2">
      <c r="A96" s="191">
        <f t="shared" si="12"/>
        <v>265</v>
      </c>
      <c r="B96" s="186">
        <f t="shared" si="13"/>
        <v>2</v>
      </c>
      <c r="C96" s="187">
        <f t="shared" si="14"/>
        <v>0</v>
      </c>
      <c r="D96" s="186">
        <f t="shared" si="15"/>
        <v>0</v>
      </c>
      <c r="E96" s="187">
        <f t="shared" si="16"/>
        <v>0</v>
      </c>
      <c r="F96" s="186">
        <f t="shared" si="17"/>
        <v>1</v>
      </c>
      <c r="G96" s="187">
        <f t="shared" si="18"/>
        <v>0</v>
      </c>
      <c r="H96" s="186">
        <f t="shared" si="19"/>
        <v>0</v>
      </c>
      <c r="I96" s="187">
        <f t="shared" si="20"/>
        <v>0</v>
      </c>
      <c r="J96" s="186">
        <f t="shared" si="21"/>
        <v>0</v>
      </c>
      <c r="K96" s="187"/>
      <c r="L96" s="189">
        <f t="shared" si="23"/>
        <v>92</v>
      </c>
      <c r="M96" s="189">
        <f t="shared" si="22"/>
        <v>230</v>
      </c>
    </row>
    <row r="97" spans="1:13" ht="12.75" customHeight="1" x14ac:dyDescent="0.2">
      <c r="A97" s="191">
        <f t="shared" si="12"/>
        <v>267.5</v>
      </c>
      <c r="B97" s="186">
        <f t="shared" si="13"/>
        <v>2</v>
      </c>
      <c r="C97" s="187">
        <f t="shared" si="14"/>
        <v>0</v>
      </c>
      <c r="D97" s="186">
        <f t="shared" si="15"/>
        <v>0</v>
      </c>
      <c r="E97" s="187">
        <f t="shared" si="16"/>
        <v>0</v>
      </c>
      <c r="F97" s="186">
        <f t="shared" si="17"/>
        <v>1</v>
      </c>
      <c r="G97" s="187">
        <f t="shared" si="18"/>
        <v>0</v>
      </c>
      <c r="H97" s="186">
        <f t="shared" si="19"/>
        <v>0</v>
      </c>
      <c r="I97" s="187">
        <f t="shared" si="20"/>
        <v>0</v>
      </c>
      <c r="J97" s="186">
        <f t="shared" si="21"/>
        <v>1</v>
      </c>
      <c r="K97" s="187"/>
      <c r="L97" s="189">
        <f t="shared" si="23"/>
        <v>93</v>
      </c>
      <c r="M97" s="189">
        <f t="shared" si="22"/>
        <v>232.5</v>
      </c>
    </row>
    <row r="98" spans="1:13" ht="12.75" customHeight="1" x14ac:dyDescent="0.2">
      <c r="A98" s="191">
        <f t="shared" si="12"/>
        <v>270</v>
      </c>
      <c r="B98" s="186">
        <f t="shared" si="13"/>
        <v>2</v>
      </c>
      <c r="C98" s="187">
        <f t="shared" si="14"/>
        <v>0</v>
      </c>
      <c r="D98" s="186">
        <f t="shared" si="15"/>
        <v>0</v>
      </c>
      <c r="E98" s="187">
        <f t="shared" si="16"/>
        <v>0</v>
      </c>
      <c r="F98" s="186">
        <f t="shared" si="17"/>
        <v>1</v>
      </c>
      <c r="G98" s="187">
        <f t="shared" si="18"/>
        <v>0</v>
      </c>
      <c r="H98" s="186">
        <f t="shared" si="19"/>
        <v>0</v>
      </c>
      <c r="I98" s="187">
        <f t="shared" si="20"/>
        <v>1</v>
      </c>
      <c r="J98" s="186">
        <f t="shared" si="21"/>
        <v>0</v>
      </c>
      <c r="K98" s="187"/>
      <c r="L98" s="189">
        <f t="shared" si="23"/>
        <v>94</v>
      </c>
      <c r="M98" s="189">
        <f t="shared" si="22"/>
        <v>235</v>
      </c>
    </row>
    <row r="99" spans="1:13" ht="12.75" customHeight="1" x14ac:dyDescent="0.2">
      <c r="A99" s="191">
        <f t="shared" si="12"/>
        <v>272.5</v>
      </c>
      <c r="B99" s="186">
        <f t="shared" si="13"/>
        <v>2</v>
      </c>
      <c r="C99" s="187">
        <f t="shared" si="14"/>
        <v>0</v>
      </c>
      <c r="D99" s="186">
        <f t="shared" si="15"/>
        <v>0</v>
      </c>
      <c r="E99" s="187">
        <f t="shared" si="16"/>
        <v>0</v>
      </c>
      <c r="F99" s="186">
        <f t="shared" si="17"/>
        <v>1</v>
      </c>
      <c r="G99" s="187">
        <f t="shared" si="18"/>
        <v>0</v>
      </c>
      <c r="H99" s="186">
        <f t="shared" si="19"/>
        <v>0</v>
      </c>
      <c r="I99" s="187">
        <f t="shared" si="20"/>
        <v>1</v>
      </c>
      <c r="J99" s="186">
        <f t="shared" si="21"/>
        <v>1</v>
      </c>
      <c r="K99" s="187"/>
      <c r="L99" s="189">
        <f t="shared" si="23"/>
        <v>95</v>
      </c>
      <c r="M99" s="189">
        <f t="shared" si="22"/>
        <v>237.5</v>
      </c>
    </row>
    <row r="100" spans="1:13" ht="12.75" customHeight="1" x14ac:dyDescent="0.2">
      <c r="A100" s="191">
        <f t="shared" si="12"/>
        <v>275</v>
      </c>
      <c r="B100" s="186">
        <f t="shared" si="13"/>
        <v>2</v>
      </c>
      <c r="C100" s="187">
        <f t="shared" si="14"/>
        <v>0</v>
      </c>
      <c r="D100" s="186">
        <f t="shared" si="15"/>
        <v>0</v>
      </c>
      <c r="E100" s="187">
        <f t="shared" si="16"/>
        <v>1</v>
      </c>
      <c r="F100" s="186">
        <f t="shared" si="17"/>
        <v>0</v>
      </c>
      <c r="G100" s="187">
        <f t="shared" si="18"/>
        <v>0</v>
      </c>
      <c r="H100" s="186">
        <f t="shared" si="19"/>
        <v>0</v>
      </c>
      <c r="I100" s="187">
        <f t="shared" si="20"/>
        <v>0</v>
      </c>
      <c r="J100" s="186">
        <f t="shared" si="21"/>
        <v>0</v>
      </c>
      <c r="K100" s="187"/>
      <c r="L100" s="189">
        <f t="shared" si="23"/>
        <v>96</v>
      </c>
      <c r="M100" s="189">
        <f t="shared" si="22"/>
        <v>240</v>
      </c>
    </row>
    <row r="101" spans="1:13" ht="12.75" customHeight="1" x14ac:dyDescent="0.2">
      <c r="A101" s="191">
        <f t="shared" si="12"/>
        <v>277.5</v>
      </c>
      <c r="B101" s="186">
        <f t="shared" si="13"/>
        <v>2</v>
      </c>
      <c r="C101" s="187">
        <f t="shared" si="14"/>
        <v>0</v>
      </c>
      <c r="D101" s="186">
        <f t="shared" si="15"/>
        <v>0</v>
      </c>
      <c r="E101" s="187">
        <f t="shared" si="16"/>
        <v>1</v>
      </c>
      <c r="F101" s="186">
        <f t="shared" si="17"/>
        <v>0</v>
      </c>
      <c r="G101" s="187">
        <f t="shared" si="18"/>
        <v>0</v>
      </c>
      <c r="H101" s="186">
        <f t="shared" si="19"/>
        <v>0</v>
      </c>
      <c r="I101" s="187">
        <f t="shared" si="20"/>
        <v>0</v>
      </c>
      <c r="J101" s="186">
        <f t="shared" si="21"/>
        <v>1</v>
      </c>
      <c r="K101" s="187"/>
      <c r="L101" s="189">
        <f t="shared" si="23"/>
        <v>97</v>
      </c>
      <c r="M101" s="189">
        <f t="shared" si="22"/>
        <v>242.5</v>
      </c>
    </row>
    <row r="102" spans="1:13" ht="12.75" customHeight="1" x14ac:dyDescent="0.2">
      <c r="A102" s="191">
        <f t="shared" si="12"/>
        <v>280</v>
      </c>
      <c r="B102" s="186">
        <f t="shared" si="13"/>
        <v>2</v>
      </c>
      <c r="C102" s="187">
        <f t="shared" si="14"/>
        <v>0</v>
      </c>
      <c r="D102" s="186">
        <f t="shared" si="15"/>
        <v>0</v>
      </c>
      <c r="E102" s="187">
        <f t="shared" si="16"/>
        <v>1</v>
      </c>
      <c r="F102" s="186">
        <f t="shared" si="17"/>
        <v>0</v>
      </c>
      <c r="G102" s="187">
        <f t="shared" si="18"/>
        <v>0</v>
      </c>
      <c r="H102" s="186">
        <f t="shared" si="19"/>
        <v>0</v>
      </c>
      <c r="I102" s="187">
        <f t="shared" si="20"/>
        <v>1</v>
      </c>
      <c r="J102" s="186">
        <f t="shared" si="21"/>
        <v>0</v>
      </c>
      <c r="K102" s="187"/>
      <c r="L102" s="189">
        <f t="shared" si="23"/>
        <v>98</v>
      </c>
      <c r="M102" s="189">
        <f t="shared" si="22"/>
        <v>245</v>
      </c>
    </row>
    <row r="103" spans="1:13" ht="12.75" customHeight="1" x14ac:dyDescent="0.2">
      <c r="A103" s="191">
        <f t="shared" si="12"/>
        <v>282.5</v>
      </c>
      <c r="B103" s="186">
        <f t="shared" si="13"/>
        <v>2</v>
      </c>
      <c r="C103" s="187">
        <f t="shared" si="14"/>
        <v>0</v>
      </c>
      <c r="D103" s="186">
        <f t="shared" si="15"/>
        <v>0</v>
      </c>
      <c r="E103" s="187">
        <f t="shared" si="16"/>
        <v>1</v>
      </c>
      <c r="F103" s="186">
        <f t="shared" si="17"/>
        <v>0</v>
      </c>
      <c r="G103" s="187">
        <f t="shared" si="18"/>
        <v>0</v>
      </c>
      <c r="H103" s="186">
        <f t="shared" si="19"/>
        <v>0</v>
      </c>
      <c r="I103" s="187">
        <f t="shared" si="20"/>
        <v>1</v>
      </c>
      <c r="J103" s="186">
        <f t="shared" si="21"/>
        <v>1</v>
      </c>
      <c r="K103" s="187"/>
      <c r="L103" s="189">
        <f t="shared" si="23"/>
        <v>99</v>
      </c>
      <c r="M103" s="189">
        <f t="shared" si="22"/>
        <v>247.5</v>
      </c>
    </row>
    <row r="104" spans="1:13" ht="12.75" customHeight="1" x14ac:dyDescent="0.2">
      <c r="A104" s="191">
        <f t="shared" si="12"/>
        <v>285</v>
      </c>
      <c r="B104" s="186">
        <f t="shared" si="13"/>
        <v>2</v>
      </c>
      <c r="C104" s="187">
        <f t="shared" si="14"/>
        <v>0</v>
      </c>
      <c r="D104" s="186">
        <f t="shared" si="15"/>
        <v>0</v>
      </c>
      <c r="E104" s="187">
        <f t="shared" si="16"/>
        <v>1</v>
      </c>
      <c r="F104" s="186">
        <f t="shared" si="17"/>
        <v>0</v>
      </c>
      <c r="G104" s="187">
        <f t="shared" si="18"/>
        <v>0</v>
      </c>
      <c r="H104" s="186">
        <f t="shared" si="19"/>
        <v>1</v>
      </c>
      <c r="I104" s="187">
        <f t="shared" si="20"/>
        <v>0</v>
      </c>
      <c r="J104" s="186">
        <f t="shared" si="21"/>
        <v>0</v>
      </c>
      <c r="K104" s="187"/>
      <c r="L104" s="189">
        <f t="shared" si="23"/>
        <v>100</v>
      </c>
      <c r="M104" s="189">
        <f t="shared" si="22"/>
        <v>250</v>
      </c>
    </row>
    <row r="105" spans="1:13" ht="12.75" customHeight="1" x14ac:dyDescent="0.2">
      <c r="A105" s="191">
        <f t="shared" si="12"/>
        <v>287.5</v>
      </c>
      <c r="B105" s="186">
        <f t="shared" si="13"/>
        <v>2</v>
      </c>
      <c r="C105" s="187">
        <f t="shared" si="14"/>
        <v>0</v>
      </c>
      <c r="D105" s="186">
        <f t="shared" si="15"/>
        <v>0</v>
      </c>
      <c r="E105" s="187">
        <f t="shared" si="16"/>
        <v>1</v>
      </c>
      <c r="F105" s="186">
        <f t="shared" si="17"/>
        <v>0</v>
      </c>
      <c r="G105" s="187">
        <f t="shared" si="18"/>
        <v>0</v>
      </c>
      <c r="H105" s="186">
        <f t="shared" si="19"/>
        <v>1</v>
      </c>
      <c r="I105" s="187">
        <f t="shared" si="20"/>
        <v>0</v>
      </c>
      <c r="J105" s="186">
        <f t="shared" si="21"/>
        <v>1</v>
      </c>
      <c r="K105" s="187"/>
      <c r="L105" s="189">
        <f t="shared" si="23"/>
        <v>101</v>
      </c>
      <c r="M105" s="189">
        <f t="shared" si="22"/>
        <v>252.5</v>
      </c>
    </row>
    <row r="106" spans="1:13" ht="12.75" customHeight="1" x14ac:dyDescent="0.2">
      <c r="A106" s="191">
        <f t="shared" si="12"/>
        <v>290</v>
      </c>
      <c r="B106" s="186">
        <f t="shared" si="13"/>
        <v>2</v>
      </c>
      <c r="C106" s="187">
        <f t="shared" si="14"/>
        <v>0</v>
      </c>
      <c r="D106" s="186">
        <f t="shared" si="15"/>
        <v>0</v>
      </c>
      <c r="E106" s="187">
        <f t="shared" si="16"/>
        <v>1</v>
      </c>
      <c r="F106" s="186">
        <f t="shared" si="17"/>
        <v>0</v>
      </c>
      <c r="G106" s="187">
        <f t="shared" si="18"/>
        <v>0</v>
      </c>
      <c r="H106" s="186">
        <f t="shared" si="19"/>
        <v>1</v>
      </c>
      <c r="I106" s="187">
        <f t="shared" si="20"/>
        <v>1</v>
      </c>
      <c r="J106" s="186">
        <f t="shared" si="21"/>
        <v>0</v>
      </c>
      <c r="K106" s="187"/>
      <c r="L106" s="189">
        <f t="shared" si="23"/>
        <v>102</v>
      </c>
      <c r="M106" s="189">
        <f t="shared" si="22"/>
        <v>255</v>
      </c>
    </row>
    <row r="107" spans="1:13" ht="12.75" customHeight="1" x14ac:dyDescent="0.2">
      <c r="A107" s="191">
        <f t="shared" si="12"/>
        <v>292.5</v>
      </c>
      <c r="B107" s="186">
        <f t="shared" si="13"/>
        <v>2</v>
      </c>
      <c r="C107" s="187">
        <f t="shared" si="14"/>
        <v>0</v>
      </c>
      <c r="D107" s="186">
        <f t="shared" si="15"/>
        <v>0</v>
      </c>
      <c r="E107" s="187">
        <f t="shared" si="16"/>
        <v>1</v>
      </c>
      <c r="F107" s="186">
        <f t="shared" si="17"/>
        <v>0</v>
      </c>
      <c r="G107" s="187">
        <f t="shared" si="18"/>
        <v>0</v>
      </c>
      <c r="H107" s="186">
        <f t="shared" si="19"/>
        <v>1</v>
      </c>
      <c r="I107" s="187">
        <f t="shared" si="20"/>
        <v>1</v>
      </c>
      <c r="J107" s="186">
        <f t="shared" si="21"/>
        <v>1</v>
      </c>
      <c r="K107" s="187"/>
      <c r="L107" s="189">
        <f t="shared" si="23"/>
        <v>103</v>
      </c>
      <c r="M107" s="189">
        <f t="shared" si="22"/>
        <v>257.5</v>
      </c>
    </row>
    <row r="108" spans="1:13" ht="12.75" customHeight="1" x14ac:dyDescent="0.2">
      <c r="A108" s="191">
        <f t="shared" si="12"/>
        <v>295</v>
      </c>
      <c r="B108" s="186">
        <f t="shared" si="13"/>
        <v>2</v>
      </c>
      <c r="C108" s="187">
        <f t="shared" si="14"/>
        <v>0</v>
      </c>
      <c r="D108" s="186">
        <f t="shared" si="15"/>
        <v>0</v>
      </c>
      <c r="E108" s="187">
        <f t="shared" si="16"/>
        <v>1</v>
      </c>
      <c r="F108" s="186">
        <f t="shared" si="17"/>
        <v>0</v>
      </c>
      <c r="G108" s="187">
        <f t="shared" si="18"/>
        <v>1</v>
      </c>
      <c r="H108" s="186">
        <f t="shared" si="19"/>
        <v>0</v>
      </c>
      <c r="I108" s="187">
        <f t="shared" si="20"/>
        <v>0</v>
      </c>
      <c r="J108" s="186">
        <f t="shared" si="21"/>
        <v>0</v>
      </c>
      <c r="K108" s="187"/>
      <c r="L108" s="189">
        <f t="shared" si="23"/>
        <v>104</v>
      </c>
      <c r="M108" s="189">
        <f t="shared" si="22"/>
        <v>260</v>
      </c>
    </row>
    <row r="109" spans="1:13" ht="12.75" customHeight="1" x14ac:dyDescent="0.2">
      <c r="A109" s="191">
        <f t="shared" si="12"/>
        <v>297.5</v>
      </c>
      <c r="B109" s="186">
        <f t="shared" si="13"/>
        <v>2</v>
      </c>
      <c r="C109" s="187">
        <f t="shared" si="14"/>
        <v>0</v>
      </c>
      <c r="D109" s="186">
        <f t="shared" si="15"/>
        <v>0</v>
      </c>
      <c r="E109" s="187">
        <f t="shared" si="16"/>
        <v>1</v>
      </c>
      <c r="F109" s="186">
        <f t="shared" si="17"/>
        <v>0</v>
      </c>
      <c r="G109" s="187">
        <f t="shared" si="18"/>
        <v>1</v>
      </c>
      <c r="H109" s="186">
        <f t="shared" si="19"/>
        <v>0</v>
      </c>
      <c r="I109" s="187">
        <f t="shared" si="20"/>
        <v>0</v>
      </c>
      <c r="J109" s="186">
        <f t="shared" si="21"/>
        <v>1</v>
      </c>
      <c r="K109" s="187"/>
      <c r="L109" s="189">
        <f t="shared" si="23"/>
        <v>105</v>
      </c>
      <c r="M109" s="189">
        <f t="shared" si="22"/>
        <v>262.5</v>
      </c>
    </row>
    <row r="110" spans="1:13" ht="12.75" customHeight="1" x14ac:dyDescent="0.2">
      <c r="A110" s="191">
        <f t="shared" si="12"/>
        <v>300</v>
      </c>
      <c r="B110" s="186">
        <f t="shared" si="13"/>
        <v>2</v>
      </c>
      <c r="C110" s="187">
        <f t="shared" si="14"/>
        <v>0</v>
      </c>
      <c r="D110" s="186">
        <f t="shared" si="15"/>
        <v>0</v>
      </c>
      <c r="E110" s="187">
        <f t="shared" si="16"/>
        <v>1</v>
      </c>
      <c r="F110" s="186">
        <f t="shared" si="17"/>
        <v>0</v>
      </c>
      <c r="G110" s="187">
        <f t="shared" si="18"/>
        <v>1</v>
      </c>
      <c r="H110" s="186">
        <f t="shared" si="19"/>
        <v>0</v>
      </c>
      <c r="I110" s="187">
        <f t="shared" si="20"/>
        <v>1</v>
      </c>
      <c r="J110" s="186">
        <f t="shared" si="21"/>
        <v>0</v>
      </c>
      <c r="K110" s="187"/>
      <c r="L110" s="189">
        <f t="shared" si="23"/>
        <v>106</v>
      </c>
      <c r="M110" s="189">
        <f t="shared" si="22"/>
        <v>265</v>
      </c>
    </row>
    <row r="111" spans="1:13" ht="12.75" customHeight="1" x14ac:dyDescent="0.2">
      <c r="A111" s="191">
        <f t="shared" si="12"/>
        <v>302.5</v>
      </c>
      <c r="B111" s="186">
        <f t="shared" si="13"/>
        <v>2</v>
      </c>
      <c r="C111" s="187">
        <f t="shared" si="14"/>
        <v>0</v>
      </c>
      <c r="D111" s="186">
        <f t="shared" si="15"/>
        <v>0</v>
      </c>
      <c r="E111" s="187">
        <f t="shared" si="16"/>
        <v>1</v>
      </c>
      <c r="F111" s="186">
        <f t="shared" si="17"/>
        <v>0</v>
      </c>
      <c r="G111" s="187">
        <f t="shared" si="18"/>
        <v>1</v>
      </c>
      <c r="H111" s="186">
        <f t="shared" si="19"/>
        <v>0</v>
      </c>
      <c r="I111" s="187">
        <f t="shared" si="20"/>
        <v>1</v>
      </c>
      <c r="J111" s="186">
        <f t="shared" si="21"/>
        <v>1</v>
      </c>
      <c r="K111" s="187"/>
      <c r="L111" s="189">
        <f t="shared" si="23"/>
        <v>107</v>
      </c>
      <c r="M111" s="189">
        <f t="shared" si="22"/>
        <v>267.5</v>
      </c>
    </row>
    <row r="112" spans="1:13" ht="12.75" customHeight="1" x14ac:dyDescent="0.2">
      <c r="A112" s="191">
        <f t="shared" si="12"/>
        <v>305</v>
      </c>
      <c r="B112" s="186">
        <f t="shared" si="13"/>
        <v>2</v>
      </c>
      <c r="C112" s="187">
        <f t="shared" si="14"/>
        <v>0</v>
      </c>
      <c r="D112" s="186">
        <f t="shared" si="15"/>
        <v>0</v>
      </c>
      <c r="E112" s="187">
        <f t="shared" si="16"/>
        <v>1</v>
      </c>
      <c r="F112" s="186">
        <f t="shared" si="17"/>
        <v>1</v>
      </c>
      <c r="G112" s="187">
        <f t="shared" si="18"/>
        <v>0</v>
      </c>
      <c r="H112" s="186">
        <f t="shared" si="19"/>
        <v>0</v>
      </c>
      <c r="I112" s="187">
        <f t="shared" si="20"/>
        <v>0</v>
      </c>
      <c r="J112" s="186">
        <f t="shared" si="21"/>
        <v>0</v>
      </c>
      <c r="K112" s="187"/>
      <c r="L112" s="189">
        <f t="shared" si="23"/>
        <v>108</v>
      </c>
      <c r="M112" s="189">
        <f t="shared" si="22"/>
        <v>270</v>
      </c>
    </row>
    <row r="113" spans="1:13" ht="12.75" customHeight="1" x14ac:dyDescent="0.2">
      <c r="A113" s="191">
        <f t="shared" si="12"/>
        <v>307.5</v>
      </c>
      <c r="B113" s="186">
        <f t="shared" si="13"/>
        <v>2</v>
      </c>
      <c r="C113" s="187">
        <f t="shared" si="14"/>
        <v>0</v>
      </c>
      <c r="D113" s="186">
        <f t="shared" si="15"/>
        <v>0</v>
      </c>
      <c r="E113" s="187">
        <f t="shared" si="16"/>
        <v>1</v>
      </c>
      <c r="F113" s="186">
        <f t="shared" si="17"/>
        <v>1</v>
      </c>
      <c r="G113" s="187">
        <f t="shared" si="18"/>
        <v>0</v>
      </c>
      <c r="H113" s="186">
        <f t="shared" si="19"/>
        <v>0</v>
      </c>
      <c r="I113" s="187">
        <f t="shared" si="20"/>
        <v>0</v>
      </c>
      <c r="J113" s="186">
        <f t="shared" si="21"/>
        <v>1</v>
      </c>
      <c r="K113" s="187"/>
      <c r="L113" s="189">
        <f t="shared" si="23"/>
        <v>109</v>
      </c>
      <c r="M113" s="189">
        <f t="shared" si="22"/>
        <v>272.5</v>
      </c>
    </row>
    <row r="114" spans="1:13" ht="12.75" customHeight="1" x14ac:dyDescent="0.2">
      <c r="A114" s="191">
        <f t="shared" si="12"/>
        <v>310</v>
      </c>
      <c r="B114" s="186">
        <f t="shared" si="13"/>
        <v>2</v>
      </c>
      <c r="C114" s="187">
        <f t="shared" si="14"/>
        <v>0</v>
      </c>
      <c r="D114" s="186">
        <f t="shared" si="15"/>
        <v>0</v>
      </c>
      <c r="E114" s="187">
        <f t="shared" si="16"/>
        <v>1</v>
      </c>
      <c r="F114" s="186">
        <f t="shared" si="17"/>
        <v>1</v>
      </c>
      <c r="G114" s="187">
        <f t="shared" si="18"/>
        <v>0</v>
      </c>
      <c r="H114" s="186">
        <f t="shared" si="19"/>
        <v>0</v>
      </c>
      <c r="I114" s="187">
        <f t="shared" si="20"/>
        <v>1</v>
      </c>
      <c r="J114" s="186">
        <f t="shared" si="21"/>
        <v>0</v>
      </c>
      <c r="K114" s="187"/>
      <c r="L114" s="189">
        <f t="shared" si="23"/>
        <v>110</v>
      </c>
      <c r="M114" s="189">
        <f t="shared" si="22"/>
        <v>275</v>
      </c>
    </row>
    <row r="115" spans="1:13" ht="12.75" customHeight="1" x14ac:dyDescent="0.2">
      <c r="A115" s="191">
        <f t="shared" si="12"/>
        <v>312.5</v>
      </c>
      <c r="B115" s="186">
        <f t="shared" si="13"/>
        <v>2</v>
      </c>
      <c r="C115" s="187">
        <f t="shared" si="14"/>
        <v>0</v>
      </c>
      <c r="D115" s="186">
        <f t="shared" si="15"/>
        <v>0</v>
      </c>
      <c r="E115" s="187">
        <f t="shared" si="16"/>
        <v>1</v>
      </c>
      <c r="F115" s="186">
        <f t="shared" si="17"/>
        <v>1</v>
      </c>
      <c r="G115" s="187">
        <f t="shared" si="18"/>
        <v>0</v>
      </c>
      <c r="H115" s="186">
        <f t="shared" si="19"/>
        <v>0</v>
      </c>
      <c r="I115" s="187">
        <f t="shared" si="20"/>
        <v>1</v>
      </c>
      <c r="J115" s="186">
        <f t="shared" si="21"/>
        <v>1</v>
      </c>
      <c r="K115" s="187"/>
      <c r="L115" s="189">
        <f t="shared" si="23"/>
        <v>111</v>
      </c>
      <c r="M115" s="189">
        <f t="shared" si="22"/>
        <v>277.5</v>
      </c>
    </row>
    <row r="116" spans="1:13" ht="12.75" customHeight="1" x14ac:dyDescent="0.2">
      <c r="A116" s="191">
        <f t="shared" si="12"/>
        <v>315</v>
      </c>
      <c r="B116" s="186">
        <f t="shared" si="13"/>
        <v>2</v>
      </c>
      <c r="C116" s="187">
        <f t="shared" si="14"/>
        <v>0</v>
      </c>
      <c r="D116" s="186">
        <f t="shared" si="15"/>
        <v>0</v>
      </c>
      <c r="E116" s="187">
        <f t="shared" si="16"/>
        <v>2</v>
      </c>
      <c r="F116" s="186">
        <f t="shared" si="17"/>
        <v>0</v>
      </c>
      <c r="G116" s="187">
        <f t="shared" si="18"/>
        <v>0</v>
      </c>
      <c r="H116" s="186">
        <f t="shared" si="19"/>
        <v>0</v>
      </c>
      <c r="I116" s="187">
        <f t="shared" si="20"/>
        <v>0</v>
      </c>
      <c r="J116" s="186">
        <f t="shared" si="21"/>
        <v>0</v>
      </c>
      <c r="K116" s="187"/>
      <c r="L116" s="189">
        <f t="shared" si="23"/>
        <v>112</v>
      </c>
      <c r="M116" s="189">
        <f t="shared" si="22"/>
        <v>280</v>
      </c>
    </row>
    <row r="117" spans="1:13" ht="12.75" customHeight="1" x14ac:dyDescent="0.2">
      <c r="A117" s="191">
        <f t="shared" si="12"/>
        <v>317.5</v>
      </c>
      <c r="B117" s="186">
        <f t="shared" si="13"/>
        <v>2</v>
      </c>
      <c r="C117" s="187">
        <f t="shared" si="14"/>
        <v>0</v>
      </c>
      <c r="D117" s="186">
        <f t="shared" si="15"/>
        <v>0</v>
      </c>
      <c r="E117" s="187">
        <f t="shared" si="16"/>
        <v>2</v>
      </c>
      <c r="F117" s="186">
        <f t="shared" si="17"/>
        <v>0</v>
      </c>
      <c r="G117" s="187">
        <f t="shared" si="18"/>
        <v>0</v>
      </c>
      <c r="H117" s="186">
        <f t="shared" si="19"/>
        <v>0</v>
      </c>
      <c r="I117" s="187">
        <f t="shared" si="20"/>
        <v>0</v>
      </c>
      <c r="J117" s="186">
        <f t="shared" si="21"/>
        <v>1</v>
      </c>
      <c r="K117" s="187"/>
      <c r="L117" s="189">
        <f t="shared" si="23"/>
        <v>113</v>
      </c>
      <c r="M117" s="189">
        <f t="shared" si="22"/>
        <v>282.5</v>
      </c>
    </row>
    <row r="118" spans="1:13" ht="12.75" customHeight="1" x14ac:dyDescent="0.2">
      <c r="A118" s="191">
        <f t="shared" si="12"/>
        <v>320</v>
      </c>
      <c r="B118" s="186">
        <f t="shared" si="13"/>
        <v>2</v>
      </c>
      <c r="C118" s="187">
        <f t="shared" si="14"/>
        <v>0</v>
      </c>
      <c r="D118" s="186">
        <f t="shared" si="15"/>
        <v>0</v>
      </c>
      <c r="E118" s="187">
        <f t="shared" si="16"/>
        <v>2</v>
      </c>
      <c r="F118" s="186">
        <f t="shared" si="17"/>
        <v>0</v>
      </c>
      <c r="G118" s="187">
        <f t="shared" si="18"/>
        <v>0</v>
      </c>
      <c r="H118" s="186">
        <f t="shared" si="19"/>
        <v>0</v>
      </c>
      <c r="I118" s="187">
        <f t="shared" si="20"/>
        <v>1</v>
      </c>
      <c r="J118" s="186">
        <f t="shared" si="21"/>
        <v>0</v>
      </c>
      <c r="K118" s="187"/>
      <c r="L118" s="189">
        <f t="shared" si="23"/>
        <v>114</v>
      </c>
      <c r="M118" s="189">
        <f t="shared" si="22"/>
        <v>285</v>
      </c>
    </row>
    <row r="119" spans="1:13" ht="12.75" customHeight="1" x14ac:dyDescent="0.2">
      <c r="A119" s="191">
        <f t="shared" si="12"/>
        <v>322.5</v>
      </c>
      <c r="B119" s="186">
        <f t="shared" si="13"/>
        <v>2</v>
      </c>
      <c r="C119" s="187">
        <f t="shared" si="14"/>
        <v>0</v>
      </c>
      <c r="D119" s="186">
        <f t="shared" si="15"/>
        <v>0</v>
      </c>
      <c r="E119" s="187">
        <f t="shared" si="16"/>
        <v>2</v>
      </c>
      <c r="F119" s="186">
        <f t="shared" si="17"/>
        <v>0</v>
      </c>
      <c r="G119" s="187">
        <f t="shared" si="18"/>
        <v>0</v>
      </c>
      <c r="H119" s="186">
        <f t="shared" si="19"/>
        <v>0</v>
      </c>
      <c r="I119" s="187">
        <f t="shared" si="20"/>
        <v>1</v>
      </c>
      <c r="J119" s="186">
        <f t="shared" si="21"/>
        <v>1</v>
      </c>
      <c r="K119" s="187"/>
      <c r="L119" s="189">
        <f t="shared" si="23"/>
        <v>115</v>
      </c>
      <c r="M119" s="189">
        <f t="shared" si="22"/>
        <v>287.5</v>
      </c>
    </row>
    <row r="120" spans="1:13" ht="12.75" customHeight="1" x14ac:dyDescent="0.2">
      <c r="A120" s="191">
        <f t="shared" si="12"/>
        <v>325</v>
      </c>
      <c r="B120" s="186">
        <f t="shared" si="13"/>
        <v>2</v>
      </c>
      <c r="C120" s="187">
        <f t="shared" si="14"/>
        <v>0</v>
      </c>
      <c r="D120" s="186">
        <f t="shared" si="15"/>
        <v>0</v>
      </c>
      <c r="E120" s="187">
        <f t="shared" si="16"/>
        <v>2</v>
      </c>
      <c r="F120" s="186">
        <f t="shared" si="17"/>
        <v>0</v>
      </c>
      <c r="G120" s="187">
        <f t="shared" si="18"/>
        <v>0</v>
      </c>
      <c r="H120" s="186">
        <f t="shared" si="19"/>
        <v>1</v>
      </c>
      <c r="I120" s="187">
        <f t="shared" si="20"/>
        <v>0</v>
      </c>
      <c r="J120" s="186">
        <f t="shared" si="21"/>
        <v>0</v>
      </c>
      <c r="K120" s="187"/>
      <c r="L120" s="189">
        <f t="shared" si="23"/>
        <v>116</v>
      </c>
      <c r="M120" s="189">
        <f t="shared" si="22"/>
        <v>290</v>
      </c>
    </row>
    <row r="121" spans="1:13" ht="12.75" customHeight="1" x14ac:dyDescent="0.2">
      <c r="A121" s="191">
        <f t="shared" si="12"/>
        <v>327.5</v>
      </c>
      <c r="B121" s="186">
        <f t="shared" si="13"/>
        <v>2</v>
      </c>
      <c r="C121" s="187">
        <f t="shared" si="14"/>
        <v>0</v>
      </c>
      <c r="D121" s="186">
        <f t="shared" si="15"/>
        <v>0</v>
      </c>
      <c r="E121" s="187">
        <f t="shared" si="16"/>
        <v>2</v>
      </c>
      <c r="F121" s="186">
        <f t="shared" si="17"/>
        <v>0</v>
      </c>
      <c r="G121" s="187">
        <f t="shared" si="18"/>
        <v>0</v>
      </c>
      <c r="H121" s="186">
        <f t="shared" si="19"/>
        <v>1</v>
      </c>
      <c r="I121" s="187">
        <f t="shared" si="20"/>
        <v>0</v>
      </c>
      <c r="J121" s="186">
        <f t="shared" si="21"/>
        <v>1</v>
      </c>
      <c r="K121" s="187"/>
      <c r="L121" s="189">
        <f t="shared" si="23"/>
        <v>117</v>
      </c>
      <c r="M121" s="189">
        <f t="shared" si="22"/>
        <v>292.5</v>
      </c>
    </row>
    <row r="122" spans="1:13" ht="12.75" customHeight="1" x14ac:dyDescent="0.2">
      <c r="A122" s="191">
        <f t="shared" si="12"/>
        <v>330</v>
      </c>
      <c r="B122" s="186">
        <f t="shared" si="13"/>
        <v>2</v>
      </c>
      <c r="C122" s="187">
        <f t="shared" si="14"/>
        <v>0</v>
      </c>
      <c r="D122" s="186">
        <f t="shared" si="15"/>
        <v>0</v>
      </c>
      <c r="E122" s="187">
        <f t="shared" si="16"/>
        <v>2</v>
      </c>
      <c r="F122" s="186">
        <f t="shared" si="17"/>
        <v>0</v>
      </c>
      <c r="G122" s="187">
        <f t="shared" si="18"/>
        <v>0</v>
      </c>
      <c r="H122" s="186">
        <f t="shared" si="19"/>
        <v>1</v>
      </c>
      <c r="I122" s="187">
        <f t="shared" si="20"/>
        <v>1</v>
      </c>
      <c r="J122" s="186">
        <f t="shared" si="21"/>
        <v>0</v>
      </c>
      <c r="K122" s="187"/>
      <c r="L122" s="189">
        <f t="shared" si="23"/>
        <v>118</v>
      </c>
      <c r="M122" s="189">
        <f t="shared" si="22"/>
        <v>295</v>
      </c>
    </row>
    <row r="123" spans="1:13" ht="12.75" customHeight="1" x14ac:dyDescent="0.2">
      <c r="A123" s="191">
        <f t="shared" si="12"/>
        <v>332.5</v>
      </c>
      <c r="B123" s="186">
        <f t="shared" si="13"/>
        <v>2</v>
      </c>
      <c r="C123" s="187">
        <f t="shared" si="14"/>
        <v>0</v>
      </c>
      <c r="D123" s="186">
        <f t="shared" si="15"/>
        <v>0</v>
      </c>
      <c r="E123" s="187">
        <f t="shared" si="16"/>
        <v>2</v>
      </c>
      <c r="F123" s="186">
        <f t="shared" si="17"/>
        <v>0</v>
      </c>
      <c r="G123" s="187">
        <f t="shared" si="18"/>
        <v>0</v>
      </c>
      <c r="H123" s="186">
        <f t="shared" si="19"/>
        <v>1</v>
      </c>
      <c r="I123" s="187">
        <f t="shared" si="20"/>
        <v>1</v>
      </c>
      <c r="J123" s="186">
        <f t="shared" si="21"/>
        <v>1</v>
      </c>
      <c r="K123" s="187"/>
      <c r="L123" s="189">
        <f t="shared" si="23"/>
        <v>119</v>
      </c>
      <c r="M123" s="189">
        <f t="shared" si="22"/>
        <v>297.5</v>
      </c>
    </row>
    <row r="124" spans="1:13" ht="12.75" customHeight="1" x14ac:dyDescent="0.2">
      <c r="A124" s="191">
        <f t="shared" si="12"/>
        <v>335</v>
      </c>
      <c r="B124" s="186">
        <f t="shared" si="13"/>
        <v>2</v>
      </c>
      <c r="C124" s="187">
        <f t="shared" si="14"/>
        <v>0</v>
      </c>
      <c r="D124" s="186">
        <f t="shared" si="15"/>
        <v>0</v>
      </c>
      <c r="E124" s="187">
        <f t="shared" si="16"/>
        <v>2</v>
      </c>
      <c r="F124" s="186">
        <f t="shared" si="17"/>
        <v>0</v>
      </c>
      <c r="G124" s="187">
        <f t="shared" si="18"/>
        <v>1</v>
      </c>
      <c r="H124" s="186">
        <f t="shared" si="19"/>
        <v>0</v>
      </c>
      <c r="I124" s="187">
        <f t="shared" si="20"/>
        <v>0</v>
      </c>
      <c r="J124" s="186">
        <f t="shared" si="21"/>
        <v>0</v>
      </c>
      <c r="K124" s="187"/>
      <c r="L124" s="189">
        <f t="shared" si="23"/>
        <v>120</v>
      </c>
      <c r="M124" s="189">
        <f t="shared" si="22"/>
        <v>300</v>
      </c>
    </row>
    <row r="125" spans="1:13" ht="12.75" customHeight="1" x14ac:dyDescent="0.2">
      <c r="A125" s="191">
        <f t="shared" si="12"/>
        <v>337.5</v>
      </c>
      <c r="B125" s="186">
        <f t="shared" si="13"/>
        <v>2</v>
      </c>
      <c r="C125" s="187">
        <f t="shared" si="14"/>
        <v>0</v>
      </c>
      <c r="D125" s="186">
        <f t="shared" si="15"/>
        <v>0</v>
      </c>
      <c r="E125" s="187">
        <f t="shared" si="16"/>
        <v>2</v>
      </c>
      <c r="F125" s="186">
        <f t="shared" si="17"/>
        <v>0</v>
      </c>
      <c r="G125" s="187">
        <f t="shared" si="18"/>
        <v>1</v>
      </c>
      <c r="H125" s="186">
        <f t="shared" si="19"/>
        <v>0</v>
      </c>
      <c r="I125" s="187">
        <f t="shared" si="20"/>
        <v>0</v>
      </c>
      <c r="J125" s="186">
        <f t="shared" si="21"/>
        <v>1</v>
      </c>
      <c r="K125" s="187"/>
      <c r="L125" s="189">
        <f t="shared" si="23"/>
        <v>121</v>
      </c>
      <c r="M125" s="189">
        <f t="shared" si="22"/>
        <v>302.5</v>
      </c>
    </row>
    <row r="126" spans="1:13" ht="12.75" customHeight="1" x14ac:dyDescent="0.2">
      <c r="A126" s="191">
        <f t="shared" si="12"/>
        <v>340</v>
      </c>
      <c r="B126" s="186">
        <f t="shared" si="13"/>
        <v>2</v>
      </c>
      <c r="C126" s="187">
        <f t="shared" si="14"/>
        <v>0</v>
      </c>
      <c r="D126" s="186">
        <f t="shared" si="15"/>
        <v>0</v>
      </c>
      <c r="E126" s="187">
        <f t="shared" si="16"/>
        <v>2</v>
      </c>
      <c r="F126" s="186">
        <f t="shared" si="17"/>
        <v>0</v>
      </c>
      <c r="G126" s="187">
        <f t="shared" si="18"/>
        <v>1</v>
      </c>
      <c r="H126" s="186">
        <f t="shared" si="19"/>
        <v>0</v>
      </c>
      <c r="I126" s="187">
        <f t="shared" si="20"/>
        <v>1</v>
      </c>
      <c r="J126" s="186">
        <f t="shared" si="21"/>
        <v>0</v>
      </c>
      <c r="K126" s="187"/>
      <c r="L126" s="189">
        <f t="shared" si="23"/>
        <v>122</v>
      </c>
      <c r="M126" s="189">
        <f t="shared" si="22"/>
        <v>305</v>
      </c>
    </row>
    <row r="127" spans="1:13" ht="12.75" customHeight="1" x14ac:dyDescent="0.2">
      <c r="A127" s="191">
        <f t="shared" si="12"/>
        <v>342.5</v>
      </c>
      <c r="B127" s="186">
        <f t="shared" si="13"/>
        <v>2</v>
      </c>
      <c r="C127" s="187">
        <f t="shared" si="14"/>
        <v>0</v>
      </c>
      <c r="D127" s="186">
        <f t="shared" si="15"/>
        <v>0</v>
      </c>
      <c r="E127" s="187">
        <f t="shared" si="16"/>
        <v>2</v>
      </c>
      <c r="F127" s="186">
        <f t="shared" si="17"/>
        <v>0</v>
      </c>
      <c r="G127" s="187">
        <f t="shared" si="18"/>
        <v>1</v>
      </c>
      <c r="H127" s="186">
        <f t="shared" si="19"/>
        <v>0</v>
      </c>
      <c r="I127" s="187">
        <f t="shared" si="20"/>
        <v>1</v>
      </c>
      <c r="J127" s="186">
        <f t="shared" si="21"/>
        <v>1</v>
      </c>
      <c r="K127" s="187"/>
      <c r="L127" s="189">
        <f t="shared" si="23"/>
        <v>123</v>
      </c>
      <c r="M127" s="189">
        <f t="shared" si="22"/>
        <v>307.5</v>
      </c>
    </row>
    <row r="128" spans="1:13" ht="12.75" customHeight="1" x14ac:dyDescent="0.2">
      <c r="A128" s="191">
        <f t="shared" si="12"/>
        <v>345</v>
      </c>
      <c r="B128" s="186">
        <f t="shared" si="13"/>
        <v>2</v>
      </c>
      <c r="C128" s="187">
        <f t="shared" si="14"/>
        <v>0</v>
      </c>
      <c r="D128" s="186">
        <f t="shared" si="15"/>
        <v>0</v>
      </c>
      <c r="E128" s="187">
        <f t="shared" si="16"/>
        <v>2</v>
      </c>
      <c r="F128" s="186">
        <f t="shared" si="17"/>
        <v>1</v>
      </c>
      <c r="G128" s="187">
        <f t="shared" si="18"/>
        <v>0</v>
      </c>
      <c r="H128" s="186">
        <f t="shared" si="19"/>
        <v>0</v>
      </c>
      <c r="I128" s="187">
        <f t="shared" si="20"/>
        <v>0</v>
      </c>
      <c r="J128" s="186">
        <f t="shared" si="21"/>
        <v>0</v>
      </c>
      <c r="K128" s="187"/>
      <c r="L128" s="189">
        <f t="shared" si="23"/>
        <v>124</v>
      </c>
      <c r="M128" s="189">
        <f t="shared" si="22"/>
        <v>310</v>
      </c>
    </row>
    <row r="129" spans="1:13" ht="12.75" customHeight="1" x14ac:dyDescent="0.2">
      <c r="A129" s="191">
        <f t="shared" si="12"/>
        <v>347.5</v>
      </c>
      <c r="B129" s="186">
        <f t="shared" si="13"/>
        <v>2</v>
      </c>
      <c r="C129" s="187">
        <f t="shared" si="14"/>
        <v>0</v>
      </c>
      <c r="D129" s="186">
        <f t="shared" si="15"/>
        <v>0</v>
      </c>
      <c r="E129" s="187">
        <f t="shared" si="16"/>
        <v>2</v>
      </c>
      <c r="F129" s="186">
        <f t="shared" si="17"/>
        <v>1</v>
      </c>
      <c r="G129" s="187">
        <f t="shared" si="18"/>
        <v>0</v>
      </c>
      <c r="H129" s="186">
        <f t="shared" si="19"/>
        <v>0</v>
      </c>
      <c r="I129" s="187">
        <f t="shared" si="20"/>
        <v>0</v>
      </c>
      <c r="J129" s="186">
        <f t="shared" si="21"/>
        <v>1</v>
      </c>
      <c r="K129" s="187"/>
      <c r="L129" s="189">
        <f t="shared" si="23"/>
        <v>125</v>
      </c>
      <c r="M129" s="189">
        <f t="shared" si="22"/>
        <v>312.5</v>
      </c>
    </row>
    <row r="130" spans="1:13" ht="12.75" customHeight="1" x14ac:dyDescent="0.2">
      <c r="A130" s="191">
        <f t="shared" si="12"/>
        <v>350</v>
      </c>
      <c r="B130" s="186">
        <f t="shared" si="13"/>
        <v>2</v>
      </c>
      <c r="C130" s="187">
        <f t="shared" si="14"/>
        <v>0</v>
      </c>
      <c r="D130" s="186">
        <f t="shared" si="15"/>
        <v>0</v>
      </c>
      <c r="E130" s="187">
        <f t="shared" si="16"/>
        <v>2</v>
      </c>
      <c r="F130" s="186">
        <f t="shared" si="17"/>
        <v>1</v>
      </c>
      <c r="G130" s="187">
        <f t="shared" si="18"/>
        <v>0</v>
      </c>
      <c r="H130" s="186">
        <f t="shared" si="19"/>
        <v>0</v>
      </c>
      <c r="I130" s="187">
        <f t="shared" si="20"/>
        <v>1</v>
      </c>
      <c r="J130" s="186">
        <f t="shared" si="21"/>
        <v>0</v>
      </c>
      <c r="K130" s="187"/>
      <c r="L130" s="189">
        <f t="shared" si="23"/>
        <v>126</v>
      </c>
      <c r="M130" s="189">
        <f t="shared" si="22"/>
        <v>315</v>
      </c>
    </row>
    <row r="131" spans="1:13" ht="12.75" customHeight="1" x14ac:dyDescent="0.2">
      <c r="A131" s="191">
        <f t="shared" si="12"/>
        <v>352.5</v>
      </c>
      <c r="B131" s="186">
        <f t="shared" si="13"/>
        <v>2</v>
      </c>
      <c r="C131" s="187">
        <f t="shared" si="14"/>
        <v>0</v>
      </c>
      <c r="D131" s="186">
        <f t="shared" si="15"/>
        <v>0</v>
      </c>
      <c r="E131" s="187">
        <f t="shared" si="16"/>
        <v>2</v>
      </c>
      <c r="F131" s="186">
        <f t="shared" si="17"/>
        <v>1</v>
      </c>
      <c r="G131" s="187">
        <f t="shared" si="18"/>
        <v>0</v>
      </c>
      <c r="H131" s="186">
        <f t="shared" si="19"/>
        <v>0</v>
      </c>
      <c r="I131" s="187">
        <f t="shared" si="20"/>
        <v>1</v>
      </c>
      <c r="J131" s="186">
        <f t="shared" si="21"/>
        <v>1</v>
      </c>
      <c r="K131" s="187"/>
      <c r="L131" s="189">
        <f t="shared" si="23"/>
        <v>127</v>
      </c>
      <c r="M131" s="189">
        <f t="shared" si="22"/>
        <v>317.5</v>
      </c>
    </row>
    <row r="132" spans="1:13" ht="12.75" customHeight="1" x14ac:dyDescent="0.2">
      <c r="A132" s="191">
        <f t="shared" si="12"/>
        <v>355</v>
      </c>
      <c r="B132" s="186">
        <f t="shared" si="13"/>
        <v>2</v>
      </c>
      <c r="C132" s="187">
        <f t="shared" si="14"/>
        <v>0</v>
      </c>
      <c r="D132" s="186">
        <f t="shared" si="15"/>
        <v>0</v>
      </c>
      <c r="E132" s="187">
        <f t="shared" si="16"/>
        <v>3</v>
      </c>
      <c r="F132" s="186">
        <f t="shared" si="17"/>
        <v>0</v>
      </c>
      <c r="G132" s="187">
        <f t="shared" si="18"/>
        <v>0</v>
      </c>
      <c r="H132" s="186">
        <f t="shared" si="19"/>
        <v>0</v>
      </c>
      <c r="I132" s="187">
        <f t="shared" si="20"/>
        <v>0</v>
      </c>
      <c r="J132" s="186">
        <f t="shared" si="21"/>
        <v>0</v>
      </c>
      <c r="K132" s="187"/>
      <c r="L132" s="189">
        <f t="shared" si="23"/>
        <v>128</v>
      </c>
      <c r="M132" s="189">
        <f t="shared" si="22"/>
        <v>320</v>
      </c>
    </row>
    <row r="133" spans="1:13" ht="12.75" customHeight="1" x14ac:dyDescent="0.2">
      <c r="A133" s="191">
        <f t="shared" ref="A133:A196" si="24">IF(M133+$K$2&gt;$L$1,0,M133+$K$2)</f>
        <v>357.5</v>
      </c>
      <c r="B133" s="186">
        <f t="shared" ref="B133:B196" si="25">IF(A133=0,0,MIN($B$1/2,INT(M133/(2*$B$2))))</f>
        <v>2</v>
      </c>
      <c r="C133" s="187">
        <f t="shared" ref="C133:C196" si="26">IF(A133=0,0,MIN($C$1/2,INT(($M133-2*$B133*$B$2)/(2*$C$2))))</f>
        <v>0</v>
      </c>
      <c r="D133" s="186">
        <f t="shared" ref="D133:D196" si="27">IF(A133=0,0,MIN($D$1/2,INT(($M133-2*$B133*$B$2-2*$C133*$C$2)/(2*$D$2))))</f>
        <v>0</v>
      </c>
      <c r="E133" s="187">
        <f t="shared" ref="E133:E196" si="28">IF(A133=0,0,MIN($E$1/2,INT(($M133-2*$B133*$B$2-2*$C133*$C$2-2*$D133*$D$2)/(2*$E$2))))</f>
        <v>3</v>
      </c>
      <c r="F133" s="186">
        <f t="shared" ref="F133:F196" si="29">IF(A133=0,0,MIN($F$1/2,INT(($M133-2*$B133*$B$2-2*$C133*$C$2-2*$D133*$D$2-2*$E133*$E$2)/(2*$F$2))))</f>
        <v>0</v>
      </c>
      <c r="G133" s="187">
        <f t="shared" ref="G133:G196" si="30">IF(A133=0,0,MIN($G$1/2,INT(($M133-2*$B133*$B$2-2*$C133*$C$2-2*$D133*$D$2-2*$E133*$E$2-2*$F133*$F$2)/(2*$G$2))))</f>
        <v>0</v>
      </c>
      <c r="H133" s="186">
        <f t="shared" ref="H133:H196" si="31">IF(A133=0,0,MIN($H$1/2,INT(($M133-2*$B133*$B$2-2*$C133*$C$2-2*$D133*$D$2-2*$E133*$E$2-2*$F133*$F$2-2*$G133*$G$2)/(2*$H$2))))</f>
        <v>0</v>
      </c>
      <c r="I133" s="187">
        <f t="shared" ref="I133:I196" si="32">IF(A133=0,0,MIN($I$1/2,INT(($M133-2*$B133*$B$2-2*$C133*$C$2-2*$D133*$D$2-2*$E133*$E$2-2*$F133*$F$2-2*$G133*$G$2-2*$H133*$H$2)/(2*$I$2))))</f>
        <v>0</v>
      </c>
      <c r="J133" s="186">
        <f t="shared" ref="J133:J196" si="33">IF(A133=0,0,MIN($J$1/2,INT(($M133-2*$B133*$B$2-2*$C133*$C$2-2*$D133*$D$2-2*$E133*$E$2-2*$F133*$F$2-2*$G133*$G$2-2*$H133*$H$2-2*$I133*$I$2)/(2*$J$2))))</f>
        <v>1</v>
      </c>
      <c r="K133" s="187"/>
      <c r="L133" s="189">
        <f t="shared" si="23"/>
        <v>129</v>
      </c>
      <c r="M133" s="189">
        <f t="shared" ref="M133:M196" si="34">IF($A$2="Pounds",5*L133,2.5*L133)</f>
        <v>322.5</v>
      </c>
    </row>
    <row r="134" spans="1:13" ht="12.75" customHeight="1" x14ac:dyDescent="0.2">
      <c r="A134" s="191">
        <f t="shared" si="24"/>
        <v>360</v>
      </c>
      <c r="B134" s="186">
        <f t="shared" si="25"/>
        <v>2</v>
      </c>
      <c r="C134" s="187">
        <f t="shared" si="26"/>
        <v>0</v>
      </c>
      <c r="D134" s="186">
        <f t="shared" si="27"/>
        <v>0</v>
      </c>
      <c r="E134" s="187">
        <f t="shared" si="28"/>
        <v>3</v>
      </c>
      <c r="F134" s="186">
        <f t="shared" si="29"/>
        <v>0</v>
      </c>
      <c r="G134" s="187">
        <f t="shared" si="30"/>
        <v>0</v>
      </c>
      <c r="H134" s="186">
        <f t="shared" si="31"/>
        <v>0</v>
      </c>
      <c r="I134" s="187">
        <f t="shared" si="32"/>
        <v>1</v>
      </c>
      <c r="J134" s="186">
        <f t="shared" si="33"/>
        <v>0</v>
      </c>
      <c r="K134" s="187"/>
      <c r="L134" s="189">
        <f t="shared" si="23"/>
        <v>130</v>
      </c>
      <c r="M134" s="189">
        <f t="shared" si="34"/>
        <v>325</v>
      </c>
    </row>
    <row r="135" spans="1:13" ht="12.75" customHeight="1" x14ac:dyDescent="0.2">
      <c r="A135" s="191">
        <f t="shared" si="24"/>
        <v>362.5</v>
      </c>
      <c r="B135" s="186">
        <f t="shared" si="25"/>
        <v>2</v>
      </c>
      <c r="C135" s="187">
        <f t="shared" si="26"/>
        <v>0</v>
      </c>
      <c r="D135" s="186">
        <f t="shared" si="27"/>
        <v>0</v>
      </c>
      <c r="E135" s="187">
        <f t="shared" si="28"/>
        <v>3</v>
      </c>
      <c r="F135" s="186">
        <f t="shared" si="29"/>
        <v>0</v>
      </c>
      <c r="G135" s="187">
        <f t="shared" si="30"/>
        <v>0</v>
      </c>
      <c r="H135" s="186">
        <f t="shared" si="31"/>
        <v>0</v>
      </c>
      <c r="I135" s="187">
        <f t="shared" si="32"/>
        <v>1</v>
      </c>
      <c r="J135" s="186">
        <f t="shared" si="33"/>
        <v>1</v>
      </c>
      <c r="K135" s="187"/>
      <c r="L135" s="189">
        <f t="shared" si="23"/>
        <v>131</v>
      </c>
      <c r="M135" s="189">
        <f t="shared" si="34"/>
        <v>327.5</v>
      </c>
    </row>
    <row r="136" spans="1:13" ht="12.75" customHeight="1" x14ac:dyDescent="0.2">
      <c r="A136" s="191">
        <f t="shared" si="24"/>
        <v>365</v>
      </c>
      <c r="B136" s="186">
        <f t="shared" si="25"/>
        <v>2</v>
      </c>
      <c r="C136" s="187">
        <f t="shared" si="26"/>
        <v>0</v>
      </c>
      <c r="D136" s="186">
        <f t="shared" si="27"/>
        <v>0</v>
      </c>
      <c r="E136" s="187">
        <f t="shared" si="28"/>
        <v>3</v>
      </c>
      <c r="F136" s="186">
        <f t="shared" si="29"/>
        <v>0</v>
      </c>
      <c r="G136" s="187">
        <f t="shared" si="30"/>
        <v>0</v>
      </c>
      <c r="H136" s="186">
        <f t="shared" si="31"/>
        <v>1</v>
      </c>
      <c r="I136" s="187">
        <f t="shared" si="32"/>
        <v>0</v>
      </c>
      <c r="J136" s="186">
        <f t="shared" si="33"/>
        <v>0</v>
      </c>
      <c r="K136" s="187"/>
      <c r="L136" s="189">
        <f t="shared" si="23"/>
        <v>132</v>
      </c>
      <c r="M136" s="189">
        <f t="shared" si="34"/>
        <v>330</v>
      </c>
    </row>
    <row r="137" spans="1:13" ht="12.75" customHeight="1" x14ac:dyDescent="0.2">
      <c r="A137" s="191">
        <f t="shared" si="24"/>
        <v>367.5</v>
      </c>
      <c r="B137" s="186">
        <f t="shared" si="25"/>
        <v>2</v>
      </c>
      <c r="C137" s="187">
        <f t="shared" si="26"/>
        <v>0</v>
      </c>
      <c r="D137" s="186">
        <f t="shared" si="27"/>
        <v>0</v>
      </c>
      <c r="E137" s="187">
        <f t="shared" si="28"/>
        <v>3</v>
      </c>
      <c r="F137" s="186">
        <f t="shared" si="29"/>
        <v>0</v>
      </c>
      <c r="G137" s="187">
        <f t="shared" si="30"/>
        <v>0</v>
      </c>
      <c r="H137" s="186">
        <f t="shared" si="31"/>
        <v>1</v>
      </c>
      <c r="I137" s="187">
        <f t="shared" si="32"/>
        <v>0</v>
      </c>
      <c r="J137" s="186">
        <f t="shared" si="33"/>
        <v>1</v>
      </c>
      <c r="K137" s="187"/>
      <c r="L137" s="189">
        <f t="shared" si="23"/>
        <v>133</v>
      </c>
      <c r="M137" s="189">
        <f t="shared" si="34"/>
        <v>332.5</v>
      </c>
    </row>
    <row r="138" spans="1:13" ht="12.75" customHeight="1" x14ac:dyDescent="0.2">
      <c r="A138" s="191">
        <f t="shared" si="24"/>
        <v>370</v>
      </c>
      <c r="B138" s="186">
        <f t="shared" si="25"/>
        <v>2</v>
      </c>
      <c r="C138" s="187">
        <f t="shared" si="26"/>
        <v>0</v>
      </c>
      <c r="D138" s="186">
        <f t="shared" si="27"/>
        <v>0</v>
      </c>
      <c r="E138" s="187">
        <f t="shared" si="28"/>
        <v>3</v>
      </c>
      <c r="F138" s="186">
        <f t="shared" si="29"/>
        <v>0</v>
      </c>
      <c r="G138" s="187">
        <f t="shared" si="30"/>
        <v>0</v>
      </c>
      <c r="H138" s="186">
        <f t="shared" si="31"/>
        <v>1</v>
      </c>
      <c r="I138" s="187">
        <f t="shared" si="32"/>
        <v>1</v>
      </c>
      <c r="J138" s="186">
        <f t="shared" si="33"/>
        <v>0</v>
      </c>
      <c r="K138" s="187"/>
      <c r="L138" s="189">
        <f t="shared" si="23"/>
        <v>134</v>
      </c>
      <c r="M138" s="189">
        <f t="shared" si="34"/>
        <v>335</v>
      </c>
    </row>
    <row r="139" spans="1:13" ht="12.75" customHeight="1" x14ac:dyDescent="0.2">
      <c r="A139" s="191">
        <f t="shared" si="24"/>
        <v>372.5</v>
      </c>
      <c r="B139" s="186">
        <f t="shared" si="25"/>
        <v>2</v>
      </c>
      <c r="C139" s="187">
        <f t="shared" si="26"/>
        <v>0</v>
      </c>
      <c r="D139" s="186">
        <f t="shared" si="27"/>
        <v>0</v>
      </c>
      <c r="E139" s="187">
        <f t="shared" si="28"/>
        <v>3</v>
      </c>
      <c r="F139" s="186">
        <f t="shared" si="29"/>
        <v>0</v>
      </c>
      <c r="G139" s="187">
        <f t="shared" si="30"/>
        <v>0</v>
      </c>
      <c r="H139" s="186">
        <f t="shared" si="31"/>
        <v>1</v>
      </c>
      <c r="I139" s="187">
        <f t="shared" si="32"/>
        <v>1</v>
      </c>
      <c r="J139" s="186">
        <f t="shared" si="33"/>
        <v>1</v>
      </c>
      <c r="K139" s="187"/>
      <c r="L139" s="189">
        <f t="shared" si="23"/>
        <v>135</v>
      </c>
      <c r="M139" s="189">
        <f t="shared" si="34"/>
        <v>337.5</v>
      </c>
    </row>
    <row r="140" spans="1:13" ht="12.75" customHeight="1" x14ac:dyDescent="0.2">
      <c r="A140" s="191">
        <f t="shared" si="24"/>
        <v>375</v>
      </c>
      <c r="B140" s="186">
        <f t="shared" si="25"/>
        <v>2</v>
      </c>
      <c r="C140" s="187">
        <f t="shared" si="26"/>
        <v>0</v>
      </c>
      <c r="D140" s="186">
        <f t="shared" si="27"/>
        <v>0</v>
      </c>
      <c r="E140" s="187">
        <f t="shared" si="28"/>
        <v>3</v>
      </c>
      <c r="F140" s="186">
        <f t="shared" si="29"/>
        <v>0</v>
      </c>
      <c r="G140" s="187">
        <f t="shared" si="30"/>
        <v>1</v>
      </c>
      <c r="H140" s="186">
        <f t="shared" si="31"/>
        <v>0</v>
      </c>
      <c r="I140" s="187">
        <f t="shared" si="32"/>
        <v>0</v>
      </c>
      <c r="J140" s="186">
        <f t="shared" si="33"/>
        <v>0</v>
      </c>
      <c r="K140" s="187"/>
      <c r="L140" s="189">
        <f t="shared" si="23"/>
        <v>136</v>
      </c>
      <c r="M140" s="189">
        <f t="shared" si="34"/>
        <v>340</v>
      </c>
    </row>
    <row r="141" spans="1:13" ht="12.75" customHeight="1" x14ac:dyDescent="0.2">
      <c r="A141" s="191">
        <f t="shared" si="24"/>
        <v>377.5</v>
      </c>
      <c r="B141" s="186">
        <f t="shared" si="25"/>
        <v>2</v>
      </c>
      <c r="C141" s="187">
        <f t="shared" si="26"/>
        <v>0</v>
      </c>
      <c r="D141" s="186">
        <f t="shared" si="27"/>
        <v>0</v>
      </c>
      <c r="E141" s="187">
        <f t="shared" si="28"/>
        <v>3</v>
      </c>
      <c r="F141" s="186">
        <f t="shared" si="29"/>
        <v>0</v>
      </c>
      <c r="G141" s="187">
        <f t="shared" si="30"/>
        <v>1</v>
      </c>
      <c r="H141" s="186">
        <f t="shared" si="31"/>
        <v>0</v>
      </c>
      <c r="I141" s="187">
        <f t="shared" si="32"/>
        <v>0</v>
      </c>
      <c r="J141" s="186">
        <f t="shared" si="33"/>
        <v>1</v>
      </c>
      <c r="K141" s="187"/>
      <c r="L141" s="189">
        <f t="shared" ref="L141:L204" si="35">L140+1</f>
        <v>137</v>
      </c>
      <c r="M141" s="189">
        <f t="shared" si="34"/>
        <v>342.5</v>
      </c>
    </row>
    <row r="142" spans="1:13" ht="12.75" customHeight="1" x14ac:dyDescent="0.2">
      <c r="A142" s="191">
        <f t="shared" si="24"/>
        <v>380</v>
      </c>
      <c r="B142" s="186">
        <f t="shared" si="25"/>
        <v>2</v>
      </c>
      <c r="C142" s="187">
        <f t="shared" si="26"/>
        <v>0</v>
      </c>
      <c r="D142" s="186">
        <f t="shared" si="27"/>
        <v>0</v>
      </c>
      <c r="E142" s="187">
        <f t="shared" si="28"/>
        <v>3</v>
      </c>
      <c r="F142" s="186">
        <f t="shared" si="29"/>
        <v>0</v>
      </c>
      <c r="G142" s="187">
        <f t="shared" si="30"/>
        <v>1</v>
      </c>
      <c r="H142" s="186">
        <f t="shared" si="31"/>
        <v>0</v>
      </c>
      <c r="I142" s="187">
        <f t="shared" si="32"/>
        <v>1</v>
      </c>
      <c r="J142" s="186">
        <f t="shared" si="33"/>
        <v>0</v>
      </c>
      <c r="K142" s="187"/>
      <c r="L142" s="189">
        <f t="shared" si="35"/>
        <v>138</v>
      </c>
      <c r="M142" s="189">
        <f t="shared" si="34"/>
        <v>345</v>
      </c>
    </row>
    <row r="143" spans="1:13" ht="12.75" customHeight="1" x14ac:dyDescent="0.2">
      <c r="A143" s="191">
        <f t="shared" si="24"/>
        <v>382.5</v>
      </c>
      <c r="B143" s="186">
        <f t="shared" si="25"/>
        <v>2</v>
      </c>
      <c r="C143" s="187">
        <f t="shared" si="26"/>
        <v>0</v>
      </c>
      <c r="D143" s="186">
        <f t="shared" si="27"/>
        <v>0</v>
      </c>
      <c r="E143" s="187">
        <f t="shared" si="28"/>
        <v>3</v>
      </c>
      <c r="F143" s="186">
        <f t="shared" si="29"/>
        <v>0</v>
      </c>
      <c r="G143" s="187">
        <f t="shared" si="30"/>
        <v>1</v>
      </c>
      <c r="H143" s="186">
        <f t="shared" si="31"/>
        <v>0</v>
      </c>
      <c r="I143" s="187">
        <f t="shared" si="32"/>
        <v>1</v>
      </c>
      <c r="J143" s="186">
        <f t="shared" si="33"/>
        <v>1</v>
      </c>
      <c r="K143" s="187"/>
      <c r="L143" s="189">
        <f t="shared" si="35"/>
        <v>139</v>
      </c>
      <c r="M143" s="189">
        <f t="shared" si="34"/>
        <v>347.5</v>
      </c>
    </row>
    <row r="144" spans="1:13" ht="12.75" customHeight="1" x14ac:dyDescent="0.2">
      <c r="A144" s="191">
        <f t="shared" si="24"/>
        <v>385</v>
      </c>
      <c r="B144" s="186">
        <f t="shared" si="25"/>
        <v>2</v>
      </c>
      <c r="C144" s="187">
        <f t="shared" si="26"/>
        <v>0</v>
      </c>
      <c r="D144" s="186">
        <f t="shared" si="27"/>
        <v>0</v>
      </c>
      <c r="E144" s="187">
        <f t="shared" si="28"/>
        <v>3</v>
      </c>
      <c r="F144" s="186">
        <f t="shared" si="29"/>
        <v>1</v>
      </c>
      <c r="G144" s="187">
        <f t="shared" si="30"/>
        <v>0</v>
      </c>
      <c r="H144" s="186">
        <f t="shared" si="31"/>
        <v>0</v>
      </c>
      <c r="I144" s="187">
        <f t="shared" si="32"/>
        <v>0</v>
      </c>
      <c r="J144" s="186">
        <f t="shared" si="33"/>
        <v>0</v>
      </c>
      <c r="K144" s="187"/>
      <c r="L144" s="189">
        <f t="shared" si="35"/>
        <v>140</v>
      </c>
      <c r="M144" s="189">
        <f t="shared" si="34"/>
        <v>350</v>
      </c>
    </row>
    <row r="145" spans="1:13" ht="12.75" customHeight="1" x14ac:dyDescent="0.2">
      <c r="A145" s="191">
        <f t="shared" si="24"/>
        <v>387.5</v>
      </c>
      <c r="B145" s="186">
        <f t="shared" si="25"/>
        <v>2</v>
      </c>
      <c r="C145" s="187">
        <f t="shared" si="26"/>
        <v>0</v>
      </c>
      <c r="D145" s="186">
        <f t="shared" si="27"/>
        <v>0</v>
      </c>
      <c r="E145" s="187">
        <f t="shared" si="28"/>
        <v>3</v>
      </c>
      <c r="F145" s="186">
        <f t="shared" si="29"/>
        <v>1</v>
      </c>
      <c r="G145" s="187">
        <f t="shared" si="30"/>
        <v>0</v>
      </c>
      <c r="H145" s="186">
        <f t="shared" si="31"/>
        <v>0</v>
      </c>
      <c r="I145" s="187">
        <f t="shared" si="32"/>
        <v>0</v>
      </c>
      <c r="J145" s="186">
        <f t="shared" si="33"/>
        <v>1</v>
      </c>
      <c r="K145" s="187"/>
      <c r="L145" s="189">
        <f t="shared" si="35"/>
        <v>141</v>
      </c>
      <c r="M145" s="189">
        <f t="shared" si="34"/>
        <v>352.5</v>
      </c>
    </row>
    <row r="146" spans="1:13" ht="12.75" customHeight="1" x14ac:dyDescent="0.2">
      <c r="A146" s="191">
        <f t="shared" si="24"/>
        <v>390</v>
      </c>
      <c r="B146" s="186">
        <f t="shared" si="25"/>
        <v>2</v>
      </c>
      <c r="C146" s="187">
        <f t="shared" si="26"/>
        <v>0</v>
      </c>
      <c r="D146" s="186">
        <f t="shared" si="27"/>
        <v>0</v>
      </c>
      <c r="E146" s="187">
        <f t="shared" si="28"/>
        <v>3</v>
      </c>
      <c r="F146" s="186">
        <f t="shared" si="29"/>
        <v>1</v>
      </c>
      <c r="G146" s="187">
        <f t="shared" si="30"/>
        <v>0</v>
      </c>
      <c r="H146" s="186">
        <f t="shared" si="31"/>
        <v>0</v>
      </c>
      <c r="I146" s="187">
        <f t="shared" si="32"/>
        <v>1</v>
      </c>
      <c r="J146" s="186">
        <f t="shared" si="33"/>
        <v>0</v>
      </c>
      <c r="K146" s="187"/>
      <c r="L146" s="189">
        <f t="shared" si="35"/>
        <v>142</v>
      </c>
      <c r="M146" s="189">
        <f t="shared" si="34"/>
        <v>355</v>
      </c>
    </row>
    <row r="147" spans="1:13" ht="12.75" customHeight="1" x14ac:dyDescent="0.2">
      <c r="A147" s="191">
        <f t="shared" si="24"/>
        <v>392.5</v>
      </c>
      <c r="B147" s="186">
        <f t="shared" si="25"/>
        <v>2</v>
      </c>
      <c r="C147" s="187">
        <f t="shared" si="26"/>
        <v>0</v>
      </c>
      <c r="D147" s="186">
        <f t="shared" si="27"/>
        <v>0</v>
      </c>
      <c r="E147" s="187">
        <f t="shared" si="28"/>
        <v>3</v>
      </c>
      <c r="F147" s="186">
        <f t="shared" si="29"/>
        <v>1</v>
      </c>
      <c r="G147" s="187">
        <f t="shared" si="30"/>
        <v>0</v>
      </c>
      <c r="H147" s="186">
        <f t="shared" si="31"/>
        <v>0</v>
      </c>
      <c r="I147" s="187">
        <f t="shared" si="32"/>
        <v>1</v>
      </c>
      <c r="J147" s="186">
        <f t="shared" si="33"/>
        <v>1</v>
      </c>
      <c r="K147" s="187"/>
      <c r="L147" s="189">
        <f t="shared" si="35"/>
        <v>143</v>
      </c>
      <c r="M147" s="189">
        <f t="shared" si="34"/>
        <v>357.5</v>
      </c>
    </row>
    <row r="148" spans="1:13" ht="12.75" customHeight="1" x14ac:dyDescent="0.2">
      <c r="A148" s="191">
        <f t="shared" si="24"/>
        <v>395</v>
      </c>
      <c r="B148" s="186">
        <f t="shared" si="25"/>
        <v>2</v>
      </c>
      <c r="C148" s="187">
        <f t="shared" si="26"/>
        <v>0</v>
      </c>
      <c r="D148" s="186">
        <f t="shared" si="27"/>
        <v>0</v>
      </c>
      <c r="E148" s="187">
        <f t="shared" si="28"/>
        <v>4</v>
      </c>
      <c r="F148" s="186">
        <f t="shared" si="29"/>
        <v>0</v>
      </c>
      <c r="G148" s="187">
        <f t="shared" si="30"/>
        <v>0</v>
      </c>
      <c r="H148" s="186">
        <f t="shared" si="31"/>
        <v>0</v>
      </c>
      <c r="I148" s="187">
        <f t="shared" si="32"/>
        <v>0</v>
      </c>
      <c r="J148" s="186">
        <f t="shared" si="33"/>
        <v>0</v>
      </c>
      <c r="K148" s="187"/>
      <c r="L148" s="189">
        <f t="shared" si="35"/>
        <v>144</v>
      </c>
      <c r="M148" s="189">
        <f t="shared" si="34"/>
        <v>360</v>
      </c>
    </row>
    <row r="149" spans="1:13" ht="12.75" customHeight="1" x14ac:dyDescent="0.2">
      <c r="A149" s="191">
        <f t="shared" si="24"/>
        <v>397.5</v>
      </c>
      <c r="B149" s="186">
        <f t="shared" si="25"/>
        <v>2</v>
      </c>
      <c r="C149" s="187">
        <f t="shared" si="26"/>
        <v>0</v>
      </c>
      <c r="D149" s="186">
        <f t="shared" si="27"/>
        <v>0</v>
      </c>
      <c r="E149" s="187">
        <f t="shared" si="28"/>
        <v>4</v>
      </c>
      <c r="F149" s="186">
        <f t="shared" si="29"/>
        <v>0</v>
      </c>
      <c r="G149" s="187">
        <f t="shared" si="30"/>
        <v>0</v>
      </c>
      <c r="H149" s="186">
        <f t="shared" si="31"/>
        <v>0</v>
      </c>
      <c r="I149" s="187">
        <f t="shared" si="32"/>
        <v>0</v>
      </c>
      <c r="J149" s="186">
        <f t="shared" si="33"/>
        <v>1</v>
      </c>
      <c r="K149" s="187"/>
      <c r="L149" s="189">
        <f t="shared" si="35"/>
        <v>145</v>
      </c>
      <c r="M149" s="189">
        <f t="shared" si="34"/>
        <v>362.5</v>
      </c>
    </row>
    <row r="150" spans="1:13" ht="12.75" customHeight="1" x14ac:dyDescent="0.2">
      <c r="A150" s="191">
        <f t="shared" si="24"/>
        <v>400</v>
      </c>
      <c r="B150" s="186">
        <f t="shared" si="25"/>
        <v>2</v>
      </c>
      <c r="C150" s="187">
        <f t="shared" si="26"/>
        <v>0</v>
      </c>
      <c r="D150" s="186">
        <f t="shared" si="27"/>
        <v>0</v>
      </c>
      <c r="E150" s="187">
        <f t="shared" si="28"/>
        <v>4</v>
      </c>
      <c r="F150" s="186">
        <f t="shared" si="29"/>
        <v>0</v>
      </c>
      <c r="G150" s="187">
        <f t="shared" si="30"/>
        <v>0</v>
      </c>
      <c r="H150" s="186">
        <f t="shared" si="31"/>
        <v>0</v>
      </c>
      <c r="I150" s="187">
        <f t="shared" si="32"/>
        <v>1</v>
      </c>
      <c r="J150" s="186">
        <f t="shared" si="33"/>
        <v>0</v>
      </c>
      <c r="K150" s="187"/>
      <c r="L150" s="189">
        <f t="shared" si="35"/>
        <v>146</v>
      </c>
      <c r="M150" s="189">
        <f t="shared" si="34"/>
        <v>365</v>
      </c>
    </row>
    <row r="151" spans="1:13" ht="12.75" customHeight="1" x14ac:dyDescent="0.2">
      <c r="A151" s="191">
        <f t="shared" si="24"/>
        <v>402.5</v>
      </c>
      <c r="B151" s="186">
        <f t="shared" si="25"/>
        <v>2</v>
      </c>
      <c r="C151" s="187">
        <f t="shared" si="26"/>
        <v>0</v>
      </c>
      <c r="D151" s="186">
        <f t="shared" si="27"/>
        <v>0</v>
      </c>
      <c r="E151" s="187">
        <f t="shared" si="28"/>
        <v>4</v>
      </c>
      <c r="F151" s="186">
        <f t="shared" si="29"/>
        <v>0</v>
      </c>
      <c r="G151" s="187">
        <f t="shared" si="30"/>
        <v>0</v>
      </c>
      <c r="H151" s="186">
        <f t="shared" si="31"/>
        <v>0</v>
      </c>
      <c r="I151" s="187">
        <f t="shared" si="32"/>
        <v>1</v>
      </c>
      <c r="J151" s="186">
        <f t="shared" si="33"/>
        <v>1</v>
      </c>
      <c r="K151" s="187"/>
      <c r="L151" s="189">
        <f t="shared" si="35"/>
        <v>147</v>
      </c>
      <c r="M151" s="189">
        <f t="shared" si="34"/>
        <v>367.5</v>
      </c>
    </row>
    <row r="152" spans="1:13" ht="12.75" customHeight="1" x14ac:dyDescent="0.2">
      <c r="A152" s="191">
        <f t="shared" si="24"/>
        <v>405</v>
      </c>
      <c r="B152" s="186">
        <f t="shared" si="25"/>
        <v>2</v>
      </c>
      <c r="C152" s="187">
        <f t="shared" si="26"/>
        <v>0</v>
      </c>
      <c r="D152" s="186">
        <f t="shared" si="27"/>
        <v>0</v>
      </c>
      <c r="E152" s="187">
        <f t="shared" si="28"/>
        <v>4</v>
      </c>
      <c r="F152" s="186">
        <f t="shared" si="29"/>
        <v>0</v>
      </c>
      <c r="G152" s="187">
        <f t="shared" si="30"/>
        <v>0</v>
      </c>
      <c r="H152" s="186">
        <f t="shared" si="31"/>
        <v>1</v>
      </c>
      <c r="I152" s="187">
        <f t="shared" si="32"/>
        <v>0</v>
      </c>
      <c r="J152" s="186">
        <f t="shared" si="33"/>
        <v>0</v>
      </c>
      <c r="K152" s="187"/>
      <c r="L152" s="189">
        <f t="shared" si="35"/>
        <v>148</v>
      </c>
      <c r="M152" s="189">
        <f t="shared" si="34"/>
        <v>370</v>
      </c>
    </row>
    <row r="153" spans="1:13" ht="12.75" customHeight="1" x14ac:dyDescent="0.2">
      <c r="A153" s="191">
        <f t="shared" si="24"/>
        <v>407.5</v>
      </c>
      <c r="B153" s="186">
        <f t="shared" si="25"/>
        <v>2</v>
      </c>
      <c r="C153" s="187">
        <f t="shared" si="26"/>
        <v>0</v>
      </c>
      <c r="D153" s="186">
        <f t="shared" si="27"/>
        <v>0</v>
      </c>
      <c r="E153" s="187">
        <f t="shared" si="28"/>
        <v>4</v>
      </c>
      <c r="F153" s="186">
        <f t="shared" si="29"/>
        <v>0</v>
      </c>
      <c r="G153" s="187">
        <f t="shared" si="30"/>
        <v>0</v>
      </c>
      <c r="H153" s="186">
        <f t="shared" si="31"/>
        <v>1</v>
      </c>
      <c r="I153" s="187">
        <f t="shared" si="32"/>
        <v>0</v>
      </c>
      <c r="J153" s="186">
        <f t="shared" si="33"/>
        <v>1</v>
      </c>
      <c r="K153" s="187"/>
      <c r="L153" s="189">
        <f t="shared" si="35"/>
        <v>149</v>
      </c>
      <c r="M153" s="189">
        <f t="shared" si="34"/>
        <v>372.5</v>
      </c>
    </row>
    <row r="154" spans="1:13" ht="12.75" customHeight="1" x14ac:dyDescent="0.2">
      <c r="A154" s="191">
        <f t="shared" si="24"/>
        <v>410</v>
      </c>
      <c r="B154" s="186">
        <f t="shared" si="25"/>
        <v>2</v>
      </c>
      <c r="C154" s="187">
        <f t="shared" si="26"/>
        <v>0</v>
      </c>
      <c r="D154" s="186">
        <f t="shared" si="27"/>
        <v>0</v>
      </c>
      <c r="E154" s="187">
        <f t="shared" si="28"/>
        <v>4</v>
      </c>
      <c r="F154" s="186">
        <f t="shared" si="29"/>
        <v>0</v>
      </c>
      <c r="G154" s="187">
        <f t="shared" si="30"/>
        <v>0</v>
      </c>
      <c r="H154" s="186">
        <f t="shared" si="31"/>
        <v>1</v>
      </c>
      <c r="I154" s="187">
        <f t="shared" si="32"/>
        <v>1</v>
      </c>
      <c r="J154" s="186">
        <f t="shared" si="33"/>
        <v>0</v>
      </c>
      <c r="K154" s="187"/>
      <c r="L154" s="189">
        <f t="shared" si="35"/>
        <v>150</v>
      </c>
      <c r="M154" s="189">
        <f t="shared" si="34"/>
        <v>375</v>
      </c>
    </row>
    <row r="155" spans="1:13" ht="12.75" customHeight="1" x14ac:dyDescent="0.2">
      <c r="A155" s="191">
        <f t="shared" si="24"/>
        <v>412.5</v>
      </c>
      <c r="B155" s="186">
        <f t="shared" si="25"/>
        <v>2</v>
      </c>
      <c r="C155" s="187">
        <f t="shared" si="26"/>
        <v>0</v>
      </c>
      <c r="D155" s="186">
        <f t="shared" si="27"/>
        <v>0</v>
      </c>
      <c r="E155" s="187">
        <f t="shared" si="28"/>
        <v>4</v>
      </c>
      <c r="F155" s="186">
        <f t="shared" si="29"/>
        <v>0</v>
      </c>
      <c r="G155" s="187">
        <f t="shared" si="30"/>
        <v>0</v>
      </c>
      <c r="H155" s="186">
        <f t="shared" si="31"/>
        <v>1</v>
      </c>
      <c r="I155" s="187">
        <f t="shared" si="32"/>
        <v>1</v>
      </c>
      <c r="J155" s="186">
        <f t="shared" si="33"/>
        <v>1</v>
      </c>
      <c r="K155" s="187"/>
      <c r="L155" s="189">
        <f t="shared" si="35"/>
        <v>151</v>
      </c>
      <c r="M155" s="189">
        <f t="shared" si="34"/>
        <v>377.5</v>
      </c>
    </row>
    <row r="156" spans="1:13" ht="12.75" customHeight="1" x14ac:dyDescent="0.2">
      <c r="A156" s="191">
        <f t="shared" si="24"/>
        <v>415</v>
      </c>
      <c r="B156" s="186">
        <f t="shared" si="25"/>
        <v>2</v>
      </c>
      <c r="C156" s="187">
        <f t="shared" si="26"/>
        <v>0</v>
      </c>
      <c r="D156" s="186">
        <f t="shared" si="27"/>
        <v>0</v>
      </c>
      <c r="E156" s="187">
        <f t="shared" si="28"/>
        <v>4</v>
      </c>
      <c r="F156" s="186">
        <f t="shared" si="29"/>
        <v>0</v>
      </c>
      <c r="G156" s="187">
        <f t="shared" si="30"/>
        <v>1</v>
      </c>
      <c r="H156" s="186">
        <f t="shared" si="31"/>
        <v>0</v>
      </c>
      <c r="I156" s="187">
        <f t="shared" si="32"/>
        <v>0</v>
      </c>
      <c r="J156" s="186">
        <f t="shared" si="33"/>
        <v>0</v>
      </c>
      <c r="K156" s="187"/>
      <c r="L156" s="189">
        <f t="shared" si="35"/>
        <v>152</v>
      </c>
      <c r="M156" s="189">
        <f t="shared" si="34"/>
        <v>380</v>
      </c>
    </row>
    <row r="157" spans="1:13" ht="12.75" customHeight="1" x14ac:dyDescent="0.2">
      <c r="A157" s="191">
        <f t="shared" si="24"/>
        <v>417.5</v>
      </c>
      <c r="B157" s="186">
        <f t="shared" si="25"/>
        <v>2</v>
      </c>
      <c r="C157" s="187">
        <f t="shared" si="26"/>
        <v>0</v>
      </c>
      <c r="D157" s="186">
        <f t="shared" si="27"/>
        <v>0</v>
      </c>
      <c r="E157" s="187">
        <f t="shared" si="28"/>
        <v>4</v>
      </c>
      <c r="F157" s="186">
        <f t="shared" si="29"/>
        <v>0</v>
      </c>
      <c r="G157" s="187">
        <f t="shared" si="30"/>
        <v>1</v>
      </c>
      <c r="H157" s="186">
        <f t="shared" si="31"/>
        <v>0</v>
      </c>
      <c r="I157" s="187">
        <f t="shared" si="32"/>
        <v>0</v>
      </c>
      <c r="J157" s="186">
        <f t="shared" si="33"/>
        <v>1</v>
      </c>
      <c r="K157" s="187"/>
      <c r="L157" s="189">
        <f t="shared" si="35"/>
        <v>153</v>
      </c>
      <c r="M157" s="189">
        <f t="shared" si="34"/>
        <v>382.5</v>
      </c>
    </row>
    <row r="158" spans="1:13" ht="12.75" customHeight="1" x14ac:dyDescent="0.2">
      <c r="A158" s="191">
        <f t="shared" si="24"/>
        <v>420</v>
      </c>
      <c r="B158" s="186">
        <f t="shared" si="25"/>
        <v>2</v>
      </c>
      <c r="C158" s="187">
        <f t="shared" si="26"/>
        <v>0</v>
      </c>
      <c r="D158" s="186">
        <f t="shared" si="27"/>
        <v>0</v>
      </c>
      <c r="E158" s="187">
        <f t="shared" si="28"/>
        <v>4</v>
      </c>
      <c r="F158" s="186">
        <f t="shared" si="29"/>
        <v>0</v>
      </c>
      <c r="G158" s="187">
        <f t="shared" si="30"/>
        <v>1</v>
      </c>
      <c r="H158" s="186">
        <f t="shared" si="31"/>
        <v>0</v>
      </c>
      <c r="I158" s="187">
        <f t="shared" si="32"/>
        <v>1</v>
      </c>
      <c r="J158" s="186">
        <f t="shared" si="33"/>
        <v>0</v>
      </c>
      <c r="K158" s="187"/>
      <c r="L158" s="189">
        <f t="shared" si="35"/>
        <v>154</v>
      </c>
      <c r="M158" s="189">
        <f t="shared" si="34"/>
        <v>385</v>
      </c>
    </row>
    <row r="159" spans="1:13" ht="12.75" customHeight="1" x14ac:dyDescent="0.2">
      <c r="A159" s="191">
        <f t="shared" si="24"/>
        <v>422.5</v>
      </c>
      <c r="B159" s="186">
        <f t="shared" si="25"/>
        <v>2</v>
      </c>
      <c r="C159" s="187">
        <f t="shared" si="26"/>
        <v>0</v>
      </c>
      <c r="D159" s="186">
        <f t="shared" si="27"/>
        <v>0</v>
      </c>
      <c r="E159" s="187">
        <f t="shared" si="28"/>
        <v>4</v>
      </c>
      <c r="F159" s="186">
        <f t="shared" si="29"/>
        <v>0</v>
      </c>
      <c r="G159" s="187">
        <f t="shared" si="30"/>
        <v>1</v>
      </c>
      <c r="H159" s="186">
        <f t="shared" si="31"/>
        <v>0</v>
      </c>
      <c r="I159" s="187">
        <f t="shared" si="32"/>
        <v>1</v>
      </c>
      <c r="J159" s="186">
        <f t="shared" si="33"/>
        <v>1</v>
      </c>
      <c r="K159" s="187"/>
      <c r="L159" s="189">
        <f t="shared" si="35"/>
        <v>155</v>
      </c>
      <c r="M159" s="189">
        <f t="shared" si="34"/>
        <v>387.5</v>
      </c>
    </row>
    <row r="160" spans="1:13" ht="12.75" customHeight="1" x14ac:dyDescent="0.2">
      <c r="A160" s="191">
        <f t="shared" si="24"/>
        <v>425</v>
      </c>
      <c r="B160" s="186">
        <f t="shared" si="25"/>
        <v>2</v>
      </c>
      <c r="C160" s="187">
        <f t="shared" si="26"/>
        <v>0</v>
      </c>
      <c r="D160" s="186">
        <f t="shared" si="27"/>
        <v>0</v>
      </c>
      <c r="E160" s="187">
        <f t="shared" si="28"/>
        <v>4</v>
      </c>
      <c r="F160" s="186">
        <f t="shared" si="29"/>
        <v>1</v>
      </c>
      <c r="G160" s="187">
        <f t="shared" si="30"/>
        <v>0</v>
      </c>
      <c r="H160" s="186">
        <f t="shared" si="31"/>
        <v>0</v>
      </c>
      <c r="I160" s="187">
        <f t="shared" si="32"/>
        <v>0</v>
      </c>
      <c r="J160" s="186">
        <f t="shared" si="33"/>
        <v>0</v>
      </c>
      <c r="K160" s="187"/>
      <c r="L160" s="189">
        <f t="shared" si="35"/>
        <v>156</v>
      </c>
      <c r="M160" s="189">
        <f t="shared" si="34"/>
        <v>390</v>
      </c>
    </row>
    <row r="161" spans="1:13" ht="12.75" customHeight="1" x14ac:dyDescent="0.2">
      <c r="A161" s="191">
        <f t="shared" si="24"/>
        <v>427.5</v>
      </c>
      <c r="B161" s="186">
        <f t="shared" si="25"/>
        <v>2</v>
      </c>
      <c r="C161" s="187">
        <f t="shared" si="26"/>
        <v>0</v>
      </c>
      <c r="D161" s="186">
        <f t="shared" si="27"/>
        <v>0</v>
      </c>
      <c r="E161" s="187">
        <f t="shared" si="28"/>
        <v>4</v>
      </c>
      <c r="F161" s="186">
        <f t="shared" si="29"/>
        <v>1</v>
      </c>
      <c r="G161" s="187">
        <f t="shared" si="30"/>
        <v>0</v>
      </c>
      <c r="H161" s="186">
        <f t="shared" si="31"/>
        <v>0</v>
      </c>
      <c r="I161" s="187">
        <f t="shared" si="32"/>
        <v>0</v>
      </c>
      <c r="J161" s="186">
        <f t="shared" si="33"/>
        <v>1</v>
      </c>
      <c r="K161" s="187"/>
      <c r="L161" s="189">
        <f t="shared" si="35"/>
        <v>157</v>
      </c>
      <c r="M161" s="189">
        <f t="shared" si="34"/>
        <v>392.5</v>
      </c>
    </row>
    <row r="162" spans="1:13" ht="12.75" customHeight="1" x14ac:dyDescent="0.2">
      <c r="A162" s="191">
        <f t="shared" si="24"/>
        <v>430</v>
      </c>
      <c r="B162" s="186">
        <f t="shared" si="25"/>
        <v>2</v>
      </c>
      <c r="C162" s="187">
        <f t="shared" si="26"/>
        <v>0</v>
      </c>
      <c r="D162" s="186">
        <f t="shared" si="27"/>
        <v>0</v>
      </c>
      <c r="E162" s="187">
        <f t="shared" si="28"/>
        <v>4</v>
      </c>
      <c r="F162" s="186">
        <f t="shared" si="29"/>
        <v>1</v>
      </c>
      <c r="G162" s="187">
        <f t="shared" si="30"/>
        <v>0</v>
      </c>
      <c r="H162" s="186">
        <f t="shared" si="31"/>
        <v>0</v>
      </c>
      <c r="I162" s="187">
        <f t="shared" si="32"/>
        <v>1</v>
      </c>
      <c r="J162" s="186">
        <f t="shared" si="33"/>
        <v>0</v>
      </c>
      <c r="K162" s="187"/>
      <c r="L162" s="189">
        <f t="shared" si="35"/>
        <v>158</v>
      </c>
      <c r="M162" s="189">
        <f t="shared" si="34"/>
        <v>395</v>
      </c>
    </row>
    <row r="163" spans="1:13" ht="12.75" customHeight="1" x14ac:dyDescent="0.2">
      <c r="A163" s="191">
        <f t="shared" si="24"/>
        <v>432.5</v>
      </c>
      <c r="B163" s="186">
        <f t="shared" si="25"/>
        <v>2</v>
      </c>
      <c r="C163" s="187">
        <f t="shared" si="26"/>
        <v>0</v>
      </c>
      <c r="D163" s="186">
        <f t="shared" si="27"/>
        <v>0</v>
      </c>
      <c r="E163" s="187">
        <f t="shared" si="28"/>
        <v>4</v>
      </c>
      <c r="F163" s="186">
        <f t="shared" si="29"/>
        <v>1</v>
      </c>
      <c r="G163" s="187">
        <f t="shared" si="30"/>
        <v>0</v>
      </c>
      <c r="H163" s="186">
        <f t="shared" si="31"/>
        <v>0</v>
      </c>
      <c r="I163" s="187">
        <f t="shared" si="32"/>
        <v>1</v>
      </c>
      <c r="J163" s="186">
        <f t="shared" si="33"/>
        <v>1</v>
      </c>
      <c r="K163" s="187"/>
      <c r="L163" s="189">
        <f t="shared" si="35"/>
        <v>159</v>
      </c>
      <c r="M163" s="189">
        <f t="shared" si="34"/>
        <v>397.5</v>
      </c>
    </row>
    <row r="164" spans="1:13" ht="12.75" customHeight="1" x14ac:dyDescent="0.2">
      <c r="A164" s="191">
        <f t="shared" si="24"/>
        <v>435</v>
      </c>
      <c r="B164" s="186">
        <f t="shared" si="25"/>
        <v>2</v>
      </c>
      <c r="C164" s="187">
        <f t="shared" si="26"/>
        <v>0</v>
      </c>
      <c r="D164" s="186">
        <f t="shared" si="27"/>
        <v>0</v>
      </c>
      <c r="E164" s="187">
        <f t="shared" si="28"/>
        <v>5</v>
      </c>
      <c r="F164" s="186">
        <f t="shared" si="29"/>
        <v>0</v>
      </c>
      <c r="G164" s="187">
        <f t="shared" si="30"/>
        <v>0</v>
      </c>
      <c r="H164" s="186">
        <f t="shared" si="31"/>
        <v>0</v>
      </c>
      <c r="I164" s="187">
        <f t="shared" si="32"/>
        <v>0</v>
      </c>
      <c r="J164" s="186">
        <f t="shared" si="33"/>
        <v>0</v>
      </c>
      <c r="K164" s="187"/>
      <c r="L164" s="189">
        <f t="shared" si="35"/>
        <v>160</v>
      </c>
      <c r="M164" s="189">
        <f t="shared" si="34"/>
        <v>400</v>
      </c>
    </row>
    <row r="165" spans="1:13" ht="12.75" customHeight="1" x14ac:dyDescent="0.2">
      <c r="A165" s="191">
        <f t="shared" si="24"/>
        <v>437.5</v>
      </c>
      <c r="B165" s="186">
        <f t="shared" si="25"/>
        <v>2</v>
      </c>
      <c r="C165" s="187">
        <f t="shared" si="26"/>
        <v>0</v>
      </c>
      <c r="D165" s="186">
        <f t="shared" si="27"/>
        <v>0</v>
      </c>
      <c r="E165" s="187">
        <f t="shared" si="28"/>
        <v>5</v>
      </c>
      <c r="F165" s="186">
        <f t="shared" si="29"/>
        <v>0</v>
      </c>
      <c r="G165" s="187">
        <f t="shared" si="30"/>
        <v>0</v>
      </c>
      <c r="H165" s="186">
        <f t="shared" si="31"/>
        <v>0</v>
      </c>
      <c r="I165" s="187">
        <f t="shared" si="32"/>
        <v>0</v>
      </c>
      <c r="J165" s="186">
        <f t="shared" si="33"/>
        <v>1</v>
      </c>
      <c r="K165" s="187"/>
      <c r="L165" s="189">
        <f t="shared" si="35"/>
        <v>161</v>
      </c>
      <c r="M165" s="189">
        <f t="shared" si="34"/>
        <v>402.5</v>
      </c>
    </row>
    <row r="166" spans="1:13" ht="12.75" customHeight="1" x14ac:dyDescent="0.2">
      <c r="A166" s="191">
        <f t="shared" si="24"/>
        <v>440</v>
      </c>
      <c r="B166" s="186">
        <f t="shared" si="25"/>
        <v>2</v>
      </c>
      <c r="C166" s="187">
        <f t="shared" si="26"/>
        <v>0</v>
      </c>
      <c r="D166" s="186">
        <f t="shared" si="27"/>
        <v>0</v>
      </c>
      <c r="E166" s="187">
        <f t="shared" si="28"/>
        <v>5</v>
      </c>
      <c r="F166" s="186">
        <f t="shared" si="29"/>
        <v>0</v>
      </c>
      <c r="G166" s="187">
        <f t="shared" si="30"/>
        <v>0</v>
      </c>
      <c r="H166" s="186">
        <f t="shared" si="31"/>
        <v>0</v>
      </c>
      <c r="I166" s="187">
        <f t="shared" si="32"/>
        <v>1</v>
      </c>
      <c r="J166" s="186">
        <f t="shared" si="33"/>
        <v>0</v>
      </c>
      <c r="K166" s="187"/>
      <c r="L166" s="189">
        <f t="shared" si="35"/>
        <v>162</v>
      </c>
      <c r="M166" s="189">
        <f t="shared" si="34"/>
        <v>405</v>
      </c>
    </row>
    <row r="167" spans="1:13" ht="12.75" customHeight="1" x14ac:dyDescent="0.2">
      <c r="A167" s="191">
        <f t="shared" si="24"/>
        <v>442.5</v>
      </c>
      <c r="B167" s="186">
        <f t="shared" si="25"/>
        <v>2</v>
      </c>
      <c r="C167" s="187">
        <f t="shared" si="26"/>
        <v>0</v>
      </c>
      <c r="D167" s="186">
        <f t="shared" si="27"/>
        <v>0</v>
      </c>
      <c r="E167" s="187">
        <f t="shared" si="28"/>
        <v>5</v>
      </c>
      <c r="F167" s="186">
        <f t="shared" si="29"/>
        <v>0</v>
      </c>
      <c r="G167" s="187">
        <f t="shared" si="30"/>
        <v>0</v>
      </c>
      <c r="H167" s="186">
        <f t="shared" si="31"/>
        <v>0</v>
      </c>
      <c r="I167" s="187">
        <f t="shared" si="32"/>
        <v>1</v>
      </c>
      <c r="J167" s="186">
        <f t="shared" si="33"/>
        <v>1</v>
      </c>
      <c r="K167" s="187"/>
      <c r="L167" s="189">
        <f t="shared" si="35"/>
        <v>163</v>
      </c>
      <c r="M167" s="189">
        <f t="shared" si="34"/>
        <v>407.5</v>
      </c>
    </row>
    <row r="168" spans="1:13" ht="12.75" customHeight="1" x14ac:dyDescent="0.2">
      <c r="A168" s="191">
        <f t="shared" si="24"/>
        <v>445</v>
      </c>
      <c r="B168" s="186">
        <f t="shared" si="25"/>
        <v>2</v>
      </c>
      <c r="C168" s="187">
        <f t="shared" si="26"/>
        <v>0</v>
      </c>
      <c r="D168" s="186">
        <f t="shared" si="27"/>
        <v>0</v>
      </c>
      <c r="E168" s="187">
        <f t="shared" si="28"/>
        <v>5</v>
      </c>
      <c r="F168" s="186">
        <f t="shared" si="29"/>
        <v>0</v>
      </c>
      <c r="G168" s="187">
        <f t="shared" si="30"/>
        <v>0</v>
      </c>
      <c r="H168" s="186">
        <f t="shared" si="31"/>
        <v>1</v>
      </c>
      <c r="I168" s="187">
        <f t="shared" si="32"/>
        <v>0</v>
      </c>
      <c r="J168" s="186">
        <f t="shared" si="33"/>
        <v>0</v>
      </c>
      <c r="K168" s="187"/>
      <c r="L168" s="189">
        <f t="shared" si="35"/>
        <v>164</v>
      </c>
      <c r="M168" s="189">
        <f t="shared" si="34"/>
        <v>410</v>
      </c>
    </row>
    <row r="169" spans="1:13" ht="12.75" customHeight="1" x14ac:dyDescent="0.2">
      <c r="A169" s="191">
        <f t="shared" si="24"/>
        <v>447.5</v>
      </c>
      <c r="B169" s="186">
        <f t="shared" si="25"/>
        <v>2</v>
      </c>
      <c r="C169" s="187">
        <f t="shared" si="26"/>
        <v>0</v>
      </c>
      <c r="D169" s="186">
        <f t="shared" si="27"/>
        <v>0</v>
      </c>
      <c r="E169" s="187">
        <f t="shared" si="28"/>
        <v>5</v>
      </c>
      <c r="F169" s="186">
        <f t="shared" si="29"/>
        <v>0</v>
      </c>
      <c r="G169" s="187">
        <f t="shared" si="30"/>
        <v>0</v>
      </c>
      <c r="H169" s="186">
        <f t="shared" si="31"/>
        <v>1</v>
      </c>
      <c r="I169" s="187">
        <f t="shared" si="32"/>
        <v>0</v>
      </c>
      <c r="J169" s="186">
        <f t="shared" si="33"/>
        <v>1</v>
      </c>
      <c r="K169" s="187"/>
      <c r="L169" s="189">
        <f t="shared" si="35"/>
        <v>165</v>
      </c>
      <c r="M169" s="189">
        <f t="shared" si="34"/>
        <v>412.5</v>
      </c>
    </row>
    <row r="170" spans="1:13" ht="12.75" customHeight="1" x14ac:dyDescent="0.2">
      <c r="A170" s="191">
        <f t="shared" si="24"/>
        <v>450</v>
      </c>
      <c r="B170" s="186">
        <f t="shared" si="25"/>
        <v>2</v>
      </c>
      <c r="C170" s="187">
        <f t="shared" si="26"/>
        <v>0</v>
      </c>
      <c r="D170" s="186">
        <f t="shared" si="27"/>
        <v>0</v>
      </c>
      <c r="E170" s="187">
        <f t="shared" si="28"/>
        <v>5</v>
      </c>
      <c r="F170" s="186">
        <f t="shared" si="29"/>
        <v>0</v>
      </c>
      <c r="G170" s="187">
        <f t="shared" si="30"/>
        <v>0</v>
      </c>
      <c r="H170" s="186">
        <f t="shared" si="31"/>
        <v>1</v>
      </c>
      <c r="I170" s="187">
        <f t="shared" si="32"/>
        <v>1</v>
      </c>
      <c r="J170" s="186">
        <f t="shared" si="33"/>
        <v>0</v>
      </c>
      <c r="K170" s="187"/>
      <c r="L170" s="189">
        <f t="shared" si="35"/>
        <v>166</v>
      </c>
      <c r="M170" s="189">
        <f t="shared" si="34"/>
        <v>415</v>
      </c>
    </row>
    <row r="171" spans="1:13" ht="12.75" customHeight="1" x14ac:dyDescent="0.2">
      <c r="A171" s="191">
        <f t="shared" si="24"/>
        <v>452.5</v>
      </c>
      <c r="B171" s="186">
        <f t="shared" si="25"/>
        <v>2</v>
      </c>
      <c r="C171" s="187">
        <f t="shared" si="26"/>
        <v>0</v>
      </c>
      <c r="D171" s="186">
        <f t="shared" si="27"/>
        <v>0</v>
      </c>
      <c r="E171" s="187">
        <f t="shared" si="28"/>
        <v>5</v>
      </c>
      <c r="F171" s="186">
        <f t="shared" si="29"/>
        <v>0</v>
      </c>
      <c r="G171" s="187">
        <f t="shared" si="30"/>
        <v>0</v>
      </c>
      <c r="H171" s="186">
        <f t="shared" si="31"/>
        <v>1</v>
      </c>
      <c r="I171" s="187">
        <f t="shared" si="32"/>
        <v>1</v>
      </c>
      <c r="J171" s="186">
        <f t="shared" si="33"/>
        <v>1</v>
      </c>
      <c r="K171" s="187"/>
      <c r="L171" s="189">
        <f t="shared" si="35"/>
        <v>167</v>
      </c>
      <c r="M171" s="189">
        <f t="shared" si="34"/>
        <v>417.5</v>
      </c>
    </row>
    <row r="172" spans="1:13" ht="12.75" customHeight="1" x14ac:dyDescent="0.2">
      <c r="A172" s="191">
        <f t="shared" si="24"/>
        <v>455</v>
      </c>
      <c r="B172" s="186">
        <f t="shared" si="25"/>
        <v>2</v>
      </c>
      <c r="C172" s="187">
        <f t="shared" si="26"/>
        <v>0</v>
      </c>
      <c r="D172" s="186">
        <f t="shared" si="27"/>
        <v>0</v>
      </c>
      <c r="E172" s="187">
        <f t="shared" si="28"/>
        <v>5</v>
      </c>
      <c r="F172" s="186">
        <f t="shared" si="29"/>
        <v>0</v>
      </c>
      <c r="G172" s="187">
        <f t="shared" si="30"/>
        <v>1</v>
      </c>
      <c r="H172" s="186">
        <f t="shared" si="31"/>
        <v>0</v>
      </c>
      <c r="I172" s="187">
        <f t="shared" si="32"/>
        <v>0</v>
      </c>
      <c r="J172" s="186">
        <f t="shared" si="33"/>
        <v>0</v>
      </c>
      <c r="K172" s="187"/>
      <c r="L172" s="189">
        <f t="shared" si="35"/>
        <v>168</v>
      </c>
      <c r="M172" s="189">
        <f t="shared" si="34"/>
        <v>420</v>
      </c>
    </row>
    <row r="173" spans="1:13" ht="12.75" customHeight="1" x14ac:dyDescent="0.2">
      <c r="A173" s="191">
        <f t="shared" si="24"/>
        <v>457.5</v>
      </c>
      <c r="B173" s="186">
        <f t="shared" si="25"/>
        <v>2</v>
      </c>
      <c r="C173" s="187">
        <f t="shared" si="26"/>
        <v>0</v>
      </c>
      <c r="D173" s="186">
        <f t="shared" si="27"/>
        <v>0</v>
      </c>
      <c r="E173" s="187">
        <f t="shared" si="28"/>
        <v>5</v>
      </c>
      <c r="F173" s="186">
        <f t="shared" si="29"/>
        <v>0</v>
      </c>
      <c r="G173" s="187">
        <f t="shared" si="30"/>
        <v>1</v>
      </c>
      <c r="H173" s="186">
        <f t="shared" si="31"/>
        <v>0</v>
      </c>
      <c r="I173" s="187">
        <f t="shared" si="32"/>
        <v>0</v>
      </c>
      <c r="J173" s="186">
        <f t="shared" si="33"/>
        <v>1</v>
      </c>
      <c r="K173" s="187"/>
      <c r="L173" s="189">
        <f t="shared" si="35"/>
        <v>169</v>
      </c>
      <c r="M173" s="189">
        <f t="shared" si="34"/>
        <v>422.5</v>
      </c>
    </row>
    <row r="174" spans="1:13" ht="12.75" customHeight="1" x14ac:dyDescent="0.2">
      <c r="A174" s="191">
        <f t="shared" si="24"/>
        <v>460</v>
      </c>
      <c r="B174" s="186">
        <f t="shared" si="25"/>
        <v>2</v>
      </c>
      <c r="C174" s="187">
        <f t="shared" si="26"/>
        <v>0</v>
      </c>
      <c r="D174" s="186">
        <f t="shared" si="27"/>
        <v>0</v>
      </c>
      <c r="E174" s="187">
        <f t="shared" si="28"/>
        <v>5</v>
      </c>
      <c r="F174" s="186">
        <f t="shared" si="29"/>
        <v>0</v>
      </c>
      <c r="G174" s="187">
        <f t="shared" si="30"/>
        <v>1</v>
      </c>
      <c r="H174" s="186">
        <f t="shared" si="31"/>
        <v>0</v>
      </c>
      <c r="I174" s="187">
        <f t="shared" si="32"/>
        <v>1</v>
      </c>
      <c r="J174" s="186">
        <f t="shared" si="33"/>
        <v>0</v>
      </c>
      <c r="K174" s="187"/>
      <c r="L174" s="189">
        <f t="shared" si="35"/>
        <v>170</v>
      </c>
      <c r="M174" s="189">
        <f t="shared" si="34"/>
        <v>425</v>
      </c>
    </row>
    <row r="175" spans="1:13" ht="12.75" customHeight="1" x14ac:dyDescent="0.2">
      <c r="A175" s="191">
        <f t="shared" si="24"/>
        <v>462.5</v>
      </c>
      <c r="B175" s="186">
        <f t="shared" si="25"/>
        <v>2</v>
      </c>
      <c r="C175" s="187">
        <f t="shared" si="26"/>
        <v>0</v>
      </c>
      <c r="D175" s="186">
        <f t="shared" si="27"/>
        <v>0</v>
      </c>
      <c r="E175" s="187">
        <f t="shared" si="28"/>
        <v>5</v>
      </c>
      <c r="F175" s="186">
        <f t="shared" si="29"/>
        <v>0</v>
      </c>
      <c r="G175" s="187">
        <f t="shared" si="30"/>
        <v>1</v>
      </c>
      <c r="H175" s="186">
        <f t="shared" si="31"/>
        <v>0</v>
      </c>
      <c r="I175" s="187">
        <f t="shared" si="32"/>
        <v>1</v>
      </c>
      <c r="J175" s="186">
        <f t="shared" si="33"/>
        <v>1</v>
      </c>
      <c r="K175" s="187"/>
      <c r="L175" s="189">
        <f t="shared" si="35"/>
        <v>171</v>
      </c>
      <c r="M175" s="189">
        <f t="shared" si="34"/>
        <v>427.5</v>
      </c>
    </row>
    <row r="176" spans="1:13" ht="12.75" customHeight="1" x14ac:dyDescent="0.2">
      <c r="A176" s="191">
        <f t="shared" si="24"/>
        <v>465</v>
      </c>
      <c r="B176" s="186">
        <f t="shared" si="25"/>
        <v>2</v>
      </c>
      <c r="C176" s="187">
        <f t="shared" si="26"/>
        <v>0</v>
      </c>
      <c r="D176" s="186">
        <f t="shared" si="27"/>
        <v>0</v>
      </c>
      <c r="E176" s="187">
        <f t="shared" si="28"/>
        <v>5</v>
      </c>
      <c r="F176" s="186">
        <f t="shared" si="29"/>
        <v>1</v>
      </c>
      <c r="G176" s="187">
        <f t="shared" si="30"/>
        <v>0</v>
      </c>
      <c r="H176" s="186">
        <f t="shared" si="31"/>
        <v>0</v>
      </c>
      <c r="I176" s="187">
        <f t="shared" si="32"/>
        <v>0</v>
      </c>
      <c r="J176" s="186">
        <f t="shared" si="33"/>
        <v>0</v>
      </c>
      <c r="K176" s="187"/>
      <c r="L176" s="189">
        <f t="shared" si="35"/>
        <v>172</v>
      </c>
      <c r="M176" s="189">
        <f t="shared" si="34"/>
        <v>430</v>
      </c>
    </row>
    <row r="177" spans="1:13" ht="12.75" customHeight="1" x14ac:dyDescent="0.2">
      <c r="A177" s="191">
        <f t="shared" si="24"/>
        <v>467.5</v>
      </c>
      <c r="B177" s="186">
        <f t="shared" si="25"/>
        <v>2</v>
      </c>
      <c r="C177" s="187">
        <f t="shared" si="26"/>
        <v>0</v>
      </c>
      <c r="D177" s="186">
        <f t="shared" si="27"/>
        <v>0</v>
      </c>
      <c r="E177" s="187">
        <f t="shared" si="28"/>
        <v>5</v>
      </c>
      <c r="F177" s="186">
        <f t="shared" si="29"/>
        <v>1</v>
      </c>
      <c r="G177" s="187">
        <f t="shared" si="30"/>
        <v>0</v>
      </c>
      <c r="H177" s="186">
        <f t="shared" si="31"/>
        <v>0</v>
      </c>
      <c r="I177" s="187">
        <f t="shared" si="32"/>
        <v>0</v>
      </c>
      <c r="J177" s="186">
        <f t="shared" si="33"/>
        <v>1</v>
      </c>
      <c r="K177" s="187"/>
      <c r="L177" s="189">
        <f t="shared" si="35"/>
        <v>173</v>
      </c>
      <c r="M177" s="189">
        <f t="shared" si="34"/>
        <v>432.5</v>
      </c>
    </row>
    <row r="178" spans="1:13" ht="12.75" customHeight="1" x14ac:dyDescent="0.2">
      <c r="A178" s="191">
        <f t="shared" si="24"/>
        <v>470</v>
      </c>
      <c r="B178" s="186">
        <f t="shared" si="25"/>
        <v>2</v>
      </c>
      <c r="C178" s="187">
        <f t="shared" si="26"/>
        <v>0</v>
      </c>
      <c r="D178" s="186">
        <f t="shared" si="27"/>
        <v>0</v>
      </c>
      <c r="E178" s="187">
        <f t="shared" si="28"/>
        <v>5</v>
      </c>
      <c r="F178" s="186">
        <f t="shared" si="29"/>
        <v>1</v>
      </c>
      <c r="G178" s="187">
        <f t="shared" si="30"/>
        <v>0</v>
      </c>
      <c r="H178" s="186">
        <f t="shared" si="31"/>
        <v>0</v>
      </c>
      <c r="I178" s="187">
        <f t="shared" si="32"/>
        <v>1</v>
      </c>
      <c r="J178" s="186">
        <f t="shared" si="33"/>
        <v>0</v>
      </c>
      <c r="K178" s="187"/>
      <c r="L178" s="189">
        <f t="shared" si="35"/>
        <v>174</v>
      </c>
      <c r="M178" s="189">
        <f t="shared" si="34"/>
        <v>435</v>
      </c>
    </row>
    <row r="179" spans="1:13" ht="12.75" customHeight="1" x14ac:dyDescent="0.2">
      <c r="A179" s="191">
        <f t="shared" si="24"/>
        <v>472.5</v>
      </c>
      <c r="B179" s="186">
        <f t="shared" si="25"/>
        <v>2</v>
      </c>
      <c r="C179" s="187">
        <f t="shared" si="26"/>
        <v>0</v>
      </c>
      <c r="D179" s="186">
        <f t="shared" si="27"/>
        <v>0</v>
      </c>
      <c r="E179" s="187">
        <f t="shared" si="28"/>
        <v>5</v>
      </c>
      <c r="F179" s="186">
        <f t="shared" si="29"/>
        <v>1</v>
      </c>
      <c r="G179" s="187">
        <f t="shared" si="30"/>
        <v>0</v>
      </c>
      <c r="H179" s="186">
        <f t="shared" si="31"/>
        <v>0</v>
      </c>
      <c r="I179" s="187">
        <f t="shared" si="32"/>
        <v>1</v>
      </c>
      <c r="J179" s="186">
        <f t="shared" si="33"/>
        <v>1</v>
      </c>
      <c r="K179" s="187"/>
      <c r="L179" s="189">
        <f t="shared" si="35"/>
        <v>175</v>
      </c>
      <c r="M179" s="189">
        <f t="shared" si="34"/>
        <v>437.5</v>
      </c>
    </row>
    <row r="180" spans="1:13" ht="12.75" customHeight="1" x14ac:dyDescent="0.2">
      <c r="A180" s="191">
        <f t="shared" si="24"/>
        <v>475</v>
      </c>
      <c r="B180" s="186">
        <f t="shared" si="25"/>
        <v>2</v>
      </c>
      <c r="C180" s="187">
        <f t="shared" si="26"/>
        <v>0</v>
      </c>
      <c r="D180" s="186">
        <f t="shared" si="27"/>
        <v>0</v>
      </c>
      <c r="E180" s="187">
        <f t="shared" si="28"/>
        <v>6</v>
      </c>
      <c r="F180" s="186">
        <f t="shared" si="29"/>
        <v>0</v>
      </c>
      <c r="G180" s="187">
        <f t="shared" si="30"/>
        <v>0</v>
      </c>
      <c r="H180" s="186">
        <f t="shared" si="31"/>
        <v>0</v>
      </c>
      <c r="I180" s="187">
        <f t="shared" si="32"/>
        <v>0</v>
      </c>
      <c r="J180" s="186">
        <f t="shared" si="33"/>
        <v>0</v>
      </c>
      <c r="K180" s="187"/>
      <c r="L180" s="189">
        <f t="shared" si="35"/>
        <v>176</v>
      </c>
      <c r="M180" s="189">
        <f t="shared" si="34"/>
        <v>440</v>
      </c>
    </row>
    <row r="181" spans="1:13" ht="12.75" customHeight="1" x14ac:dyDescent="0.2">
      <c r="A181" s="191">
        <f t="shared" si="24"/>
        <v>477.5</v>
      </c>
      <c r="B181" s="186">
        <f t="shared" si="25"/>
        <v>2</v>
      </c>
      <c r="C181" s="187">
        <f t="shared" si="26"/>
        <v>0</v>
      </c>
      <c r="D181" s="186">
        <f t="shared" si="27"/>
        <v>0</v>
      </c>
      <c r="E181" s="187">
        <f t="shared" si="28"/>
        <v>6</v>
      </c>
      <c r="F181" s="186">
        <f t="shared" si="29"/>
        <v>0</v>
      </c>
      <c r="G181" s="187">
        <f t="shared" si="30"/>
        <v>0</v>
      </c>
      <c r="H181" s="186">
        <f t="shared" si="31"/>
        <v>0</v>
      </c>
      <c r="I181" s="187">
        <f t="shared" si="32"/>
        <v>0</v>
      </c>
      <c r="J181" s="186">
        <f t="shared" si="33"/>
        <v>1</v>
      </c>
      <c r="K181" s="187"/>
      <c r="L181" s="189">
        <f t="shared" si="35"/>
        <v>177</v>
      </c>
      <c r="M181" s="189">
        <f t="shared" si="34"/>
        <v>442.5</v>
      </c>
    </row>
    <row r="182" spans="1:13" ht="12.75" customHeight="1" x14ac:dyDescent="0.2">
      <c r="A182" s="191">
        <f t="shared" si="24"/>
        <v>480</v>
      </c>
      <c r="B182" s="186">
        <f t="shared" si="25"/>
        <v>2</v>
      </c>
      <c r="C182" s="187">
        <f t="shared" si="26"/>
        <v>0</v>
      </c>
      <c r="D182" s="186">
        <f t="shared" si="27"/>
        <v>0</v>
      </c>
      <c r="E182" s="187">
        <f t="shared" si="28"/>
        <v>6</v>
      </c>
      <c r="F182" s="186">
        <f t="shared" si="29"/>
        <v>0</v>
      </c>
      <c r="G182" s="187">
        <f t="shared" si="30"/>
        <v>0</v>
      </c>
      <c r="H182" s="186">
        <f t="shared" si="31"/>
        <v>0</v>
      </c>
      <c r="I182" s="187">
        <f t="shared" si="32"/>
        <v>1</v>
      </c>
      <c r="J182" s="186">
        <f t="shared" si="33"/>
        <v>0</v>
      </c>
      <c r="K182" s="187"/>
      <c r="L182" s="189">
        <f t="shared" si="35"/>
        <v>178</v>
      </c>
      <c r="M182" s="189">
        <f t="shared" si="34"/>
        <v>445</v>
      </c>
    </row>
    <row r="183" spans="1:13" ht="12.75" customHeight="1" x14ac:dyDescent="0.2">
      <c r="A183" s="191">
        <f t="shared" si="24"/>
        <v>482.5</v>
      </c>
      <c r="B183" s="186">
        <f t="shared" si="25"/>
        <v>2</v>
      </c>
      <c r="C183" s="187">
        <f t="shared" si="26"/>
        <v>0</v>
      </c>
      <c r="D183" s="186">
        <f t="shared" si="27"/>
        <v>0</v>
      </c>
      <c r="E183" s="187">
        <f t="shared" si="28"/>
        <v>6</v>
      </c>
      <c r="F183" s="186">
        <f t="shared" si="29"/>
        <v>0</v>
      </c>
      <c r="G183" s="187">
        <f t="shared" si="30"/>
        <v>0</v>
      </c>
      <c r="H183" s="186">
        <f t="shared" si="31"/>
        <v>0</v>
      </c>
      <c r="I183" s="187">
        <f t="shared" si="32"/>
        <v>1</v>
      </c>
      <c r="J183" s="186">
        <f t="shared" si="33"/>
        <v>1</v>
      </c>
      <c r="K183" s="187"/>
      <c r="L183" s="189">
        <f t="shared" si="35"/>
        <v>179</v>
      </c>
      <c r="M183" s="189">
        <f t="shared" si="34"/>
        <v>447.5</v>
      </c>
    </row>
    <row r="184" spans="1:13" ht="12.75" customHeight="1" x14ac:dyDescent="0.2">
      <c r="A184" s="191">
        <f t="shared" si="24"/>
        <v>485</v>
      </c>
      <c r="B184" s="186">
        <f t="shared" si="25"/>
        <v>2</v>
      </c>
      <c r="C184" s="187">
        <f t="shared" si="26"/>
        <v>0</v>
      </c>
      <c r="D184" s="186">
        <f t="shared" si="27"/>
        <v>0</v>
      </c>
      <c r="E184" s="187">
        <f t="shared" si="28"/>
        <v>6</v>
      </c>
      <c r="F184" s="186">
        <f t="shared" si="29"/>
        <v>0</v>
      </c>
      <c r="G184" s="187">
        <f t="shared" si="30"/>
        <v>0</v>
      </c>
      <c r="H184" s="186">
        <f t="shared" si="31"/>
        <v>1</v>
      </c>
      <c r="I184" s="187">
        <f t="shared" si="32"/>
        <v>0</v>
      </c>
      <c r="J184" s="186">
        <f t="shared" si="33"/>
        <v>0</v>
      </c>
      <c r="K184" s="187"/>
      <c r="L184" s="189">
        <f t="shared" si="35"/>
        <v>180</v>
      </c>
      <c r="M184" s="189">
        <f t="shared" si="34"/>
        <v>450</v>
      </c>
    </row>
    <row r="185" spans="1:13" ht="12.75" customHeight="1" x14ac:dyDescent="0.2">
      <c r="A185" s="191">
        <f t="shared" si="24"/>
        <v>487.5</v>
      </c>
      <c r="B185" s="186">
        <f t="shared" si="25"/>
        <v>2</v>
      </c>
      <c r="C185" s="187">
        <f t="shared" si="26"/>
        <v>0</v>
      </c>
      <c r="D185" s="186">
        <f t="shared" si="27"/>
        <v>0</v>
      </c>
      <c r="E185" s="187">
        <f t="shared" si="28"/>
        <v>6</v>
      </c>
      <c r="F185" s="186">
        <f t="shared" si="29"/>
        <v>0</v>
      </c>
      <c r="G185" s="187">
        <f t="shared" si="30"/>
        <v>0</v>
      </c>
      <c r="H185" s="186">
        <f t="shared" si="31"/>
        <v>1</v>
      </c>
      <c r="I185" s="187">
        <f t="shared" si="32"/>
        <v>0</v>
      </c>
      <c r="J185" s="186">
        <f t="shared" si="33"/>
        <v>1</v>
      </c>
      <c r="K185" s="187"/>
      <c r="L185" s="189">
        <f t="shared" si="35"/>
        <v>181</v>
      </c>
      <c r="M185" s="189">
        <f t="shared" si="34"/>
        <v>452.5</v>
      </c>
    </row>
    <row r="186" spans="1:13" ht="12.75" customHeight="1" x14ac:dyDescent="0.2">
      <c r="A186" s="191">
        <f t="shared" si="24"/>
        <v>490</v>
      </c>
      <c r="B186" s="186">
        <f t="shared" si="25"/>
        <v>2</v>
      </c>
      <c r="C186" s="187">
        <f t="shared" si="26"/>
        <v>0</v>
      </c>
      <c r="D186" s="186">
        <f t="shared" si="27"/>
        <v>0</v>
      </c>
      <c r="E186" s="187">
        <f t="shared" si="28"/>
        <v>6</v>
      </c>
      <c r="F186" s="186">
        <f t="shared" si="29"/>
        <v>0</v>
      </c>
      <c r="G186" s="187">
        <f t="shared" si="30"/>
        <v>0</v>
      </c>
      <c r="H186" s="186">
        <f t="shared" si="31"/>
        <v>1</v>
      </c>
      <c r="I186" s="187">
        <f t="shared" si="32"/>
        <v>1</v>
      </c>
      <c r="J186" s="186">
        <f t="shared" si="33"/>
        <v>0</v>
      </c>
      <c r="K186" s="187"/>
      <c r="L186" s="189">
        <f t="shared" si="35"/>
        <v>182</v>
      </c>
      <c r="M186" s="189">
        <f t="shared" si="34"/>
        <v>455</v>
      </c>
    </row>
    <row r="187" spans="1:13" ht="12.75" customHeight="1" x14ac:dyDescent="0.2">
      <c r="A187" s="191">
        <f t="shared" si="24"/>
        <v>492.5</v>
      </c>
      <c r="B187" s="186">
        <f t="shared" si="25"/>
        <v>2</v>
      </c>
      <c r="C187" s="187">
        <f t="shared" si="26"/>
        <v>0</v>
      </c>
      <c r="D187" s="186">
        <f t="shared" si="27"/>
        <v>0</v>
      </c>
      <c r="E187" s="187">
        <f t="shared" si="28"/>
        <v>6</v>
      </c>
      <c r="F187" s="186">
        <f t="shared" si="29"/>
        <v>0</v>
      </c>
      <c r="G187" s="187">
        <f t="shared" si="30"/>
        <v>0</v>
      </c>
      <c r="H187" s="186">
        <f t="shared" si="31"/>
        <v>1</v>
      </c>
      <c r="I187" s="187">
        <f t="shared" si="32"/>
        <v>1</v>
      </c>
      <c r="J187" s="186">
        <f t="shared" si="33"/>
        <v>1</v>
      </c>
      <c r="K187" s="187"/>
      <c r="L187" s="189">
        <f t="shared" si="35"/>
        <v>183</v>
      </c>
      <c r="M187" s="189">
        <f t="shared" si="34"/>
        <v>457.5</v>
      </c>
    </row>
    <row r="188" spans="1:13" ht="12.75" customHeight="1" x14ac:dyDescent="0.2">
      <c r="A188" s="191">
        <f t="shared" si="24"/>
        <v>495</v>
      </c>
      <c r="B188" s="186">
        <f t="shared" si="25"/>
        <v>2</v>
      </c>
      <c r="C188" s="187">
        <f t="shared" si="26"/>
        <v>0</v>
      </c>
      <c r="D188" s="186">
        <f t="shared" si="27"/>
        <v>0</v>
      </c>
      <c r="E188" s="187">
        <f t="shared" si="28"/>
        <v>6</v>
      </c>
      <c r="F188" s="186">
        <f t="shared" si="29"/>
        <v>0</v>
      </c>
      <c r="G188" s="187">
        <f t="shared" si="30"/>
        <v>1</v>
      </c>
      <c r="H188" s="186">
        <f t="shared" si="31"/>
        <v>0</v>
      </c>
      <c r="I188" s="187">
        <f t="shared" si="32"/>
        <v>0</v>
      </c>
      <c r="J188" s="186">
        <f t="shared" si="33"/>
        <v>0</v>
      </c>
      <c r="K188" s="187"/>
      <c r="L188" s="189">
        <f t="shared" si="35"/>
        <v>184</v>
      </c>
      <c r="M188" s="189">
        <f t="shared" si="34"/>
        <v>460</v>
      </c>
    </row>
    <row r="189" spans="1:13" ht="12.75" customHeight="1" x14ac:dyDescent="0.2">
      <c r="A189" s="191">
        <f t="shared" si="24"/>
        <v>497.5</v>
      </c>
      <c r="B189" s="186">
        <f t="shared" si="25"/>
        <v>2</v>
      </c>
      <c r="C189" s="187">
        <f t="shared" si="26"/>
        <v>0</v>
      </c>
      <c r="D189" s="186">
        <f t="shared" si="27"/>
        <v>0</v>
      </c>
      <c r="E189" s="187">
        <f t="shared" si="28"/>
        <v>6</v>
      </c>
      <c r="F189" s="186">
        <f t="shared" si="29"/>
        <v>0</v>
      </c>
      <c r="G189" s="187">
        <f t="shared" si="30"/>
        <v>1</v>
      </c>
      <c r="H189" s="186">
        <f t="shared" si="31"/>
        <v>0</v>
      </c>
      <c r="I189" s="187">
        <f t="shared" si="32"/>
        <v>0</v>
      </c>
      <c r="J189" s="186">
        <f t="shared" si="33"/>
        <v>1</v>
      </c>
      <c r="K189" s="187"/>
      <c r="L189" s="189">
        <f t="shared" si="35"/>
        <v>185</v>
      </c>
      <c r="M189" s="189">
        <f t="shared" si="34"/>
        <v>462.5</v>
      </c>
    </row>
    <row r="190" spans="1:13" ht="12.75" customHeight="1" x14ac:dyDescent="0.2">
      <c r="A190" s="191">
        <f t="shared" si="24"/>
        <v>500</v>
      </c>
      <c r="B190" s="186">
        <f t="shared" si="25"/>
        <v>2</v>
      </c>
      <c r="C190" s="187">
        <f t="shared" si="26"/>
        <v>0</v>
      </c>
      <c r="D190" s="186">
        <f t="shared" si="27"/>
        <v>0</v>
      </c>
      <c r="E190" s="187">
        <f t="shared" si="28"/>
        <v>6</v>
      </c>
      <c r="F190" s="186">
        <f t="shared" si="29"/>
        <v>0</v>
      </c>
      <c r="G190" s="187">
        <f t="shared" si="30"/>
        <v>1</v>
      </c>
      <c r="H190" s="186">
        <f t="shared" si="31"/>
        <v>0</v>
      </c>
      <c r="I190" s="187">
        <f t="shared" si="32"/>
        <v>1</v>
      </c>
      <c r="J190" s="186">
        <f t="shared" si="33"/>
        <v>0</v>
      </c>
      <c r="K190" s="187"/>
      <c r="L190" s="189">
        <f t="shared" si="35"/>
        <v>186</v>
      </c>
      <c r="M190" s="189">
        <f t="shared" si="34"/>
        <v>465</v>
      </c>
    </row>
    <row r="191" spans="1:13" ht="12.75" customHeight="1" x14ac:dyDescent="0.2">
      <c r="A191" s="191">
        <f t="shared" si="24"/>
        <v>502.5</v>
      </c>
      <c r="B191" s="186">
        <f t="shared" si="25"/>
        <v>2</v>
      </c>
      <c r="C191" s="187">
        <f t="shared" si="26"/>
        <v>0</v>
      </c>
      <c r="D191" s="186">
        <f t="shared" si="27"/>
        <v>0</v>
      </c>
      <c r="E191" s="187">
        <f t="shared" si="28"/>
        <v>6</v>
      </c>
      <c r="F191" s="186">
        <f t="shared" si="29"/>
        <v>0</v>
      </c>
      <c r="G191" s="187">
        <f t="shared" si="30"/>
        <v>1</v>
      </c>
      <c r="H191" s="186">
        <f t="shared" si="31"/>
        <v>0</v>
      </c>
      <c r="I191" s="187">
        <f t="shared" si="32"/>
        <v>1</v>
      </c>
      <c r="J191" s="186">
        <f t="shared" si="33"/>
        <v>1</v>
      </c>
      <c r="K191" s="187"/>
      <c r="L191" s="189">
        <f t="shared" si="35"/>
        <v>187</v>
      </c>
      <c r="M191" s="189">
        <f t="shared" si="34"/>
        <v>467.5</v>
      </c>
    </row>
    <row r="192" spans="1:13" ht="12.75" customHeight="1" x14ac:dyDescent="0.2">
      <c r="A192" s="191">
        <f t="shared" si="24"/>
        <v>505</v>
      </c>
      <c r="B192" s="186">
        <f t="shared" si="25"/>
        <v>2</v>
      </c>
      <c r="C192" s="187">
        <f t="shared" si="26"/>
        <v>0</v>
      </c>
      <c r="D192" s="186">
        <f t="shared" si="27"/>
        <v>0</v>
      </c>
      <c r="E192" s="187">
        <f t="shared" si="28"/>
        <v>6</v>
      </c>
      <c r="F192" s="186">
        <f t="shared" si="29"/>
        <v>1</v>
      </c>
      <c r="G192" s="187">
        <f t="shared" si="30"/>
        <v>0</v>
      </c>
      <c r="H192" s="186">
        <f t="shared" si="31"/>
        <v>0</v>
      </c>
      <c r="I192" s="187">
        <f t="shared" si="32"/>
        <v>0</v>
      </c>
      <c r="J192" s="186">
        <f t="shared" si="33"/>
        <v>0</v>
      </c>
      <c r="K192" s="187"/>
      <c r="L192" s="189">
        <f t="shared" si="35"/>
        <v>188</v>
      </c>
      <c r="M192" s="189">
        <f t="shared" si="34"/>
        <v>470</v>
      </c>
    </row>
    <row r="193" spans="1:13" ht="12.75" customHeight="1" x14ac:dyDescent="0.2">
      <c r="A193" s="191">
        <f t="shared" si="24"/>
        <v>507.5</v>
      </c>
      <c r="B193" s="186">
        <f t="shared" si="25"/>
        <v>2</v>
      </c>
      <c r="C193" s="187">
        <f t="shared" si="26"/>
        <v>0</v>
      </c>
      <c r="D193" s="186">
        <f t="shared" si="27"/>
        <v>0</v>
      </c>
      <c r="E193" s="187">
        <f t="shared" si="28"/>
        <v>6</v>
      </c>
      <c r="F193" s="186">
        <f t="shared" si="29"/>
        <v>1</v>
      </c>
      <c r="G193" s="187">
        <f t="shared" si="30"/>
        <v>0</v>
      </c>
      <c r="H193" s="186">
        <f t="shared" si="31"/>
        <v>0</v>
      </c>
      <c r="I193" s="187">
        <f t="shared" si="32"/>
        <v>0</v>
      </c>
      <c r="J193" s="186">
        <f t="shared" si="33"/>
        <v>1</v>
      </c>
      <c r="K193" s="187"/>
      <c r="L193" s="189">
        <f t="shared" si="35"/>
        <v>189</v>
      </c>
      <c r="M193" s="189">
        <f t="shared" si="34"/>
        <v>472.5</v>
      </c>
    </row>
    <row r="194" spans="1:13" ht="12.75" customHeight="1" x14ac:dyDescent="0.2">
      <c r="A194" s="191">
        <f t="shared" si="24"/>
        <v>510</v>
      </c>
      <c r="B194" s="186">
        <f t="shared" si="25"/>
        <v>2</v>
      </c>
      <c r="C194" s="187">
        <f t="shared" si="26"/>
        <v>0</v>
      </c>
      <c r="D194" s="186">
        <f t="shared" si="27"/>
        <v>0</v>
      </c>
      <c r="E194" s="187">
        <f t="shared" si="28"/>
        <v>6</v>
      </c>
      <c r="F194" s="186">
        <f t="shared" si="29"/>
        <v>1</v>
      </c>
      <c r="G194" s="187">
        <f t="shared" si="30"/>
        <v>0</v>
      </c>
      <c r="H194" s="186">
        <f t="shared" si="31"/>
        <v>0</v>
      </c>
      <c r="I194" s="187">
        <f t="shared" si="32"/>
        <v>1</v>
      </c>
      <c r="J194" s="186">
        <f t="shared" si="33"/>
        <v>0</v>
      </c>
      <c r="K194" s="187"/>
      <c r="L194" s="189">
        <f t="shared" si="35"/>
        <v>190</v>
      </c>
      <c r="M194" s="189">
        <f t="shared" si="34"/>
        <v>475</v>
      </c>
    </row>
    <row r="195" spans="1:13" ht="12.75" customHeight="1" x14ac:dyDescent="0.2">
      <c r="A195" s="191">
        <f t="shared" si="24"/>
        <v>512.5</v>
      </c>
      <c r="B195" s="186">
        <f t="shared" si="25"/>
        <v>2</v>
      </c>
      <c r="C195" s="187">
        <f t="shared" si="26"/>
        <v>0</v>
      </c>
      <c r="D195" s="186">
        <f t="shared" si="27"/>
        <v>0</v>
      </c>
      <c r="E195" s="187">
        <f t="shared" si="28"/>
        <v>6</v>
      </c>
      <c r="F195" s="186">
        <f t="shared" si="29"/>
        <v>1</v>
      </c>
      <c r="G195" s="187">
        <f t="shared" si="30"/>
        <v>0</v>
      </c>
      <c r="H195" s="186">
        <f t="shared" si="31"/>
        <v>0</v>
      </c>
      <c r="I195" s="187">
        <f t="shared" si="32"/>
        <v>1</v>
      </c>
      <c r="J195" s="186">
        <f t="shared" si="33"/>
        <v>1</v>
      </c>
      <c r="K195" s="187"/>
      <c r="L195" s="189">
        <f t="shared" si="35"/>
        <v>191</v>
      </c>
      <c r="M195" s="189">
        <f t="shared" si="34"/>
        <v>477.5</v>
      </c>
    </row>
    <row r="196" spans="1:13" ht="12.75" customHeight="1" x14ac:dyDescent="0.2">
      <c r="A196" s="191">
        <f t="shared" si="24"/>
        <v>515</v>
      </c>
      <c r="B196" s="186">
        <f t="shared" si="25"/>
        <v>2</v>
      </c>
      <c r="C196" s="187">
        <f t="shared" si="26"/>
        <v>0</v>
      </c>
      <c r="D196" s="186">
        <f t="shared" si="27"/>
        <v>0</v>
      </c>
      <c r="E196" s="187">
        <f t="shared" si="28"/>
        <v>7</v>
      </c>
      <c r="F196" s="186">
        <f t="shared" si="29"/>
        <v>0</v>
      </c>
      <c r="G196" s="187">
        <f t="shared" si="30"/>
        <v>0</v>
      </c>
      <c r="H196" s="186">
        <f t="shared" si="31"/>
        <v>0</v>
      </c>
      <c r="I196" s="187">
        <f t="shared" si="32"/>
        <v>0</v>
      </c>
      <c r="J196" s="186">
        <f t="shared" si="33"/>
        <v>0</v>
      </c>
      <c r="K196" s="187"/>
      <c r="L196" s="189">
        <f t="shared" si="35"/>
        <v>192</v>
      </c>
      <c r="M196" s="189">
        <f t="shared" si="34"/>
        <v>480</v>
      </c>
    </row>
    <row r="197" spans="1:13" ht="12.75" customHeight="1" x14ac:dyDescent="0.2">
      <c r="A197" s="191">
        <f t="shared" ref="A197:A260" si="36">IF(M197+$K$2&gt;$L$1,0,M197+$K$2)</f>
        <v>517.5</v>
      </c>
      <c r="B197" s="186">
        <f t="shared" ref="B197:B260" si="37">IF(A197=0,0,MIN($B$1/2,INT(M197/(2*$B$2))))</f>
        <v>2</v>
      </c>
      <c r="C197" s="187">
        <f t="shared" ref="C197:C260" si="38">IF(A197=0,0,MIN($C$1/2,INT(($M197-2*$B197*$B$2)/(2*$C$2))))</f>
        <v>0</v>
      </c>
      <c r="D197" s="186">
        <f t="shared" ref="D197:D260" si="39">IF(A197=0,0,MIN($D$1/2,INT(($M197-2*$B197*$B$2-2*$C197*$C$2)/(2*$D$2))))</f>
        <v>0</v>
      </c>
      <c r="E197" s="187">
        <f t="shared" ref="E197:E260" si="40">IF(A197=0,0,MIN($E$1/2,INT(($M197-2*$B197*$B$2-2*$C197*$C$2-2*$D197*$D$2)/(2*$E$2))))</f>
        <v>7</v>
      </c>
      <c r="F197" s="186">
        <f t="shared" ref="F197:F260" si="41">IF(A197=0,0,MIN($F$1/2,INT(($M197-2*$B197*$B$2-2*$C197*$C$2-2*$D197*$D$2-2*$E197*$E$2)/(2*$F$2))))</f>
        <v>0</v>
      </c>
      <c r="G197" s="187">
        <f t="shared" ref="G197:G260" si="42">IF(A197=0,0,MIN($G$1/2,INT(($M197-2*$B197*$B$2-2*$C197*$C$2-2*$D197*$D$2-2*$E197*$E$2-2*$F197*$F$2)/(2*$G$2))))</f>
        <v>0</v>
      </c>
      <c r="H197" s="186">
        <f t="shared" ref="H197:H260" si="43">IF(A197=0,0,MIN($H$1/2,INT(($M197-2*$B197*$B$2-2*$C197*$C$2-2*$D197*$D$2-2*$E197*$E$2-2*$F197*$F$2-2*$G197*$G$2)/(2*$H$2))))</f>
        <v>0</v>
      </c>
      <c r="I197" s="187">
        <f t="shared" ref="I197:I260" si="44">IF(A197=0,0,MIN($I$1/2,INT(($M197-2*$B197*$B$2-2*$C197*$C$2-2*$D197*$D$2-2*$E197*$E$2-2*$F197*$F$2-2*$G197*$G$2-2*$H197*$H$2)/(2*$I$2))))</f>
        <v>0</v>
      </c>
      <c r="J197" s="186">
        <f t="shared" ref="J197:J260" si="45">IF(A197=0,0,MIN($J$1/2,INT(($M197-2*$B197*$B$2-2*$C197*$C$2-2*$D197*$D$2-2*$E197*$E$2-2*$F197*$F$2-2*$G197*$G$2-2*$H197*$H$2-2*$I197*$I$2)/(2*$J$2))))</f>
        <v>1</v>
      </c>
      <c r="K197" s="187"/>
      <c r="L197" s="189">
        <f t="shared" si="35"/>
        <v>193</v>
      </c>
      <c r="M197" s="189">
        <f t="shared" ref="M197:M260" si="46">IF($A$2="Pounds",5*L197,2.5*L197)</f>
        <v>482.5</v>
      </c>
    </row>
    <row r="198" spans="1:13" ht="12.75" customHeight="1" x14ac:dyDescent="0.2">
      <c r="A198" s="191">
        <f t="shared" si="36"/>
        <v>520</v>
      </c>
      <c r="B198" s="186">
        <f t="shared" si="37"/>
        <v>2</v>
      </c>
      <c r="C198" s="187">
        <f t="shared" si="38"/>
        <v>0</v>
      </c>
      <c r="D198" s="186">
        <f t="shared" si="39"/>
        <v>0</v>
      </c>
      <c r="E198" s="187">
        <f t="shared" si="40"/>
        <v>7</v>
      </c>
      <c r="F198" s="186">
        <f t="shared" si="41"/>
        <v>0</v>
      </c>
      <c r="G198" s="187">
        <f t="shared" si="42"/>
        <v>0</v>
      </c>
      <c r="H198" s="186">
        <f t="shared" si="43"/>
        <v>0</v>
      </c>
      <c r="I198" s="187">
        <f t="shared" si="44"/>
        <v>1</v>
      </c>
      <c r="J198" s="186">
        <f t="shared" si="45"/>
        <v>0</v>
      </c>
      <c r="K198" s="187"/>
      <c r="L198" s="189">
        <f t="shared" si="35"/>
        <v>194</v>
      </c>
      <c r="M198" s="189">
        <f t="shared" si="46"/>
        <v>485</v>
      </c>
    </row>
    <row r="199" spans="1:13" ht="12.75" customHeight="1" x14ac:dyDescent="0.2">
      <c r="A199" s="191">
        <f t="shared" si="36"/>
        <v>522.5</v>
      </c>
      <c r="B199" s="186">
        <f t="shared" si="37"/>
        <v>2</v>
      </c>
      <c r="C199" s="187">
        <f t="shared" si="38"/>
        <v>0</v>
      </c>
      <c r="D199" s="186">
        <f t="shared" si="39"/>
        <v>0</v>
      </c>
      <c r="E199" s="187">
        <f t="shared" si="40"/>
        <v>7</v>
      </c>
      <c r="F199" s="186">
        <f t="shared" si="41"/>
        <v>0</v>
      </c>
      <c r="G199" s="187">
        <f t="shared" si="42"/>
        <v>0</v>
      </c>
      <c r="H199" s="186">
        <f t="shared" si="43"/>
        <v>0</v>
      </c>
      <c r="I199" s="187">
        <f t="shared" si="44"/>
        <v>1</v>
      </c>
      <c r="J199" s="186">
        <f t="shared" si="45"/>
        <v>1</v>
      </c>
      <c r="K199" s="187"/>
      <c r="L199" s="189">
        <f t="shared" si="35"/>
        <v>195</v>
      </c>
      <c r="M199" s="189">
        <f t="shared" si="46"/>
        <v>487.5</v>
      </c>
    </row>
    <row r="200" spans="1:13" ht="12.75" customHeight="1" x14ac:dyDescent="0.2">
      <c r="A200" s="191">
        <f t="shared" si="36"/>
        <v>525</v>
      </c>
      <c r="B200" s="186">
        <f t="shared" si="37"/>
        <v>2</v>
      </c>
      <c r="C200" s="187">
        <f t="shared" si="38"/>
        <v>0</v>
      </c>
      <c r="D200" s="186">
        <f t="shared" si="39"/>
        <v>0</v>
      </c>
      <c r="E200" s="187">
        <f t="shared" si="40"/>
        <v>7</v>
      </c>
      <c r="F200" s="186">
        <f t="shared" si="41"/>
        <v>0</v>
      </c>
      <c r="G200" s="187">
        <f t="shared" si="42"/>
        <v>0</v>
      </c>
      <c r="H200" s="186">
        <f t="shared" si="43"/>
        <v>1</v>
      </c>
      <c r="I200" s="187">
        <f t="shared" si="44"/>
        <v>0</v>
      </c>
      <c r="J200" s="186">
        <f t="shared" si="45"/>
        <v>0</v>
      </c>
      <c r="K200" s="187"/>
      <c r="L200" s="189">
        <f t="shared" si="35"/>
        <v>196</v>
      </c>
      <c r="M200" s="189">
        <f t="shared" si="46"/>
        <v>490</v>
      </c>
    </row>
    <row r="201" spans="1:13" ht="12.75" customHeight="1" x14ac:dyDescent="0.2">
      <c r="A201" s="191">
        <f t="shared" si="36"/>
        <v>527.5</v>
      </c>
      <c r="B201" s="186">
        <f t="shared" si="37"/>
        <v>2</v>
      </c>
      <c r="C201" s="187">
        <f t="shared" si="38"/>
        <v>0</v>
      </c>
      <c r="D201" s="186">
        <f t="shared" si="39"/>
        <v>0</v>
      </c>
      <c r="E201" s="187">
        <f t="shared" si="40"/>
        <v>7</v>
      </c>
      <c r="F201" s="186">
        <f t="shared" si="41"/>
        <v>0</v>
      </c>
      <c r="G201" s="187">
        <f t="shared" si="42"/>
        <v>0</v>
      </c>
      <c r="H201" s="186">
        <f t="shared" si="43"/>
        <v>1</v>
      </c>
      <c r="I201" s="187">
        <f t="shared" si="44"/>
        <v>0</v>
      </c>
      <c r="J201" s="186">
        <f t="shared" si="45"/>
        <v>1</v>
      </c>
      <c r="K201" s="187"/>
      <c r="L201" s="189">
        <f t="shared" si="35"/>
        <v>197</v>
      </c>
      <c r="M201" s="189">
        <f t="shared" si="46"/>
        <v>492.5</v>
      </c>
    </row>
    <row r="202" spans="1:13" ht="12.75" customHeight="1" x14ac:dyDescent="0.2">
      <c r="A202" s="191">
        <f t="shared" si="36"/>
        <v>530</v>
      </c>
      <c r="B202" s="186">
        <f t="shared" si="37"/>
        <v>2</v>
      </c>
      <c r="C202" s="187">
        <f t="shared" si="38"/>
        <v>0</v>
      </c>
      <c r="D202" s="186">
        <f t="shared" si="39"/>
        <v>0</v>
      </c>
      <c r="E202" s="187">
        <f t="shared" si="40"/>
        <v>7</v>
      </c>
      <c r="F202" s="186">
        <f t="shared" si="41"/>
        <v>0</v>
      </c>
      <c r="G202" s="187">
        <f t="shared" si="42"/>
        <v>0</v>
      </c>
      <c r="H202" s="186">
        <f t="shared" si="43"/>
        <v>1</v>
      </c>
      <c r="I202" s="187">
        <f t="shared" si="44"/>
        <v>1</v>
      </c>
      <c r="J202" s="186">
        <f t="shared" si="45"/>
        <v>0</v>
      </c>
      <c r="K202" s="187"/>
      <c r="L202" s="189">
        <f t="shared" si="35"/>
        <v>198</v>
      </c>
      <c r="M202" s="189">
        <f t="shared" si="46"/>
        <v>495</v>
      </c>
    </row>
    <row r="203" spans="1:13" ht="12.75" customHeight="1" x14ac:dyDescent="0.2">
      <c r="A203" s="191">
        <f t="shared" si="36"/>
        <v>532.5</v>
      </c>
      <c r="B203" s="186">
        <f t="shared" si="37"/>
        <v>2</v>
      </c>
      <c r="C203" s="187">
        <f t="shared" si="38"/>
        <v>0</v>
      </c>
      <c r="D203" s="186">
        <f t="shared" si="39"/>
        <v>0</v>
      </c>
      <c r="E203" s="187">
        <f t="shared" si="40"/>
        <v>7</v>
      </c>
      <c r="F203" s="186">
        <f t="shared" si="41"/>
        <v>0</v>
      </c>
      <c r="G203" s="187">
        <f t="shared" si="42"/>
        <v>0</v>
      </c>
      <c r="H203" s="186">
        <f t="shared" si="43"/>
        <v>1</v>
      </c>
      <c r="I203" s="187">
        <f t="shared" si="44"/>
        <v>1</v>
      </c>
      <c r="J203" s="186">
        <f t="shared" si="45"/>
        <v>1</v>
      </c>
      <c r="K203" s="187"/>
      <c r="L203" s="189">
        <f t="shared" si="35"/>
        <v>199</v>
      </c>
      <c r="M203" s="189">
        <f t="shared" si="46"/>
        <v>497.5</v>
      </c>
    </row>
    <row r="204" spans="1:13" ht="12.75" customHeight="1" x14ac:dyDescent="0.2">
      <c r="A204" s="191">
        <f t="shared" si="36"/>
        <v>535</v>
      </c>
      <c r="B204" s="186">
        <f t="shared" si="37"/>
        <v>2</v>
      </c>
      <c r="C204" s="187">
        <f t="shared" si="38"/>
        <v>0</v>
      </c>
      <c r="D204" s="186">
        <f t="shared" si="39"/>
        <v>0</v>
      </c>
      <c r="E204" s="187">
        <f t="shared" si="40"/>
        <v>7</v>
      </c>
      <c r="F204" s="186">
        <f t="shared" si="41"/>
        <v>0</v>
      </c>
      <c r="G204" s="187">
        <f t="shared" si="42"/>
        <v>1</v>
      </c>
      <c r="H204" s="186">
        <f t="shared" si="43"/>
        <v>0</v>
      </c>
      <c r="I204" s="187">
        <f t="shared" si="44"/>
        <v>0</v>
      </c>
      <c r="J204" s="186">
        <f t="shared" si="45"/>
        <v>0</v>
      </c>
      <c r="K204" s="187"/>
      <c r="L204" s="189">
        <f t="shared" si="35"/>
        <v>200</v>
      </c>
      <c r="M204" s="189">
        <f t="shared" si="46"/>
        <v>500</v>
      </c>
    </row>
    <row r="205" spans="1:13" ht="12.75" customHeight="1" x14ac:dyDescent="0.2">
      <c r="A205" s="191">
        <f t="shared" si="36"/>
        <v>537.5</v>
      </c>
      <c r="B205" s="186">
        <f t="shared" si="37"/>
        <v>2</v>
      </c>
      <c r="C205" s="187">
        <f t="shared" si="38"/>
        <v>0</v>
      </c>
      <c r="D205" s="186">
        <f t="shared" si="39"/>
        <v>0</v>
      </c>
      <c r="E205" s="187">
        <f t="shared" si="40"/>
        <v>7</v>
      </c>
      <c r="F205" s="186">
        <f t="shared" si="41"/>
        <v>0</v>
      </c>
      <c r="G205" s="187">
        <f t="shared" si="42"/>
        <v>1</v>
      </c>
      <c r="H205" s="186">
        <f t="shared" si="43"/>
        <v>0</v>
      </c>
      <c r="I205" s="187">
        <f t="shared" si="44"/>
        <v>0</v>
      </c>
      <c r="J205" s="186">
        <f t="shared" si="45"/>
        <v>1</v>
      </c>
      <c r="K205" s="187"/>
      <c r="L205" s="189">
        <f t="shared" ref="L205:L260" si="47">L204+1</f>
        <v>201</v>
      </c>
      <c r="M205" s="189">
        <f t="shared" si="46"/>
        <v>502.5</v>
      </c>
    </row>
    <row r="206" spans="1:13" ht="12.75" customHeight="1" x14ac:dyDescent="0.2">
      <c r="A206" s="191">
        <f t="shared" si="36"/>
        <v>540</v>
      </c>
      <c r="B206" s="186">
        <f t="shared" si="37"/>
        <v>2</v>
      </c>
      <c r="C206" s="187">
        <f t="shared" si="38"/>
        <v>0</v>
      </c>
      <c r="D206" s="186">
        <f t="shared" si="39"/>
        <v>0</v>
      </c>
      <c r="E206" s="187">
        <f t="shared" si="40"/>
        <v>7</v>
      </c>
      <c r="F206" s="186">
        <f t="shared" si="41"/>
        <v>0</v>
      </c>
      <c r="G206" s="187">
        <f t="shared" si="42"/>
        <v>1</v>
      </c>
      <c r="H206" s="186">
        <f t="shared" si="43"/>
        <v>0</v>
      </c>
      <c r="I206" s="187">
        <f t="shared" si="44"/>
        <v>1</v>
      </c>
      <c r="J206" s="186">
        <f t="shared" si="45"/>
        <v>0</v>
      </c>
      <c r="K206" s="187"/>
      <c r="L206" s="189">
        <f t="shared" si="47"/>
        <v>202</v>
      </c>
      <c r="M206" s="189">
        <f t="shared" si="46"/>
        <v>505</v>
      </c>
    </row>
    <row r="207" spans="1:13" ht="12.75" customHeight="1" x14ac:dyDescent="0.2">
      <c r="A207" s="191">
        <f t="shared" si="36"/>
        <v>542.5</v>
      </c>
      <c r="B207" s="186">
        <f t="shared" si="37"/>
        <v>2</v>
      </c>
      <c r="C207" s="187">
        <f t="shared" si="38"/>
        <v>0</v>
      </c>
      <c r="D207" s="186">
        <f t="shared" si="39"/>
        <v>0</v>
      </c>
      <c r="E207" s="187">
        <f t="shared" si="40"/>
        <v>7</v>
      </c>
      <c r="F207" s="186">
        <f t="shared" si="41"/>
        <v>0</v>
      </c>
      <c r="G207" s="187">
        <f t="shared" si="42"/>
        <v>1</v>
      </c>
      <c r="H207" s="186">
        <f t="shared" si="43"/>
        <v>0</v>
      </c>
      <c r="I207" s="187">
        <f t="shared" si="44"/>
        <v>1</v>
      </c>
      <c r="J207" s="186">
        <f t="shared" si="45"/>
        <v>1</v>
      </c>
      <c r="K207" s="187"/>
      <c r="L207" s="189">
        <f t="shared" si="47"/>
        <v>203</v>
      </c>
      <c r="M207" s="189">
        <f t="shared" si="46"/>
        <v>507.5</v>
      </c>
    </row>
    <row r="208" spans="1:13" ht="12.75" customHeight="1" x14ac:dyDescent="0.2">
      <c r="A208" s="191">
        <f t="shared" si="36"/>
        <v>545</v>
      </c>
      <c r="B208" s="186">
        <f t="shared" si="37"/>
        <v>2</v>
      </c>
      <c r="C208" s="187">
        <f t="shared" si="38"/>
        <v>0</v>
      </c>
      <c r="D208" s="186">
        <f t="shared" si="39"/>
        <v>0</v>
      </c>
      <c r="E208" s="187">
        <f t="shared" si="40"/>
        <v>7</v>
      </c>
      <c r="F208" s="186">
        <f t="shared" si="41"/>
        <v>1</v>
      </c>
      <c r="G208" s="187">
        <f t="shared" si="42"/>
        <v>0</v>
      </c>
      <c r="H208" s="186">
        <f t="shared" si="43"/>
        <v>0</v>
      </c>
      <c r="I208" s="187">
        <f t="shared" si="44"/>
        <v>0</v>
      </c>
      <c r="J208" s="186">
        <f t="shared" si="45"/>
        <v>0</v>
      </c>
      <c r="K208" s="187"/>
      <c r="L208" s="189">
        <f t="shared" si="47"/>
        <v>204</v>
      </c>
      <c r="M208" s="189">
        <f t="shared" si="46"/>
        <v>510</v>
      </c>
    </row>
    <row r="209" spans="1:13" ht="12.75" customHeight="1" x14ac:dyDescent="0.2">
      <c r="A209" s="191">
        <f t="shared" si="36"/>
        <v>547.5</v>
      </c>
      <c r="B209" s="186">
        <f t="shared" si="37"/>
        <v>2</v>
      </c>
      <c r="C209" s="187">
        <f t="shared" si="38"/>
        <v>0</v>
      </c>
      <c r="D209" s="186">
        <f t="shared" si="39"/>
        <v>0</v>
      </c>
      <c r="E209" s="187">
        <f t="shared" si="40"/>
        <v>7</v>
      </c>
      <c r="F209" s="186">
        <f t="shared" si="41"/>
        <v>1</v>
      </c>
      <c r="G209" s="187">
        <f t="shared" si="42"/>
        <v>0</v>
      </c>
      <c r="H209" s="186">
        <f t="shared" si="43"/>
        <v>0</v>
      </c>
      <c r="I209" s="187">
        <f t="shared" si="44"/>
        <v>0</v>
      </c>
      <c r="J209" s="186">
        <f t="shared" si="45"/>
        <v>1</v>
      </c>
      <c r="K209" s="187"/>
      <c r="L209" s="189">
        <f t="shared" si="47"/>
        <v>205</v>
      </c>
      <c r="M209" s="189">
        <f t="shared" si="46"/>
        <v>512.5</v>
      </c>
    </row>
    <row r="210" spans="1:13" ht="12.75" customHeight="1" x14ac:dyDescent="0.2">
      <c r="A210" s="191">
        <f t="shared" si="36"/>
        <v>550</v>
      </c>
      <c r="B210" s="186">
        <f t="shared" si="37"/>
        <v>2</v>
      </c>
      <c r="C210" s="187">
        <f t="shared" si="38"/>
        <v>0</v>
      </c>
      <c r="D210" s="186">
        <f t="shared" si="39"/>
        <v>0</v>
      </c>
      <c r="E210" s="187">
        <f t="shared" si="40"/>
        <v>7</v>
      </c>
      <c r="F210" s="186">
        <f t="shared" si="41"/>
        <v>1</v>
      </c>
      <c r="G210" s="187">
        <f t="shared" si="42"/>
        <v>0</v>
      </c>
      <c r="H210" s="186">
        <f t="shared" si="43"/>
        <v>0</v>
      </c>
      <c r="I210" s="187">
        <f t="shared" si="44"/>
        <v>1</v>
      </c>
      <c r="J210" s="186">
        <f t="shared" si="45"/>
        <v>0</v>
      </c>
      <c r="K210" s="187"/>
      <c r="L210" s="189">
        <f t="shared" si="47"/>
        <v>206</v>
      </c>
      <c r="M210" s="189">
        <f t="shared" si="46"/>
        <v>515</v>
      </c>
    </row>
    <row r="211" spans="1:13" ht="12.75" customHeight="1" x14ac:dyDescent="0.2">
      <c r="A211" s="191">
        <f t="shared" si="36"/>
        <v>552.5</v>
      </c>
      <c r="B211" s="186">
        <f t="shared" si="37"/>
        <v>2</v>
      </c>
      <c r="C211" s="187">
        <f t="shared" si="38"/>
        <v>0</v>
      </c>
      <c r="D211" s="186">
        <f t="shared" si="39"/>
        <v>0</v>
      </c>
      <c r="E211" s="187">
        <f t="shared" si="40"/>
        <v>7</v>
      </c>
      <c r="F211" s="186">
        <f t="shared" si="41"/>
        <v>1</v>
      </c>
      <c r="G211" s="187">
        <f t="shared" si="42"/>
        <v>0</v>
      </c>
      <c r="H211" s="186">
        <f t="shared" si="43"/>
        <v>0</v>
      </c>
      <c r="I211" s="187">
        <f t="shared" si="44"/>
        <v>1</v>
      </c>
      <c r="J211" s="186">
        <f t="shared" si="45"/>
        <v>1</v>
      </c>
      <c r="K211" s="187"/>
      <c r="L211" s="189">
        <f t="shared" si="47"/>
        <v>207</v>
      </c>
      <c r="M211" s="189">
        <f t="shared" si="46"/>
        <v>517.5</v>
      </c>
    </row>
    <row r="212" spans="1:13" ht="12.75" customHeight="1" x14ac:dyDescent="0.2">
      <c r="A212" s="191">
        <f t="shared" si="36"/>
        <v>555</v>
      </c>
      <c r="B212" s="186">
        <f t="shared" si="37"/>
        <v>2</v>
      </c>
      <c r="C212" s="187">
        <f t="shared" si="38"/>
        <v>0</v>
      </c>
      <c r="D212" s="186">
        <f t="shared" si="39"/>
        <v>0</v>
      </c>
      <c r="E212" s="187">
        <f t="shared" si="40"/>
        <v>8</v>
      </c>
      <c r="F212" s="186">
        <f t="shared" si="41"/>
        <v>0</v>
      </c>
      <c r="G212" s="187">
        <f t="shared" si="42"/>
        <v>0</v>
      </c>
      <c r="H212" s="186">
        <f t="shared" si="43"/>
        <v>0</v>
      </c>
      <c r="I212" s="187">
        <f t="shared" si="44"/>
        <v>0</v>
      </c>
      <c r="J212" s="186">
        <f t="shared" si="45"/>
        <v>0</v>
      </c>
      <c r="K212" s="187"/>
      <c r="L212" s="189">
        <f t="shared" si="47"/>
        <v>208</v>
      </c>
      <c r="M212" s="189">
        <f t="shared" si="46"/>
        <v>520</v>
      </c>
    </row>
    <row r="213" spans="1:13" ht="12.75" customHeight="1" x14ac:dyDescent="0.2">
      <c r="A213" s="191">
        <f t="shared" si="36"/>
        <v>557.5</v>
      </c>
      <c r="B213" s="186">
        <f t="shared" si="37"/>
        <v>2</v>
      </c>
      <c r="C213" s="187">
        <f t="shared" si="38"/>
        <v>0</v>
      </c>
      <c r="D213" s="186">
        <f t="shared" si="39"/>
        <v>0</v>
      </c>
      <c r="E213" s="187">
        <f t="shared" si="40"/>
        <v>8</v>
      </c>
      <c r="F213" s="186">
        <f t="shared" si="41"/>
        <v>0</v>
      </c>
      <c r="G213" s="187">
        <f t="shared" si="42"/>
        <v>0</v>
      </c>
      <c r="H213" s="186">
        <f t="shared" si="43"/>
        <v>0</v>
      </c>
      <c r="I213" s="187">
        <f t="shared" si="44"/>
        <v>0</v>
      </c>
      <c r="J213" s="186">
        <f t="shared" si="45"/>
        <v>1</v>
      </c>
      <c r="K213" s="187"/>
      <c r="L213" s="189">
        <f t="shared" si="47"/>
        <v>209</v>
      </c>
      <c r="M213" s="189">
        <f t="shared" si="46"/>
        <v>522.5</v>
      </c>
    </row>
    <row r="214" spans="1:13" ht="12.75" customHeight="1" x14ac:dyDescent="0.2">
      <c r="A214" s="191">
        <f t="shared" si="36"/>
        <v>560</v>
      </c>
      <c r="B214" s="186">
        <f t="shared" si="37"/>
        <v>2</v>
      </c>
      <c r="C214" s="187">
        <f t="shared" si="38"/>
        <v>0</v>
      </c>
      <c r="D214" s="186">
        <f t="shared" si="39"/>
        <v>0</v>
      </c>
      <c r="E214" s="187">
        <f t="shared" si="40"/>
        <v>8</v>
      </c>
      <c r="F214" s="186">
        <f t="shared" si="41"/>
        <v>0</v>
      </c>
      <c r="G214" s="187">
        <f t="shared" si="42"/>
        <v>0</v>
      </c>
      <c r="H214" s="186">
        <f t="shared" si="43"/>
        <v>0</v>
      </c>
      <c r="I214" s="187">
        <f t="shared" si="44"/>
        <v>1</v>
      </c>
      <c r="J214" s="186">
        <f t="shared" si="45"/>
        <v>0</v>
      </c>
      <c r="K214" s="187"/>
      <c r="L214" s="189">
        <f t="shared" si="47"/>
        <v>210</v>
      </c>
      <c r="M214" s="189">
        <f t="shared" si="46"/>
        <v>525</v>
      </c>
    </row>
    <row r="215" spans="1:13" ht="12.75" customHeight="1" x14ac:dyDescent="0.2">
      <c r="A215" s="191">
        <f t="shared" si="36"/>
        <v>562.5</v>
      </c>
      <c r="B215" s="186">
        <f t="shared" si="37"/>
        <v>2</v>
      </c>
      <c r="C215" s="187">
        <f t="shared" si="38"/>
        <v>0</v>
      </c>
      <c r="D215" s="186">
        <f t="shared" si="39"/>
        <v>0</v>
      </c>
      <c r="E215" s="187">
        <f t="shared" si="40"/>
        <v>8</v>
      </c>
      <c r="F215" s="186">
        <f t="shared" si="41"/>
        <v>0</v>
      </c>
      <c r="G215" s="187">
        <f t="shared" si="42"/>
        <v>0</v>
      </c>
      <c r="H215" s="186">
        <f t="shared" si="43"/>
        <v>0</v>
      </c>
      <c r="I215" s="187">
        <f t="shared" si="44"/>
        <v>1</v>
      </c>
      <c r="J215" s="186">
        <f t="shared" si="45"/>
        <v>1</v>
      </c>
      <c r="K215" s="187"/>
      <c r="L215" s="189">
        <f t="shared" si="47"/>
        <v>211</v>
      </c>
      <c r="M215" s="189">
        <f t="shared" si="46"/>
        <v>527.5</v>
      </c>
    </row>
    <row r="216" spans="1:13" ht="12.75" customHeight="1" x14ac:dyDescent="0.2">
      <c r="A216" s="191">
        <f t="shared" si="36"/>
        <v>565</v>
      </c>
      <c r="B216" s="186">
        <f t="shared" si="37"/>
        <v>2</v>
      </c>
      <c r="C216" s="187">
        <f t="shared" si="38"/>
        <v>0</v>
      </c>
      <c r="D216" s="186">
        <f t="shared" si="39"/>
        <v>0</v>
      </c>
      <c r="E216" s="187">
        <f t="shared" si="40"/>
        <v>8</v>
      </c>
      <c r="F216" s="186">
        <f t="shared" si="41"/>
        <v>0</v>
      </c>
      <c r="G216" s="187">
        <f t="shared" si="42"/>
        <v>0</v>
      </c>
      <c r="H216" s="186">
        <f t="shared" si="43"/>
        <v>1</v>
      </c>
      <c r="I216" s="187">
        <f t="shared" si="44"/>
        <v>0</v>
      </c>
      <c r="J216" s="186">
        <f t="shared" si="45"/>
        <v>0</v>
      </c>
      <c r="K216" s="187"/>
      <c r="L216" s="189">
        <f t="shared" si="47"/>
        <v>212</v>
      </c>
      <c r="M216" s="189">
        <f t="shared" si="46"/>
        <v>530</v>
      </c>
    </row>
    <row r="217" spans="1:13" ht="12.75" customHeight="1" x14ac:dyDescent="0.2">
      <c r="A217" s="191">
        <f t="shared" si="36"/>
        <v>567.5</v>
      </c>
      <c r="B217" s="186">
        <f t="shared" si="37"/>
        <v>2</v>
      </c>
      <c r="C217" s="187">
        <f t="shared" si="38"/>
        <v>0</v>
      </c>
      <c r="D217" s="186">
        <f t="shared" si="39"/>
        <v>0</v>
      </c>
      <c r="E217" s="187">
        <f t="shared" si="40"/>
        <v>8</v>
      </c>
      <c r="F217" s="186">
        <f t="shared" si="41"/>
        <v>0</v>
      </c>
      <c r="G217" s="187">
        <f t="shared" si="42"/>
        <v>0</v>
      </c>
      <c r="H217" s="186">
        <f t="shared" si="43"/>
        <v>1</v>
      </c>
      <c r="I217" s="187">
        <f t="shared" si="44"/>
        <v>0</v>
      </c>
      <c r="J217" s="186">
        <f t="shared" si="45"/>
        <v>1</v>
      </c>
      <c r="K217" s="187"/>
      <c r="L217" s="189">
        <f t="shared" si="47"/>
        <v>213</v>
      </c>
      <c r="M217" s="189">
        <f t="shared" si="46"/>
        <v>532.5</v>
      </c>
    </row>
    <row r="218" spans="1:13" ht="12.75" customHeight="1" x14ac:dyDescent="0.2">
      <c r="A218" s="191">
        <f t="shared" si="36"/>
        <v>570</v>
      </c>
      <c r="B218" s="186">
        <f t="shared" si="37"/>
        <v>2</v>
      </c>
      <c r="C218" s="187">
        <f t="shared" si="38"/>
        <v>0</v>
      </c>
      <c r="D218" s="186">
        <f t="shared" si="39"/>
        <v>0</v>
      </c>
      <c r="E218" s="187">
        <f t="shared" si="40"/>
        <v>8</v>
      </c>
      <c r="F218" s="186">
        <f t="shared" si="41"/>
        <v>0</v>
      </c>
      <c r="G218" s="187">
        <f t="shared" si="42"/>
        <v>0</v>
      </c>
      <c r="H218" s="186">
        <f t="shared" si="43"/>
        <v>1</v>
      </c>
      <c r="I218" s="187">
        <f t="shared" si="44"/>
        <v>1</v>
      </c>
      <c r="J218" s="186">
        <f t="shared" si="45"/>
        <v>0</v>
      </c>
      <c r="K218" s="187"/>
      <c r="L218" s="189">
        <f t="shared" si="47"/>
        <v>214</v>
      </c>
      <c r="M218" s="189">
        <f t="shared" si="46"/>
        <v>535</v>
      </c>
    </row>
    <row r="219" spans="1:13" ht="12.75" customHeight="1" x14ac:dyDescent="0.2">
      <c r="A219" s="191">
        <f t="shared" si="36"/>
        <v>572.5</v>
      </c>
      <c r="B219" s="186">
        <f t="shared" si="37"/>
        <v>2</v>
      </c>
      <c r="C219" s="187">
        <f t="shared" si="38"/>
        <v>0</v>
      </c>
      <c r="D219" s="186">
        <f t="shared" si="39"/>
        <v>0</v>
      </c>
      <c r="E219" s="187">
        <f t="shared" si="40"/>
        <v>8</v>
      </c>
      <c r="F219" s="186">
        <f t="shared" si="41"/>
        <v>0</v>
      </c>
      <c r="G219" s="187">
        <f t="shared" si="42"/>
        <v>0</v>
      </c>
      <c r="H219" s="186">
        <f t="shared" si="43"/>
        <v>1</v>
      </c>
      <c r="I219" s="187">
        <f t="shared" si="44"/>
        <v>1</v>
      </c>
      <c r="J219" s="186">
        <f t="shared" si="45"/>
        <v>1</v>
      </c>
      <c r="K219" s="187"/>
      <c r="L219" s="189">
        <f t="shared" si="47"/>
        <v>215</v>
      </c>
      <c r="M219" s="189">
        <f t="shared" si="46"/>
        <v>537.5</v>
      </c>
    </row>
    <row r="220" spans="1:13" ht="12.75" customHeight="1" x14ac:dyDescent="0.2">
      <c r="A220" s="191">
        <f t="shared" si="36"/>
        <v>575</v>
      </c>
      <c r="B220" s="186">
        <f t="shared" si="37"/>
        <v>2</v>
      </c>
      <c r="C220" s="187">
        <f t="shared" si="38"/>
        <v>0</v>
      </c>
      <c r="D220" s="186">
        <f t="shared" si="39"/>
        <v>0</v>
      </c>
      <c r="E220" s="187">
        <f t="shared" si="40"/>
        <v>8</v>
      </c>
      <c r="F220" s="186">
        <f t="shared" si="41"/>
        <v>0</v>
      </c>
      <c r="G220" s="187">
        <f t="shared" si="42"/>
        <v>1</v>
      </c>
      <c r="H220" s="186">
        <f t="shared" si="43"/>
        <v>0</v>
      </c>
      <c r="I220" s="187">
        <f t="shared" si="44"/>
        <v>0</v>
      </c>
      <c r="J220" s="186">
        <f t="shared" si="45"/>
        <v>0</v>
      </c>
      <c r="K220" s="187"/>
      <c r="L220" s="189">
        <f t="shared" si="47"/>
        <v>216</v>
      </c>
      <c r="M220" s="189">
        <f t="shared" si="46"/>
        <v>540</v>
      </c>
    </row>
    <row r="221" spans="1:13" ht="12.75" customHeight="1" x14ac:dyDescent="0.2">
      <c r="A221" s="191">
        <f t="shared" si="36"/>
        <v>577.5</v>
      </c>
      <c r="B221" s="186">
        <f t="shared" si="37"/>
        <v>2</v>
      </c>
      <c r="C221" s="187">
        <f t="shared" si="38"/>
        <v>0</v>
      </c>
      <c r="D221" s="186">
        <f t="shared" si="39"/>
        <v>0</v>
      </c>
      <c r="E221" s="187">
        <f t="shared" si="40"/>
        <v>8</v>
      </c>
      <c r="F221" s="186">
        <f t="shared" si="41"/>
        <v>0</v>
      </c>
      <c r="G221" s="187">
        <f t="shared" si="42"/>
        <v>1</v>
      </c>
      <c r="H221" s="186">
        <f t="shared" si="43"/>
        <v>0</v>
      </c>
      <c r="I221" s="187">
        <f t="shared" si="44"/>
        <v>0</v>
      </c>
      <c r="J221" s="186">
        <f t="shared" si="45"/>
        <v>1</v>
      </c>
      <c r="K221" s="187"/>
      <c r="L221" s="189">
        <f t="shared" si="47"/>
        <v>217</v>
      </c>
      <c r="M221" s="189">
        <f t="shared" si="46"/>
        <v>542.5</v>
      </c>
    </row>
    <row r="222" spans="1:13" ht="12.75" customHeight="1" x14ac:dyDescent="0.2">
      <c r="A222" s="191">
        <f t="shared" si="36"/>
        <v>580</v>
      </c>
      <c r="B222" s="186">
        <f t="shared" si="37"/>
        <v>2</v>
      </c>
      <c r="C222" s="187">
        <f t="shared" si="38"/>
        <v>0</v>
      </c>
      <c r="D222" s="186">
        <f t="shared" si="39"/>
        <v>0</v>
      </c>
      <c r="E222" s="187">
        <f t="shared" si="40"/>
        <v>8</v>
      </c>
      <c r="F222" s="186">
        <f t="shared" si="41"/>
        <v>0</v>
      </c>
      <c r="G222" s="187">
        <f t="shared" si="42"/>
        <v>1</v>
      </c>
      <c r="H222" s="186">
        <f t="shared" si="43"/>
        <v>0</v>
      </c>
      <c r="I222" s="187">
        <f t="shared" si="44"/>
        <v>1</v>
      </c>
      <c r="J222" s="186">
        <f t="shared" si="45"/>
        <v>0</v>
      </c>
      <c r="K222" s="187"/>
      <c r="L222" s="189">
        <f t="shared" si="47"/>
        <v>218</v>
      </c>
      <c r="M222" s="189">
        <f t="shared" si="46"/>
        <v>545</v>
      </c>
    </row>
    <row r="223" spans="1:13" ht="12.75" customHeight="1" x14ac:dyDescent="0.2">
      <c r="A223" s="191">
        <f t="shared" si="36"/>
        <v>582.5</v>
      </c>
      <c r="B223" s="186">
        <f t="shared" si="37"/>
        <v>2</v>
      </c>
      <c r="C223" s="187">
        <f t="shared" si="38"/>
        <v>0</v>
      </c>
      <c r="D223" s="186">
        <f t="shared" si="39"/>
        <v>0</v>
      </c>
      <c r="E223" s="187">
        <f t="shared" si="40"/>
        <v>8</v>
      </c>
      <c r="F223" s="186">
        <f t="shared" si="41"/>
        <v>0</v>
      </c>
      <c r="G223" s="187">
        <f t="shared" si="42"/>
        <v>1</v>
      </c>
      <c r="H223" s="186">
        <f t="shared" si="43"/>
        <v>0</v>
      </c>
      <c r="I223" s="187">
        <f t="shared" si="44"/>
        <v>1</v>
      </c>
      <c r="J223" s="186">
        <f t="shared" si="45"/>
        <v>1</v>
      </c>
      <c r="K223" s="187"/>
      <c r="L223" s="189">
        <f t="shared" si="47"/>
        <v>219</v>
      </c>
      <c r="M223" s="189">
        <f t="shared" si="46"/>
        <v>547.5</v>
      </c>
    </row>
    <row r="224" spans="1:13" ht="12.75" customHeight="1" x14ac:dyDescent="0.2">
      <c r="A224" s="191">
        <f t="shared" si="36"/>
        <v>585</v>
      </c>
      <c r="B224" s="186">
        <f t="shared" si="37"/>
        <v>2</v>
      </c>
      <c r="C224" s="187">
        <f t="shared" si="38"/>
        <v>0</v>
      </c>
      <c r="D224" s="186">
        <f t="shared" si="39"/>
        <v>0</v>
      </c>
      <c r="E224" s="187">
        <f t="shared" si="40"/>
        <v>8</v>
      </c>
      <c r="F224" s="186">
        <f t="shared" si="41"/>
        <v>1</v>
      </c>
      <c r="G224" s="187">
        <f t="shared" si="42"/>
        <v>0</v>
      </c>
      <c r="H224" s="186">
        <f t="shared" si="43"/>
        <v>0</v>
      </c>
      <c r="I224" s="187">
        <f t="shared" si="44"/>
        <v>0</v>
      </c>
      <c r="J224" s="186">
        <f t="shared" si="45"/>
        <v>0</v>
      </c>
      <c r="K224" s="187"/>
      <c r="L224" s="189">
        <f t="shared" si="47"/>
        <v>220</v>
      </c>
      <c r="M224" s="189">
        <f t="shared" si="46"/>
        <v>550</v>
      </c>
    </row>
    <row r="225" spans="1:13" ht="12.75" customHeight="1" x14ac:dyDescent="0.2">
      <c r="A225" s="191">
        <f t="shared" si="36"/>
        <v>587.5</v>
      </c>
      <c r="B225" s="186">
        <f t="shared" si="37"/>
        <v>2</v>
      </c>
      <c r="C225" s="187">
        <f t="shared" si="38"/>
        <v>0</v>
      </c>
      <c r="D225" s="186">
        <f t="shared" si="39"/>
        <v>0</v>
      </c>
      <c r="E225" s="187">
        <f t="shared" si="40"/>
        <v>8</v>
      </c>
      <c r="F225" s="186">
        <f t="shared" si="41"/>
        <v>1</v>
      </c>
      <c r="G225" s="187">
        <f t="shared" si="42"/>
        <v>0</v>
      </c>
      <c r="H225" s="186">
        <f t="shared" si="43"/>
        <v>0</v>
      </c>
      <c r="I225" s="187">
        <f t="shared" si="44"/>
        <v>0</v>
      </c>
      <c r="J225" s="186">
        <f t="shared" si="45"/>
        <v>1</v>
      </c>
      <c r="K225" s="187"/>
      <c r="L225" s="189">
        <f t="shared" si="47"/>
        <v>221</v>
      </c>
      <c r="M225" s="189">
        <f t="shared" si="46"/>
        <v>552.5</v>
      </c>
    </row>
    <row r="226" spans="1:13" ht="12.75" customHeight="1" x14ac:dyDescent="0.2">
      <c r="A226" s="191">
        <f t="shared" si="36"/>
        <v>590</v>
      </c>
      <c r="B226" s="186">
        <f t="shared" si="37"/>
        <v>2</v>
      </c>
      <c r="C226" s="187">
        <f t="shared" si="38"/>
        <v>0</v>
      </c>
      <c r="D226" s="186">
        <f t="shared" si="39"/>
        <v>0</v>
      </c>
      <c r="E226" s="187">
        <f t="shared" si="40"/>
        <v>8</v>
      </c>
      <c r="F226" s="186">
        <f t="shared" si="41"/>
        <v>1</v>
      </c>
      <c r="G226" s="187">
        <f t="shared" si="42"/>
        <v>0</v>
      </c>
      <c r="H226" s="186">
        <f t="shared" si="43"/>
        <v>0</v>
      </c>
      <c r="I226" s="187">
        <f t="shared" si="44"/>
        <v>1</v>
      </c>
      <c r="J226" s="186">
        <f t="shared" si="45"/>
        <v>0</v>
      </c>
      <c r="K226" s="187"/>
      <c r="L226" s="189">
        <f t="shared" si="47"/>
        <v>222</v>
      </c>
      <c r="M226" s="189">
        <f t="shared" si="46"/>
        <v>555</v>
      </c>
    </row>
    <row r="227" spans="1:13" ht="12.75" customHeight="1" x14ac:dyDescent="0.2">
      <c r="A227" s="191">
        <f t="shared" si="36"/>
        <v>592.5</v>
      </c>
      <c r="B227" s="186">
        <f t="shared" si="37"/>
        <v>2</v>
      </c>
      <c r="C227" s="187">
        <f t="shared" si="38"/>
        <v>0</v>
      </c>
      <c r="D227" s="186">
        <f t="shared" si="39"/>
        <v>0</v>
      </c>
      <c r="E227" s="187">
        <f t="shared" si="40"/>
        <v>8</v>
      </c>
      <c r="F227" s="186">
        <f t="shared" si="41"/>
        <v>1</v>
      </c>
      <c r="G227" s="187">
        <f t="shared" si="42"/>
        <v>0</v>
      </c>
      <c r="H227" s="186">
        <f t="shared" si="43"/>
        <v>0</v>
      </c>
      <c r="I227" s="187">
        <f t="shared" si="44"/>
        <v>1</v>
      </c>
      <c r="J227" s="186">
        <f t="shared" si="45"/>
        <v>1</v>
      </c>
      <c r="K227" s="187"/>
      <c r="L227" s="189">
        <f t="shared" si="47"/>
        <v>223</v>
      </c>
      <c r="M227" s="189">
        <f t="shared" si="46"/>
        <v>557.5</v>
      </c>
    </row>
    <row r="228" spans="1:13" ht="12.75" customHeight="1" x14ac:dyDescent="0.2">
      <c r="A228" s="191">
        <f t="shared" si="36"/>
        <v>595</v>
      </c>
      <c r="B228" s="186">
        <f t="shared" si="37"/>
        <v>2</v>
      </c>
      <c r="C228" s="187">
        <f t="shared" si="38"/>
        <v>0</v>
      </c>
      <c r="D228" s="186">
        <f t="shared" si="39"/>
        <v>0</v>
      </c>
      <c r="E228" s="187">
        <f t="shared" si="40"/>
        <v>8</v>
      </c>
      <c r="F228" s="186">
        <f t="shared" si="41"/>
        <v>1</v>
      </c>
      <c r="G228" s="187">
        <f t="shared" si="42"/>
        <v>0</v>
      </c>
      <c r="H228" s="186">
        <f t="shared" si="43"/>
        <v>1</v>
      </c>
      <c r="I228" s="187">
        <f t="shared" si="44"/>
        <v>0</v>
      </c>
      <c r="J228" s="186">
        <f t="shared" si="45"/>
        <v>0</v>
      </c>
      <c r="K228" s="187"/>
      <c r="L228" s="189">
        <f t="shared" si="47"/>
        <v>224</v>
      </c>
      <c r="M228" s="189">
        <f t="shared" si="46"/>
        <v>560</v>
      </c>
    </row>
    <row r="229" spans="1:13" ht="12.75" customHeight="1" x14ac:dyDescent="0.2">
      <c r="A229" s="191">
        <f t="shared" si="36"/>
        <v>597.5</v>
      </c>
      <c r="B229" s="186">
        <f t="shared" si="37"/>
        <v>2</v>
      </c>
      <c r="C229" s="187">
        <f t="shared" si="38"/>
        <v>0</v>
      </c>
      <c r="D229" s="186">
        <f t="shared" si="39"/>
        <v>0</v>
      </c>
      <c r="E229" s="187">
        <f t="shared" si="40"/>
        <v>8</v>
      </c>
      <c r="F229" s="186">
        <f t="shared" si="41"/>
        <v>1</v>
      </c>
      <c r="G229" s="187">
        <f t="shared" si="42"/>
        <v>0</v>
      </c>
      <c r="H229" s="186">
        <f t="shared" si="43"/>
        <v>1</v>
      </c>
      <c r="I229" s="187">
        <f t="shared" si="44"/>
        <v>0</v>
      </c>
      <c r="J229" s="186">
        <f t="shared" si="45"/>
        <v>1</v>
      </c>
      <c r="K229" s="187"/>
      <c r="L229" s="189">
        <f t="shared" si="47"/>
        <v>225</v>
      </c>
      <c r="M229" s="189">
        <f t="shared" si="46"/>
        <v>562.5</v>
      </c>
    </row>
    <row r="230" spans="1:13" ht="12.75" customHeight="1" x14ac:dyDescent="0.2">
      <c r="A230" s="191">
        <f t="shared" si="36"/>
        <v>600</v>
      </c>
      <c r="B230" s="186">
        <f t="shared" si="37"/>
        <v>2</v>
      </c>
      <c r="C230" s="187">
        <f t="shared" si="38"/>
        <v>0</v>
      </c>
      <c r="D230" s="186">
        <f t="shared" si="39"/>
        <v>0</v>
      </c>
      <c r="E230" s="187">
        <f t="shared" si="40"/>
        <v>8</v>
      </c>
      <c r="F230" s="186">
        <f t="shared" si="41"/>
        <v>1</v>
      </c>
      <c r="G230" s="187">
        <f t="shared" si="42"/>
        <v>0</v>
      </c>
      <c r="H230" s="186">
        <f t="shared" si="43"/>
        <v>1</v>
      </c>
      <c r="I230" s="187">
        <f t="shared" si="44"/>
        <v>1</v>
      </c>
      <c r="J230" s="186">
        <f t="shared" si="45"/>
        <v>0</v>
      </c>
      <c r="K230" s="187"/>
      <c r="L230" s="189">
        <f t="shared" si="47"/>
        <v>226</v>
      </c>
      <c r="M230" s="189">
        <f t="shared" si="46"/>
        <v>565</v>
      </c>
    </row>
    <row r="231" spans="1:13" ht="12.75" customHeight="1" x14ac:dyDescent="0.2">
      <c r="A231" s="191">
        <f t="shared" si="36"/>
        <v>602.5</v>
      </c>
      <c r="B231" s="186">
        <f t="shared" si="37"/>
        <v>2</v>
      </c>
      <c r="C231" s="187">
        <f t="shared" si="38"/>
        <v>0</v>
      </c>
      <c r="D231" s="186">
        <f t="shared" si="39"/>
        <v>0</v>
      </c>
      <c r="E231" s="187">
        <f t="shared" si="40"/>
        <v>8</v>
      </c>
      <c r="F231" s="186">
        <f t="shared" si="41"/>
        <v>1</v>
      </c>
      <c r="G231" s="187">
        <f t="shared" si="42"/>
        <v>0</v>
      </c>
      <c r="H231" s="186">
        <f t="shared" si="43"/>
        <v>1</v>
      </c>
      <c r="I231" s="187">
        <f t="shared" si="44"/>
        <v>1</v>
      </c>
      <c r="J231" s="186">
        <f t="shared" si="45"/>
        <v>1</v>
      </c>
      <c r="K231" s="187"/>
      <c r="L231" s="189">
        <f t="shared" si="47"/>
        <v>227</v>
      </c>
      <c r="M231" s="189">
        <f t="shared" si="46"/>
        <v>567.5</v>
      </c>
    </row>
    <row r="232" spans="1:13" ht="12.75" customHeight="1" x14ac:dyDescent="0.2">
      <c r="A232" s="191">
        <f t="shared" si="36"/>
        <v>605</v>
      </c>
      <c r="B232" s="186">
        <f t="shared" si="37"/>
        <v>2</v>
      </c>
      <c r="C232" s="187">
        <f t="shared" si="38"/>
        <v>0</v>
      </c>
      <c r="D232" s="186">
        <f t="shared" si="39"/>
        <v>0</v>
      </c>
      <c r="E232" s="187">
        <f t="shared" si="40"/>
        <v>8</v>
      </c>
      <c r="F232" s="186">
        <f t="shared" si="41"/>
        <v>1</v>
      </c>
      <c r="G232" s="187">
        <f t="shared" si="42"/>
        <v>1</v>
      </c>
      <c r="H232" s="186">
        <f t="shared" si="43"/>
        <v>0</v>
      </c>
      <c r="I232" s="187">
        <f t="shared" si="44"/>
        <v>0</v>
      </c>
      <c r="J232" s="186">
        <f t="shared" si="45"/>
        <v>0</v>
      </c>
      <c r="K232" s="187"/>
      <c r="L232" s="189">
        <f t="shared" si="47"/>
        <v>228</v>
      </c>
      <c r="M232" s="189">
        <f t="shared" si="46"/>
        <v>570</v>
      </c>
    </row>
    <row r="233" spans="1:13" ht="12.75" customHeight="1" x14ac:dyDescent="0.2">
      <c r="A233" s="191">
        <f t="shared" si="36"/>
        <v>607.5</v>
      </c>
      <c r="B233" s="186">
        <f t="shared" si="37"/>
        <v>2</v>
      </c>
      <c r="C233" s="187">
        <f t="shared" si="38"/>
        <v>0</v>
      </c>
      <c r="D233" s="186">
        <f t="shared" si="39"/>
        <v>0</v>
      </c>
      <c r="E233" s="187">
        <f t="shared" si="40"/>
        <v>8</v>
      </c>
      <c r="F233" s="186">
        <f t="shared" si="41"/>
        <v>1</v>
      </c>
      <c r="G233" s="187">
        <f t="shared" si="42"/>
        <v>1</v>
      </c>
      <c r="H233" s="186">
        <f t="shared" si="43"/>
        <v>0</v>
      </c>
      <c r="I233" s="187">
        <f t="shared" si="44"/>
        <v>0</v>
      </c>
      <c r="J233" s="186">
        <f t="shared" si="45"/>
        <v>1</v>
      </c>
      <c r="K233" s="187"/>
      <c r="L233" s="189">
        <f t="shared" si="47"/>
        <v>229</v>
      </c>
      <c r="M233" s="189">
        <f t="shared" si="46"/>
        <v>572.5</v>
      </c>
    </row>
    <row r="234" spans="1:13" ht="12.75" customHeight="1" x14ac:dyDescent="0.2">
      <c r="A234" s="191">
        <f t="shared" si="36"/>
        <v>610</v>
      </c>
      <c r="B234" s="186">
        <f t="shared" si="37"/>
        <v>2</v>
      </c>
      <c r="C234" s="187">
        <f t="shared" si="38"/>
        <v>0</v>
      </c>
      <c r="D234" s="186">
        <f t="shared" si="39"/>
        <v>0</v>
      </c>
      <c r="E234" s="187">
        <f t="shared" si="40"/>
        <v>8</v>
      </c>
      <c r="F234" s="186">
        <f t="shared" si="41"/>
        <v>1</v>
      </c>
      <c r="G234" s="187">
        <f t="shared" si="42"/>
        <v>1</v>
      </c>
      <c r="H234" s="186">
        <f t="shared" si="43"/>
        <v>0</v>
      </c>
      <c r="I234" s="187">
        <f t="shared" si="44"/>
        <v>1</v>
      </c>
      <c r="J234" s="186">
        <f t="shared" si="45"/>
        <v>0</v>
      </c>
      <c r="K234" s="187"/>
      <c r="L234" s="189">
        <f t="shared" si="47"/>
        <v>230</v>
      </c>
      <c r="M234" s="189">
        <f t="shared" si="46"/>
        <v>575</v>
      </c>
    </row>
    <row r="235" spans="1:13" ht="12.75" customHeight="1" x14ac:dyDescent="0.2">
      <c r="A235" s="191">
        <f t="shared" si="36"/>
        <v>612.5</v>
      </c>
      <c r="B235" s="186">
        <f t="shared" si="37"/>
        <v>2</v>
      </c>
      <c r="C235" s="187">
        <f t="shared" si="38"/>
        <v>0</v>
      </c>
      <c r="D235" s="186">
        <f t="shared" si="39"/>
        <v>0</v>
      </c>
      <c r="E235" s="187">
        <f t="shared" si="40"/>
        <v>8</v>
      </c>
      <c r="F235" s="186">
        <f t="shared" si="41"/>
        <v>1</v>
      </c>
      <c r="G235" s="187">
        <f t="shared" si="42"/>
        <v>1</v>
      </c>
      <c r="H235" s="186">
        <f t="shared" si="43"/>
        <v>0</v>
      </c>
      <c r="I235" s="187">
        <f t="shared" si="44"/>
        <v>1</v>
      </c>
      <c r="J235" s="186">
        <f t="shared" si="45"/>
        <v>1</v>
      </c>
      <c r="K235" s="187"/>
      <c r="L235" s="189">
        <f t="shared" si="47"/>
        <v>231</v>
      </c>
      <c r="M235" s="189">
        <f t="shared" si="46"/>
        <v>577.5</v>
      </c>
    </row>
    <row r="236" spans="1:13" ht="12.75" customHeight="1" x14ac:dyDescent="0.2">
      <c r="A236" s="191">
        <f t="shared" si="36"/>
        <v>615</v>
      </c>
      <c r="B236" s="186">
        <f t="shared" si="37"/>
        <v>2</v>
      </c>
      <c r="C236" s="187">
        <f t="shared" si="38"/>
        <v>0</v>
      </c>
      <c r="D236" s="186">
        <f t="shared" si="39"/>
        <v>0</v>
      </c>
      <c r="E236" s="187">
        <f t="shared" si="40"/>
        <v>8</v>
      </c>
      <c r="F236" s="186">
        <f t="shared" si="41"/>
        <v>1</v>
      </c>
      <c r="G236" s="187">
        <f t="shared" si="42"/>
        <v>1</v>
      </c>
      <c r="H236" s="186">
        <f t="shared" si="43"/>
        <v>1</v>
      </c>
      <c r="I236" s="187">
        <f t="shared" si="44"/>
        <v>0</v>
      </c>
      <c r="J236" s="186">
        <f t="shared" si="45"/>
        <v>0</v>
      </c>
      <c r="K236" s="187"/>
      <c r="L236" s="189">
        <f t="shared" si="47"/>
        <v>232</v>
      </c>
      <c r="M236" s="189">
        <f t="shared" si="46"/>
        <v>580</v>
      </c>
    </row>
    <row r="237" spans="1:13" ht="12.75" customHeight="1" x14ac:dyDescent="0.2">
      <c r="A237" s="191">
        <f t="shared" si="36"/>
        <v>617.5</v>
      </c>
      <c r="B237" s="186">
        <f t="shared" si="37"/>
        <v>2</v>
      </c>
      <c r="C237" s="187">
        <f t="shared" si="38"/>
        <v>0</v>
      </c>
      <c r="D237" s="186">
        <f t="shared" si="39"/>
        <v>0</v>
      </c>
      <c r="E237" s="187">
        <f t="shared" si="40"/>
        <v>8</v>
      </c>
      <c r="F237" s="186">
        <f t="shared" si="41"/>
        <v>1</v>
      </c>
      <c r="G237" s="187">
        <f t="shared" si="42"/>
        <v>1</v>
      </c>
      <c r="H237" s="186">
        <f t="shared" si="43"/>
        <v>1</v>
      </c>
      <c r="I237" s="187">
        <f t="shared" si="44"/>
        <v>0</v>
      </c>
      <c r="J237" s="186">
        <f t="shared" si="45"/>
        <v>1</v>
      </c>
      <c r="K237" s="187"/>
      <c r="L237" s="189">
        <f t="shared" si="47"/>
        <v>233</v>
      </c>
      <c r="M237" s="189">
        <f t="shared" si="46"/>
        <v>582.5</v>
      </c>
    </row>
    <row r="238" spans="1:13" ht="12.75" customHeight="1" x14ac:dyDescent="0.2">
      <c r="A238" s="191">
        <f t="shared" si="36"/>
        <v>620</v>
      </c>
      <c r="B238" s="186">
        <f t="shared" si="37"/>
        <v>2</v>
      </c>
      <c r="C238" s="187">
        <f t="shared" si="38"/>
        <v>0</v>
      </c>
      <c r="D238" s="186">
        <f t="shared" si="39"/>
        <v>0</v>
      </c>
      <c r="E238" s="187">
        <f t="shared" si="40"/>
        <v>8</v>
      </c>
      <c r="F238" s="186">
        <f t="shared" si="41"/>
        <v>1</v>
      </c>
      <c r="G238" s="187">
        <f t="shared" si="42"/>
        <v>1</v>
      </c>
      <c r="H238" s="186">
        <f t="shared" si="43"/>
        <v>1</v>
      </c>
      <c r="I238" s="187">
        <f t="shared" si="44"/>
        <v>1</v>
      </c>
      <c r="J238" s="186">
        <f t="shared" si="45"/>
        <v>0</v>
      </c>
      <c r="K238" s="187"/>
      <c r="L238" s="189">
        <f t="shared" si="47"/>
        <v>234</v>
      </c>
      <c r="M238" s="189">
        <f t="shared" si="46"/>
        <v>585</v>
      </c>
    </row>
    <row r="239" spans="1:13" ht="12.75" customHeight="1" x14ac:dyDescent="0.2">
      <c r="A239" s="191">
        <f t="shared" si="36"/>
        <v>622.5</v>
      </c>
      <c r="B239" s="186">
        <f t="shared" si="37"/>
        <v>2</v>
      </c>
      <c r="C239" s="187">
        <f t="shared" si="38"/>
        <v>0</v>
      </c>
      <c r="D239" s="186">
        <f t="shared" si="39"/>
        <v>0</v>
      </c>
      <c r="E239" s="187">
        <f t="shared" si="40"/>
        <v>8</v>
      </c>
      <c r="F239" s="186">
        <f t="shared" si="41"/>
        <v>1</v>
      </c>
      <c r="G239" s="187">
        <f t="shared" si="42"/>
        <v>1</v>
      </c>
      <c r="H239" s="186">
        <f t="shared" si="43"/>
        <v>1</v>
      </c>
      <c r="I239" s="187">
        <f t="shared" si="44"/>
        <v>1</v>
      </c>
      <c r="J239" s="186">
        <f t="shared" si="45"/>
        <v>1</v>
      </c>
      <c r="K239" s="187"/>
      <c r="L239" s="189">
        <f t="shared" si="47"/>
        <v>235</v>
      </c>
      <c r="M239" s="189">
        <f t="shared" si="46"/>
        <v>587.5</v>
      </c>
    </row>
    <row r="240" spans="1:13" ht="12.75" customHeight="1" x14ac:dyDescent="0.2">
      <c r="A240" s="191">
        <f t="shared" si="36"/>
        <v>625</v>
      </c>
      <c r="B240" s="186">
        <f t="shared" si="37"/>
        <v>2</v>
      </c>
      <c r="C240" s="187">
        <f t="shared" si="38"/>
        <v>0</v>
      </c>
      <c r="D240" s="186">
        <f t="shared" si="39"/>
        <v>0</v>
      </c>
      <c r="E240" s="187">
        <f t="shared" si="40"/>
        <v>8</v>
      </c>
      <c r="F240" s="186">
        <f t="shared" si="41"/>
        <v>1</v>
      </c>
      <c r="G240" s="187">
        <f t="shared" si="42"/>
        <v>1</v>
      </c>
      <c r="H240" s="186">
        <f t="shared" si="43"/>
        <v>2</v>
      </c>
      <c r="I240" s="187">
        <f t="shared" si="44"/>
        <v>0</v>
      </c>
      <c r="J240" s="186">
        <f t="shared" si="45"/>
        <v>0</v>
      </c>
      <c r="K240" s="187"/>
      <c r="L240" s="189">
        <f t="shared" si="47"/>
        <v>236</v>
      </c>
      <c r="M240" s="189">
        <f t="shared" si="46"/>
        <v>590</v>
      </c>
    </row>
    <row r="241" spans="1:13" ht="12.75" customHeight="1" x14ac:dyDescent="0.2">
      <c r="A241" s="191">
        <f t="shared" si="36"/>
        <v>627.5</v>
      </c>
      <c r="B241" s="186">
        <f t="shared" si="37"/>
        <v>2</v>
      </c>
      <c r="C241" s="187">
        <f t="shared" si="38"/>
        <v>0</v>
      </c>
      <c r="D241" s="186">
        <f t="shared" si="39"/>
        <v>0</v>
      </c>
      <c r="E241" s="187">
        <f t="shared" si="40"/>
        <v>8</v>
      </c>
      <c r="F241" s="186">
        <f t="shared" si="41"/>
        <v>1</v>
      </c>
      <c r="G241" s="187">
        <f t="shared" si="42"/>
        <v>1</v>
      </c>
      <c r="H241" s="186">
        <f t="shared" si="43"/>
        <v>2</v>
      </c>
      <c r="I241" s="187">
        <f t="shared" si="44"/>
        <v>0</v>
      </c>
      <c r="J241" s="186">
        <f t="shared" si="45"/>
        <v>1</v>
      </c>
      <c r="K241" s="187"/>
      <c r="L241" s="189">
        <f t="shared" si="47"/>
        <v>237</v>
      </c>
      <c r="M241" s="189">
        <f t="shared" si="46"/>
        <v>592.5</v>
      </c>
    </row>
    <row r="242" spans="1:13" ht="12.75" customHeight="1" x14ac:dyDescent="0.2">
      <c r="A242" s="191">
        <f t="shared" si="36"/>
        <v>630</v>
      </c>
      <c r="B242" s="186">
        <f t="shared" si="37"/>
        <v>2</v>
      </c>
      <c r="C242" s="187">
        <f t="shared" si="38"/>
        <v>0</v>
      </c>
      <c r="D242" s="186">
        <f t="shared" si="39"/>
        <v>0</v>
      </c>
      <c r="E242" s="187">
        <f t="shared" si="40"/>
        <v>8</v>
      </c>
      <c r="F242" s="186">
        <f t="shared" si="41"/>
        <v>1</v>
      </c>
      <c r="G242" s="187">
        <f t="shared" si="42"/>
        <v>1</v>
      </c>
      <c r="H242" s="186">
        <f t="shared" si="43"/>
        <v>2</v>
      </c>
      <c r="I242" s="187">
        <f t="shared" si="44"/>
        <v>1</v>
      </c>
      <c r="J242" s="186">
        <f t="shared" si="45"/>
        <v>0</v>
      </c>
      <c r="K242" s="187"/>
      <c r="L242" s="189">
        <f t="shared" si="47"/>
        <v>238</v>
      </c>
      <c r="M242" s="189">
        <f t="shared" si="46"/>
        <v>595</v>
      </c>
    </row>
    <row r="243" spans="1:13" ht="12.75" customHeight="1" x14ac:dyDescent="0.2">
      <c r="A243" s="191">
        <f t="shared" si="36"/>
        <v>632.5</v>
      </c>
      <c r="B243" s="186">
        <f t="shared" si="37"/>
        <v>2</v>
      </c>
      <c r="C243" s="187">
        <f t="shared" si="38"/>
        <v>0</v>
      </c>
      <c r="D243" s="186">
        <f t="shared" si="39"/>
        <v>0</v>
      </c>
      <c r="E243" s="187">
        <f t="shared" si="40"/>
        <v>8</v>
      </c>
      <c r="F243" s="186">
        <f t="shared" si="41"/>
        <v>1</v>
      </c>
      <c r="G243" s="187">
        <f t="shared" si="42"/>
        <v>1</v>
      </c>
      <c r="H243" s="186">
        <f t="shared" si="43"/>
        <v>2</v>
      </c>
      <c r="I243" s="187">
        <f t="shared" si="44"/>
        <v>1</v>
      </c>
      <c r="J243" s="186">
        <f t="shared" si="45"/>
        <v>1</v>
      </c>
      <c r="K243" s="187"/>
      <c r="L243" s="189">
        <f t="shared" si="47"/>
        <v>239</v>
      </c>
      <c r="M243" s="189">
        <f t="shared" si="46"/>
        <v>597.5</v>
      </c>
    </row>
    <row r="244" spans="1:13" ht="12.75" customHeight="1" x14ac:dyDescent="0.2">
      <c r="A244" s="191">
        <f t="shared" si="36"/>
        <v>0</v>
      </c>
      <c r="B244" s="186">
        <f t="shared" si="37"/>
        <v>0</v>
      </c>
      <c r="C244" s="187">
        <f t="shared" si="38"/>
        <v>0</v>
      </c>
      <c r="D244" s="186">
        <f t="shared" si="39"/>
        <v>0</v>
      </c>
      <c r="E244" s="187">
        <f t="shared" si="40"/>
        <v>0</v>
      </c>
      <c r="F244" s="186">
        <f t="shared" si="41"/>
        <v>0</v>
      </c>
      <c r="G244" s="187">
        <f t="shared" si="42"/>
        <v>0</v>
      </c>
      <c r="H244" s="186">
        <f t="shared" si="43"/>
        <v>0</v>
      </c>
      <c r="I244" s="187">
        <f t="shared" si="44"/>
        <v>0</v>
      </c>
      <c r="J244" s="186">
        <f t="shared" si="45"/>
        <v>0</v>
      </c>
      <c r="K244" s="187"/>
      <c r="L244" s="189">
        <f t="shared" si="47"/>
        <v>240</v>
      </c>
      <c r="M244" s="189">
        <f t="shared" si="46"/>
        <v>600</v>
      </c>
    </row>
    <row r="245" spans="1:13" ht="12.75" customHeight="1" x14ac:dyDescent="0.2">
      <c r="A245" s="191">
        <f t="shared" si="36"/>
        <v>0</v>
      </c>
      <c r="B245" s="186">
        <f t="shared" si="37"/>
        <v>0</v>
      </c>
      <c r="C245" s="187">
        <f t="shared" si="38"/>
        <v>0</v>
      </c>
      <c r="D245" s="186">
        <f t="shared" si="39"/>
        <v>0</v>
      </c>
      <c r="E245" s="187">
        <f t="shared" si="40"/>
        <v>0</v>
      </c>
      <c r="F245" s="186">
        <f t="shared" si="41"/>
        <v>0</v>
      </c>
      <c r="G245" s="187">
        <f t="shared" si="42"/>
        <v>0</v>
      </c>
      <c r="H245" s="186">
        <f t="shared" si="43"/>
        <v>0</v>
      </c>
      <c r="I245" s="187">
        <f t="shared" si="44"/>
        <v>0</v>
      </c>
      <c r="J245" s="186">
        <f t="shared" si="45"/>
        <v>0</v>
      </c>
      <c r="K245" s="187"/>
      <c r="L245" s="189">
        <f t="shared" si="47"/>
        <v>241</v>
      </c>
      <c r="M245" s="189">
        <f t="shared" si="46"/>
        <v>602.5</v>
      </c>
    </row>
    <row r="246" spans="1:13" ht="12.75" customHeight="1" x14ac:dyDescent="0.2">
      <c r="A246" s="191">
        <f t="shared" si="36"/>
        <v>0</v>
      </c>
      <c r="B246" s="186">
        <f t="shared" si="37"/>
        <v>0</v>
      </c>
      <c r="C246" s="187">
        <f t="shared" si="38"/>
        <v>0</v>
      </c>
      <c r="D246" s="186">
        <f t="shared" si="39"/>
        <v>0</v>
      </c>
      <c r="E246" s="187">
        <f t="shared" si="40"/>
        <v>0</v>
      </c>
      <c r="F246" s="186">
        <f t="shared" si="41"/>
        <v>0</v>
      </c>
      <c r="G246" s="187">
        <f t="shared" si="42"/>
        <v>0</v>
      </c>
      <c r="H246" s="186">
        <f t="shared" si="43"/>
        <v>0</v>
      </c>
      <c r="I246" s="187">
        <f t="shared" si="44"/>
        <v>0</v>
      </c>
      <c r="J246" s="186">
        <f t="shared" si="45"/>
        <v>0</v>
      </c>
      <c r="K246" s="187"/>
      <c r="L246" s="189">
        <f t="shared" si="47"/>
        <v>242</v>
      </c>
      <c r="M246" s="189">
        <f t="shared" si="46"/>
        <v>605</v>
      </c>
    </row>
    <row r="247" spans="1:13" ht="12.75" customHeight="1" x14ac:dyDescent="0.2">
      <c r="A247" s="191">
        <f t="shared" si="36"/>
        <v>0</v>
      </c>
      <c r="B247" s="186">
        <f t="shared" si="37"/>
        <v>0</v>
      </c>
      <c r="C247" s="187">
        <f t="shared" si="38"/>
        <v>0</v>
      </c>
      <c r="D247" s="186">
        <f t="shared" si="39"/>
        <v>0</v>
      </c>
      <c r="E247" s="187">
        <f t="shared" si="40"/>
        <v>0</v>
      </c>
      <c r="F247" s="186">
        <f t="shared" si="41"/>
        <v>0</v>
      </c>
      <c r="G247" s="187">
        <f t="shared" si="42"/>
        <v>0</v>
      </c>
      <c r="H247" s="186">
        <f t="shared" si="43"/>
        <v>0</v>
      </c>
      <c r="I247" s="187">
        <f t="shared" si="44"/>
        <v>0</v>
      </c>
      <c r="J247" s="186">
        <f t="shared" si="45"/>
        <v>0</v>
      </c>
      <c r="K247" s="187"/>
      <c r="L247" s="189">
        <f t="shared" si="47"/>
        <v>243</v>
      </c>
      <c r="M247" s="189">
        <f t="shared" si="46"/>
        <v>607.5</v>
      </c>
    </row>
    <row r="248" spans="1:13" ht="12.75" customHeight="1" x14ac:dyDescent="0.2">
      <c r="A248" s="191">
        <f t="shared" si="36"/>
        <v>0</v>
      </c>
      <c r="B248" s="186">
        <f t="shared" si="37"/>
        <v>0</v>
      </c>
      <c r="C248" s="187">
        <f t="shared" si="38"/>
        <v>0</v>
      </c>
      <c r="D248" s="186">
        <f t="shared" si="39"/>
        <v>0</v>
      </c>
      <c r="E248" s="187">
        <f t="shared" si="40"/>
        <v>0</v>
      </c>
      <c r="F248" s="186">
        <f t="shared" si="41"/>
        <v>0</v>
      </c>
      <c r="G248" s="187">
        <f t="shared" si="42"/>
        <v>0</v>
      </c>
      <c r="H248" s="186">
        <f t="shared" si="43"/>
        <v>0</v>
      </c>
      <c r="I248" s="187">
        <f t="shared" si="44"/>
        <v>0</v>
      </c>
      <c r="J248" s="186">
        <f t="shared" si="45"/>
        <v>0</v>
      </c>
      <c r="K248" s="187"/>
      <c r="L248" s="189">
        <f t="shared" si="47"/>
        <v>244</v>
      </c>
      <c r="M248" s="189">
        <f t="shared" si="46"/>
        <v>610</v>
      </c>
    </row>
    <row r="249" spans="1:13" ht="12.75" customHeight="1" x14ac:dyDescent="0.2">
      <c r="A249" s="191">
        <f t="shared" si="36"/>
        <v>0</v>
      </c>
      <c r="B249" s="186">
        <f t="shared" si="37"/>
        <v>0</v>
      </c>
      <c r="C249" s="187">
        <f t="shared" si="38"/>
        <v>0</v>
      </c>
      <c r="D249" s="186">
        <f t="shared" si="39"/>
        <v>0</v>
      </c>
      <c r="E249" s="187">
        <f t="shared" si="40"/>
        <v>0</v>
      </c>
      <c r="F249" s="186">
        <f t="shared" si="41"/>
        <v>0</v>
      </c>
      <c r="G249" s="187">
        <f t="shared" si="42"/>
        <v>0</v>
      </c>
      <c r="H249" s="186">
        <f t="shared" si="43"/>
        <v>0</v>
      </c>
      <c r="I249" s="187">
        <f t="shared" si="44"/>
        <v>0</v>
      </c>
      <c r="J249" s="186">
        <f t="shared" si="45"/>
        <v>0</v>
      </c>
      <c r="K249" s="187"/>
      <c r="L249" s="189">
        <f t="shared" si="47"/>
        <v>245</v>
      </c>
      <c r="M249" s="189">
        <f t="shared" si="46"/>
        <v>612.5</v>
      </c>
    </row>
    <row r="250" spans="1:13" ht="12.75" customHeight="1" x14ac:dyDescent="0.2">
      <c r="A250" s="191">
        <f t="shared" si="36"/>
        <v>0</v>
      </c>
      <c r="B250" s="186">
        <f t="shared" si="37"/>
        <v>0</v>
      </c>
      <c r="C250" s="187">
        <f t="shared" si="38"/>
        <v>0</v>
      </c>
      <c r="D250" s="186">
        <f t="shared" si="39"/>
        <v>0</v>
      </c>
      <c r="E250" s="187">
        <f t="shared" si="40"/>
        <v>0</v>
      </c>
      <c r="F250" s="186">
        <f t="shared" si="41"/>
        <v>0</v>
      </c>
      <c r="G250" s="187">
        <f t="shared" si="42"/>
        <v>0</v>
      </c>
      <c r="H250" s="186">
        <f t="shared" si="43"/>
        <v>0</v>
      </c>
      <c r="I250" s="187">
        <f t="shared" si="44"/>
        <v>0</v>
      </c>
      <c r="J250" s="186">
        <f t="shared" si="45"/>
        <v>0</v>
      </c>
      <c r="K250" s="187"/>
      <c r="L250" s="189">
        <f t="shared" si="47"/>
        <v>246</v>
      </c>
      <c r="M250" s="189">
        <f t="shared" si="46"/>
        <v>615</v>
      </c>
    </row>
    <row r="251" spans="1:13" ht="12.75" customHeight="1" x14ac:dyDescent="0.2">
      <c r="A251" s="191">
        <f t="shared" si="36"/>
        <v>0</v>
      </c>
      <c r="B251" s="186">
        <f t="shared" si="37"/>
        <v>0</v>
      </c>
      <c r="C251" s="187">
        <f t="shared" si="38"/>
        <v>0</v>
      </c>
      <c r="D251" s="186">
        <f t="shared" si="39"/>
        <v>0</v>
      </c>
      <c r="E251" s="187">
        <f t="shared" si="40"/>
        <v>0</v>
      </c>
      <c r="F251" s="186">
        <f t="shared" si="41"/>
        <v>0</v>
      </c>
      <c r="G251" s="187">
        <f t="shared" si="42"/>
        <v>0</v>
      </c>
      <c r="H251" s="186">
        <f t="shared" si="43"/>
        <v>0</v>
      </c>
      <c r="I251" s="187">
        <f t="shared" si="44"/>
        <v>0</v>
      </c>
      <c r="J251" s="186">
        <f t="shared" si="45"/>
        <v>0</v>
      </c>
      <c r="K251" s="187"/>
      <c r="L251" s="189">
        <f t="shared" si="47"/>
        <v>247</v>
      </c>
      <c r="M251" s="189">
        <f t="shared" si="46"/>
        <v>617.5</v>
      </c>
    </row>
    <row r="252" spans="1:13" ht="12.75" customHeight="1" x14ac:dyDescent="0.2">
      <c r="A252" s="191">
        <f t="shared" si="36"/>
        <v>0</v>
      </c>
      <c r="B252" s="186">
        <f t="shared" si="37"/>
        <v>0</v>
      </c>
      <c r="C252" s="187">
        <f t="shared" si="38"/>
        <v>0</v>
      </c>
      <c r="D252" s="186">
        <f t="shared" si="39"/>
        <v>0</v>
      </c>
      <c r="E252" s="187">
        <f t="shared" si="40"/>
        <v>0</v>
      </c>
      <c r="F252" s="186">
        <f t="shared" si="41"/>
        <v>0</v>
      </c>
      <c r="G252" s="187">
        <f t="shared" si="42"/>
        <v>0</v>
      </c>
      <c r="H252" s="186">
        <f t="shared" si="43"/>
        <v>0</v>
      </c>
      <c r="I252" s="187">
        <f t="shared" si="44"/>
        <v>0</v>
      </c>
      <c r="J252" s="186">
        <f t="shared" si="45"/>
        <v>0</v>
      </c>
      <c r="K252" s="187"/>
      <c r="L252" s="189">
        <f t="shared" si="47"/>
        <v>248</v>
      </c>
      <c r="M252" s="189">
        <f t="shared" si="46"/>
        <v>620</v>
      </c>
    </row>
    <row r="253" spans="1:13" ht="12.75" customHeight="1" x14ac:dyDescent="0.2">
      <c r="A253" s="191">
        <f t="shared" si="36"/>
        <v>0</v>
      </c>
      <c r="B253" s="186">
        <f t="shared" si="37"/>
        <v>0</v>
      </c>
      <c r="C253" s="187">
        <f t="shared" si="38"/>
        <v>0</v>
      </c>
      <c r="D253" s="186">
        <f t="shared" si="39"/>
        <v>0</v>
      </c>
      <c r="E253" s="187">
        <f t="shared" si="40"/>
        <v>0</v>
      </c>
      <c r="F253" s="186">
        <f t="shared" si="41"/>
        <v>0</v>
      </c>
      <c r="G253" s="187">
        <f t="shared" si="42"/>
        <v>0</v>
      </c>
      <c r="H253" s="186">
        <f t="shared" si="43"/>
        <v>0</v>
      </c>
      <c r="I253" s="187">
        <f t="shared" si="44"/>
        <v>0</v>
      </c>
      <c r="J253" s="186">
        <f t="shared" si="45"/>
        <v>0</v>
      </c>
      <c r="K253" s="187"/>
      <c r="L253" s="189">
        <f t="shared" si="47"/>
        <v>249</v>
      </c>
      <c r="M253" s="189">
        <f t="shared" si="46"/>
        <v>622.5</v>
      </c>
    </row>
    <row r="254" spans="1:13" ht="12.75" customHeight="1" x14ac:dyDescent="0.2">
      <c r="A254" s="191">
        <f t="shared" si="36"/>
        <v>0</v>
      </c>
      <c r="B254" s="186">
        <f t="shared" si="37"/>
        <v>0</v>
      </c>
      <c r="C254" s="187">
        <f t="shared" si="38"/>
        <v>0</v>
      </c>
      <c r="D254" s="186">
        <f t="shared" si="39"/>
        <v>0</v>
      </c>
      <c r="E254" s="187">
        <f t="shared" si="40"/>
        <v>0</v>
      </c>
      <c r="F254" s="186">
        <f t="shared" si="41"/>
        <v>0</v>
      </c>
      <c r="G254" s="187">
        <f t="shared" si="42"/>
        <v>0</v>
      </c>
      <c r="H254" s="186">
        <f t="shared" si="43"/>
        <v>0</v>
      </c>
      <c r="I254" s="187">
        <f t="shared" si="44"/>
        <v>0</v>
      </c>
      <c r="J254" s="186">
        <f t="shared" si="45"/>
        <v>0</v>
      </c>
      <c r="K254" s="187"/>
      <c r="L254" s="189">
        <f t="shared" si="47"/>
        <v>250</v>
      </c>
      <c r="M254" s="189">
        <f t="shared" si="46"/>
        <v>625</v>
      </c>
    </row>
    <row r="255" spans="1:13" ht="12.75" customHeight="1" x14ac:dyDescent="0.2">
      <c r="A255" s="191">
        <f t="shared" si="36"/>
        <v>0</v>
      </c>
      <c r="B255" s="186">
        <f t="shared" si="37"/>
        <v>0</v>
      </c>
      <c r="C255" s="187">
        <f t="shared" si="38"/>
        <v>0</v>
      </c>
      <c r="D255" s="186">
        <f t="shared" si="39"/>
        <v>0</v>
      </c>
      <c r="E255" s="187">
        <f t="shared" si="40"/>
        <v>0</v>
      </c>
      <c r="F255" s="186">
        <f t="shared" si="41"/>
        <v>0</v>
      </c>
      <c r="G255" s="187">
        <f t="shared" si="42"/>
        <v>0</v>
      </c>
      <c r="H255" s="186">
        <f t="shared" si="43"/>
        <v>0</v>
      </c>
      <c r="I255" s="187">
        <f t="shared" si="44"/>
        <v>0</v>
      </c>
      <c r="J255" s="186">
        <f t="shared" si="45"/>
        <v>0</v>
      </c>
      <c r="K255" s="187"/>
      <c r="L255" s="189">
        <f t="shared" si="47"/>
        <v>251</v>
      </c>
      <c r="M255" s="189">
        <f t="shared" si="46"/>
        <v>627.5</v>
      </c>
    </row>
    <row r="256" spans="1:13" ht="12.75" customHeight="1" x14ac:dyDescent="0.2">
      <c r="A256" s="191">
        <f t="shared" si="36"/>
        <v>0</v>
      </c>
      <c r="B256" s="186">
        <f t="shared" si="37"/>
        <v>0</v>
      </c>
      <c r="C256" s="187">
        <f t="shared" si="38"/>
        <v>0</v>
      </c>
      <c r="D256" s="186">
        <f t="shared" si="39"/>
        <v>0</v>
      </c>
      <c r="E256" s="187">
        <f t="shared" si="40"/>
        <v>0</v>
      </c>
      <c r="F256" s="186">
        <f t="shared" si="41"/>
        <v>0</v>
      </c>
      <c r="G256" s="187">
        <f t="shared" si="42"/>
        <v>0</v>
      </c>
      <c r="H256" s="186">
        <f t="shared" si="43"/>
        <v>0</v>
      </c>
      <c r="I256" s="187">
        <f t="shared" si="44"/>
        <v>0</v>
      </c>
      <c r="J256" s="186">
        <f t="shared" si="45"/>
        <v>0</v>
      </c>
      <c r="K256" s="187"/>
      <c r="L256" s="189">
        <f t="shared" si="47"/>
        <v>252</v>
      </c>
      <c r="M256" s="189">
        <f t="shared" si="46"/>
        <v>630</v>
      </c>
    </row>
    <row r="257" spans="1:13" ht="12.75" customHeight="1" x14ac:dyDescent="0.2">
      <c r="A257" s="191">
        <f t="shared" si="36"/>
        <v>0</v>
      </c>
      <c r="B257" s="186">
        <f t="shared" si="37"/>
        <v>0</v>
      </c>
      <c r="C257" s="187">
        <f t="shared" si="38"/>
        <v>0</v>
      </c>
      <c r="D257" s="186">
        <f t="shared" si="39"/>
        <v>0</v>
      </c>
      <c r="E257" s="187">
        <f t="shared" si="40"/>
        <v>0</v>
      </c>
      <c r="F257" s="186">
        <f t="shared" si="41"/>
        <v>0</v>
      </c>
      <c r="G257" s="187">
        <f t="shared" si="42"/>
        <v>0</v>
      </c>
      <c r="H257" s="186">
        <f t="shared" si="43"/>
        <v>0</v>
      </c>
      <c r="I257" s="187">
        <f t="shared" si="44"/>
        <v>0</v>
      </c>
      <c r="J257" s="186">
        <f t="shared" si="45"/>
        <v>0</v>
      </c>
      <c r="K257" s="187"/>
      <c r="L257" s="189">
        <f t="shared" si="47"/>
        <v>253</v>
      </c>
      <c r="M257" s="189">
        <f t="shared" si="46"/>
        <v>632.5</v>
      </c>
    </row>
    <row r="258" spans="1:13" ht="12.75" customHeight="1" x14ac:dyDescent="0.2">
      <c r="A258" s="191">
        <f t="shared" si="36"/>
        <v>0</v>
      </c>
      <c r="B258" s="186">
        <f t="shared" si="37"/>
        <v>0</v>
      </c>
      <c r="C258" s="187">
        <f t="shared" si="38"/>
        <v>0</v>
      </c>
      <c r="D258" s="186">
        <f t="shared" si="39"/>
        <v>0</v>
      </c>
      <c r="E258" s="187">
        <f t="shared" si="40"/>
        <v>0</v>
      </c>
      <c r="F258" s="186">
        <f t="shared" si="41"/>
        <v>0</v>
      </c>
      <c r="G258" s="187">
        <f t="shared" si="42"/>
        <v>0</v>
      </c>
      <c r="H258" s="186">
        <f t="shared" si="43"/>
        <v>0</v>
      </c>
      <c r="I258" s="187">
        <f t="shared" si="44"/>
        <v>0</v>
      </c>
      <c r="J258" s="186">
        <f t="shared" si="45"/>
        <v>0</v>
      </c>
      <c r="K258" s="187"/>
      <c r="L258" s="189">
        <f t="shared" si="47"/>
        <v>254</v>
      </c>
      <c r="M258" s="189">
        <f t="shared" si="46"/>
        <v>635</v>
      </c>
    </row>
    <row r="259" spans="1:13" ht="12.75" customHeight="1" x14ac:dyDescent="0.2">
      <c r="A259" s="191">
        <f t="shared" si="36"/>
        <v>0</v>
      </c>
      <c r="B259" s="186">
        <f t="shared" si="37"/>
        <v>0</v>
      </c>
      <c r="C259" s="187">
        <f t="shared" si="38"/>
        <v>0</v>
      </c>
      <c r="D259" s="186">
        <f t="shared" si="39"/>
        <v>0</v>
      </c>
      <c r="E259" s="187">
        <f t="shared" si="40"/>
        <v>0</v>
      </c>
      <c r="F259" s="186">
        <f t="shared" si="41"/>
        <v>0</v>
      </c>
      <c r="G259" s="187">
        <f t="shared" si="42"/>
        <v>0</v>
      </c>
      <c r="H259" s="186">
        <f t="shared" si="43"/>
        <v>0</v>
      </c>
      <c r="I259" s="187">
        <f t="shared" si="44"/>
        <v>0</v>
      </c>
      <c r="J259" s="186">
        <f t="shared" si="45"/>
        <v>0</v>
      </c>
      <c r="K259" s="187"/>
      <c r="L259" s="189">
        <f t="shared" si="47"/>
        <v>255</v>
      </c>
      <c r="M259" s="189">
        <f t="shared" si="46"/>
        <v>637.5</v>
      </c>
    </row>
    <row r="260" spans="1:13" ht="12.75" customHeight="1" x14ac:dyDescent="0.2">
      <c r="A260" s="191">
        <f t="shared" si="36"/>
        <v>0</v>
      </c>
      <c r="B260" s="186">
        <f t="shared" si="37"/>
        <v>0</v>
      </c>
      <c r="C260" s="187">
        <f t="shared" si="38"/>
        <v>0</v>
      </c>
      <c r="D260" s="186">
        <f t="shared" si="39"/>
        <v>0</v>
      </c>
      <c r="E260" s="187">
        <f t="shared" si="40"/>
        <v>0</v>
      </c>
      <c r="F260" s="186">
        <f t="shared" si="41"/>
        <v>0</v>
      </c>
      <c r="G260" s="187">
        <f t="shared" si="42"/>
        <v>0</v>
      </c>
      <c r="H260" s="186">
        <f t="shared" si="43"/>
        <v>0</v>
      </c>
      <c r="I260" s="187">
        <f t="shared" si="44"/>
        <v>0</v>
      </c>
      <c r="J260" s="186">
        <f t="shared" si="45"/>
        <v>0</v>
      </c>
      <c r="K260" s="187"/>
      <c r="L260" s="189">
        <f t="shared" si="47"/>
        <v>256</v>
      </c>
      <c r="M260" s="189">
        <f t="shared" si="46"/>
        <v>640</v>
      </c>
    </row>
  </sheetData>
  <phoneticPr fontId="41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$O$2:$O$7</formula1>
    </dataValidation>
  </dataValidations>
  <printOptions horizontalCentered="1"/>
  <pageMargins left="0.75" right="0.75" top="1" bottom="1" header="0.499" footer="0.499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X604"/>
  <sheetViews>
    <sheetView tabSelected="1" topLeftCell="B1" zoomScale="125" zoomScaleNormal="125" zoomScalePageLayoutView="125" workbookViewId="0">
      <pane ySplit="2" topLeftCell="A3" activePane="bottomLeft" state="frozen"/>
      <selection activeCell="B1" sqref="B1"/>
      <selection pane="bottomLeft" activeCell="Z21" sqref="Z21"/>
    </sheetView>
  </sheetViews>
  <sheetFormatPr defaultColWidth="9.140625" defaultRowHeight="12.75" x14ac:dyDescent="0.2"/>
  <cols>
    <col min="1" max="1" width="9" style="66" hidden="1" customWidth="1"/>
    <col min="2" max="2" width="17.7109375" style="66" customWidth="1"/>
    <col min="3" max="3" width="5.42578125" style="66" customWidth="1"/>
    <col min="4" max="4" width="13.42578125" style="66" customWidth="1"/>
    <col min="5" max="5" width="7.28515625" style="66" customWidth="1"/>
    <col min="6" max="7" width="9.140625" style="66" hidden="1" customWidth="1"/>
    <col min="8" max="8" width="4.42578125" style="66" hidden="1" customWidth="1"/>
    <col min="9" max="9" width="4.42578125" style="207" hidden="1" customWidth="1"/>
    <col min="10" max="10" width="8" style="66" hidden="1" customWidth="1"/>
    <col min="11" max="14" width="9.140625" style="66" hidden="1" customWidth="1"/>
    <col min="15" max="15" width="4.42578125" style="207" hidden="1" customWidth="1"/>
    <col min="16" max="16" width="8.42578125" style="66" hidden="1" customWidth="1"/>
    <col min="17" max="21" width="8" style="66" hidden="1" customWidth="1"/>
    <col min="22" max="22" width="8" style="66" customWidth="1"/>
    <col min="23" max="24" width="8.140625" style="66" customWidth="1"/>
    <col min="25" max="25" width="8" style="66" customWidth="1"/>
    <col min="26" max="26" width="10.7109375" style="66" customWidth="1"/>
    <col min="27" max="27" width="9.140625" style="66" hidden="1" customWidth="1"/>
    <col min="28" max="29" width="9.140625" style="66" customWidth="1"/>
    <col min="30" max="30" width="7.42578125" style="66" customWidth="1"/>
    <col min="31" max="31" width="3.28515625" style="66" customWidth="1"/>
    <col min="32" max="32" width="14.28515625" style="66" customWidth="1"/>
    <col min="33" max="33" width="8.42578125" style="66" customWidth="1"/>
    <col min="34" max="35" width="9.140625" style="15" hidden="1" customWidth="1"/>
    <col min="36" max="36" width="7.42578125" style="15" hidden="1" customWidth="1"/>
    <col min="37" max="37" width="21.140625" style="16" customWidth="1"/>
    <col min="38" max="101" width="9.140625" style="16" hidden="1" customWidth="1"/>
    <col min="102" max="102" width="24.42578125" style="16" customWidth="1"/>
    <col min="103" max="118" width="9.140625" style="16" customWidth="1"/>
    <col min="119" max="16384" width="9.140625" style="16"/>
  </cols>
  <sheetData>
    <row r="1" spans="1:101" s="126" customFormat="1" ht="38.25" customHeight="1" x14ac:dyDescent="0.2">
      <c r="A1" s="66"/>
      <c r="B1" s="66"/>
      <c r="C1" s="66"/>
      <c r="D1" s="66"/>
      <c r="E1" s="66"/>
      <c r="F1" s="66"/>
      <c r="G1" s="66"/>
      <c r="H1" s="66"/>
      <c r="I1" s="207"/>
      <c r="J1" s="66"/>
      <c r="K1" s="66"/>
      <c r="L1" s="66"/>
      <c r="M1" s="66"/>
      <c r="N1" s="66"/>
      <c r="O1" s="207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125"/>
      <c r="AI1" s="125"/>
      <c r="AJ1" s="125"/>
      <c r="AW1" s="21" t="str">
        <f>CONCATENATE("Setup!O7:O",COUNTA(Setup!O:O)+3)</f>
        <v>Setup!O7:O246</v>
      </c>
      <c r="AZ1" s="126" t="s">
        <v>62</v>
      </c>
      <c r="BA1" s="126" t="s">
        <v>63</v>
      </c>
      <c r="BB1" s="126" t="s">
        <v>64</v>
      </c>
      <c r="BC1" s="126" t="s">
        <v>65</v>
      </c>
      <c r="BD1" s="126" t="s">
        <v>66</v>
      </c>
      <c r="CA1" s="126">
        <v>1</v>
      </c>
      <c r="CB1" s="126">
        <v>2</v>
      </c>
      <c r="CC1" s="126">
        <v>21</v>
      </c>
      <c r="CD1" s="126">
        <v>1</v>
      </c>
    </row>
    <row r="2" spans="1:101" s="196" customFormat="1" ht="26.25" thickBot="1" x14ac:dyDescent="0.25">
      <c r="A2" s="197"/>
      <c r="B2" s="281" t="s">
        <v>0</v>
      </c>
      <c r="C2" s="281" t="s">
        <v>1</v>
      </c>
      <c r="D2" s="281" t="s">
        <v>29</v>
      </c>
      <c r="E2" s="281" t="str">
        <f>Setup!K6</f>
        <v>BWt (Kg)</v>
      </c>
      <c r="F2" s="281" t="s">
        <v>688</v>
      </c>
      <c r="G2" s="281" t="s">
        <v>94</v>
      </c>
      <c r="H2" s="281" t="s">
        <v>2</v>
      </c>
      <c r="I2" s="282" t="s">
        <v>26</v>
      </c>
      <c r="J2" s="281" t="s">
        <v>22</v>
      </c>
      <c r="K2" s="281" t="s">
        <v>23</v>
      </c>
      <c r="L2" s="281" t="s">
        <v>24</v>
      </c>
      <c r="M2" s="281" t="s">
        <v>25</v>
      </c>
      <c r="N2" s="281" t="s">
        <v>11</v>
      </c>
      <c r="O2" s="282" t="s">
        <v>27</v>
      </c>
      <c r="P2" s="281" t="s">
        <v>104</v>
      </c>
      <c r="Q2" s="281" t="s">
        <v>13</v>
      </c>
      <c r="R2" s="281" t="s">
        <v>14</v>
      </c>
      <c r="S2" s="281" t="s">
        <v>28</v>
      </c>
      <c r="T2" s="281" t="s">
        <v>15</v>
      </c>
      <c r="U2" s="281" t="s">
        <v>16</v>
      </c>
      <c r="V2" s="281" t="s">
        <v>17</v>
      </c>
      <c r="W2" s="281" t="s">
        <v>18</v>
      </c>
      <c r="X2" s="281" t="s">
        <v>19</v>
      </c>
      <c r="Y2" s="281" t="s">
        <v>20</v>
      </c>
      <c r="Z2" s="281" t="s">
        <v>21</v>
      </c>
      <c r="AA2" s="281"/>
      <c r="AB2" s="281" t="s">
        <v>90</v>
      </c>
      <c r="AC2" s="281" t="s">
        <v>95</v>
      </c>
      <c r="AD2" s="281" t="s">
        <v>100</v>
      </c>
      <c r="AE2" s="281"/>
      <c r="AF2" s="281" t="s">
        <v>30</v>
      </c>
      <c r="AG2" s="281" t="s">
        <v>37</v>
      </c>
      <c r="AH2" s="195" t="s">
        <v>102</v>
      </c>
      <c r="AI2" s="195" t="s">
        <v>36</v>
      </c>
      <c r="AJ2" s="195" t="s">
        <v>38</v>
      </c>
      <c r="AN2" s="196" t="s">
        <v>98</v>
      </c>
      <c r="AO2" s="196" t="s">
        <v>99</v>
      </c>
      <c r="AP2" s="196">
        <v>-1</v>
      </c>
      <c r="CA2" s="196">
        <v>34</v>
      </c>
      <c r="CB2" s="196">
        <v>34</v>
      </c>
      <c r="CC2" s="196">
        <v>26</v>
      </c>
      <c r="CD2" s="196">
        <v>31</v>
      </c>
      <c r="CF2" s="196" t="s">
        <v>80</v>
      </c>
      <c r="CG2" s="196" t="s">
        <v>22</v>
      </c>
      <c r="CH2" s="196" t="s">
        <v>23</v>
      </c>
      <c r="CI2" s="196" t="s">
        <v>24</v>
      </c>
      <c r="CJ2" s="196" t="s">
        <v>25</v>
      </c>
      <c r="CK2" s="196" t="s">
        <v>11</v>
      </c>
      <c r="CL2" s="196" t="s">
        <v>27</v>
      </c>
      <c r="CM2" s="196" t="s">
        <v>12</v>
      </c>
      <c r="CN2" s="196" t="s">
        <v>13</v>
      </c>
      <c r="CO2" s="196" t="s">
        <v>14</v>
      </c>
      <c r="CP2" s="196" t="s">
        <v>28</v>
      </c>
      <c r="CQ2" s="196" t="s">
        <v>15</v>
      </c>
      <c r="CR2" s="196" t="s">
        <v>16</v>
      </c>
      <c r="CS2" s="196" t="s">
        <v>17</v>
      </c>
      <c r="CT2" s="196" t="s">
        <v>18</v>
      </c>
      <c r="CU2" s="196" t="s">
        <v>19</v>
      </c>
      <c r="CV2" s="196" t="s">
        <v>20</v>
      </c>
      <c r="CW2" s="196" t="s">
        <v>21</v>
      </c>
    </row>
    <row r="3" spans="1:101" ht="12.75" customHeight="1" x14ac:dyDescent="0.2">
      <c r="B3" s="262" t="s">
        <v>656</v>
      </c>
      <c r="C3" s="262"/>
      <c r="D3" s="262" t="s">
        <v>331</v>
      </c>
      <c r="E3" s="263">
        <v>90</v>
      </c>
      <c r="F3" s="263"/>
      <c r="G3" s="263"/>
      <c r="H3" s="263"/>
      <c r="I3" s="264"/>
      <c r="J3" s="263"/>
      <c r="K3" s="263"/>
      <c r="L3" s="263"/>
      <c r="M3" s="263"/>
      <c r="N3" s="263"/>
      <c r="O3" s="264"/>
      <c r="P3" s="265"/>
      <c r="Q3" s="265"/>
      <c r="R3" s="265"/>
      <c r="S3" s="265"/>
      <c r="T3" s="266"/>
      <c r="U3" s="266"/>
      <c r="V3" s="266">
        <v>137.5</v>
      </c>
      <c r="W3" s="266">
        <v>142.5</v>
      </c>
      <c r="X3" s="266">
        <v>147.5</v>
      </c>
      <c r="Y3" s="266"/>
      <c r="Z3" s="266">
        <v>147.5</v>
      </c>
      <c r="AA3" s="263"/>
      <c r="AB3" s="263">
        <v>239.45599999999999</v>
      </c>
      <c r="AC3" s="263">
        <v>0</v>
      </c>
      <c r="AD3" s="263">
        <v>1</v>
      </c>
      <c r="AE3" s="267" t="s">
        <v>694</v>
      </c>
      <c r="AF3" s="268" t="s">
        <v>331</v>
      </c>
      <c r="AG3" s="263">
        <v>3</v>
      </c>
    </row>
    <row r="4" spans="1:101" ht="12.75" customHeight="1" x14ac:dyDescent="0.2">
      <c r="B4" s="262" t="s">
        <v>684</v>
      </c>
      <c r="C4" s="262"/>
      <c r="D4" s="262" t="s">
        <v>312</v>
      </c>
      <c r="E4" s="263">
        <v>67.5</v>
      </c>
      <c r="F4" s="263"/>
      <c r="G4" s="263"/>
      <c r="H4" s="263"/>
      <c r="I4" s="264"/>
      <c r="J4" s="263"/>
      <c r="K4" s="263"/>
      <c r="L4" s="263"/>
      <c r="M4" s="263"/>
      <c r="N4" s="263"/>
      <c r="O4" s="264"/>
      <c r="P4" s="265"/>
      <c r="Q4" s="265"/>
      <c r="R4" s="265"/>
      <c r="S4" s="265"/>
      <c r="T4" s="266"/>
      <c r="U4" s="266"/>
      <c r="V4" s="266">
        <v>102.5</v>
      </c>
      <c r="W4" s="266">
        <v>110</v>
      </c>
      <c r="X4" s="266">
        <v>115</v>
      </c>
      <c r="Y4" s="266"/>
      <c r="Z4" s="266">
        <v>115</v>
      </c>
      <c r="AA4" s="263"/>
      <c r="AB4" s="263">
        <v>225.96250000000001</v>
      </c>
      <c r="AC4" s="263">
        <v>0</v>
      </c>
      <c r="AD4" s="263">
        <v>1</v>
      </c>
      <c r="AE4" s="267" t="s">
        <v>694</v>
      </c>
      <c r="AF4" s="268" t="s">
        <v>312</v>
      </c>
      <c r="AG4" s="263">
        <v>3</v>
      </c>
    </row>
    <row r="5" spans="1:101" x14ac:dyDescent="0.2">
      <c r="B5" s="262" t="s">
        <v>658</v>
      </c>
      <c r="C5" s="262"/>
      <c r="D5" s="262" t="s">
        <v>301</v>
      </c>
      <c r="E5" s="263">
        <v>67.5</v>
      </c>
      <c r="F5" s="263"/>
      <c r="G5" s="263"/>
      <c r="H5" s="263"/>
      <c r="I5" s="264"/>
      <c r="J5" s="263"/>
      <c r="K5" s="263"/>
      <c r="L5" s="263"/>
      <c r="M5" s="263"/>
      <c r="N5" s="263"/>
      <c r="O5" s="264"/>
      <c r="P5" s="265"/>
      <c r="Q5" s="265"/>
      <c r="R5" s="265"/>
      <c r="S5" s="265"/>
      <c r="T5" s="266"/>
      <c r="U5" s="266"/>
      <c r="V5" s="266">
        <v>107.5</v>
      </c>
      <c r="W5" s="266">
        <v>115</v>
      </c>
      <c r="X5" s="266">
        <v>122.5</v>
      </c>
      <c r="Y5" s="266"/>
      <c r="Z5" s="266">
        <v>122.5</v>
      </c>
      <c r="AA5" s="263"/>
      <c r="AB5" s="263">
        <v>239.5</v>
      </c>
      <c r="AC5" s="263">
        <v>0</v>
      </c>
      <c r="AD5" s="263">
        <v>1</v>
      </c>
      <c r="AE5" s="267" t="s">
        <v>694</v>
      </c>
      <c r="AF5" s="268" t="s">
        <v>301</v>
      </c>
      <c r="AG5" s="263">
        <v>3</v>
      </c>
    </row>
    <row r="6" spans="1:101" x14ac:dyDescent="0.2">
      <c r="B6" s="262" t="s">
        <v>657</v>
      </c>
      <c r="C6" s="262"/>
      <c r="D6" s="262" t="s">
        <v>301</v>
      </c>
      <c r="E6" s="263">
        <v>82.5</v>
      </c>
      <c r="F6" s="263"/>
      <c r="G6" s="263"/>
      <c r="H6" s="263"/>
      <c r="I6" s="264"/>
      <c r="J6" s="263"/>
      <c r="K6" s="263"/>
      <c r="L6" s="263"/>
      <c r="M6" s="263"/>
      <c r="N6" s="263"/>
      <c r="O6" s="264"/>
      <c r="P6" s="265"/>
      <c r="Q6" s="265"/>
      <c r="R6" s="265"/>
      <c r="S6" s="265"/>
      <c r="T6" s="266"/>
      <c r="U6" s="266"/>
      <c r="V6" s="266">
        <v>97.5</v>
      </c>
      <c r="W6" s="266">
        <v>107.5</v>
      </c>
      <c r="X6" s="266">
        <v>112.5</v>
      </c>
      <c r="Y6" s="266"/>
      <c r="Z6" s="266">
        <v>112.5</v>
      </c>
      <c r="AA6" s="263"/>
      <c r="AB6" s="263">
        <v>193.28049999999999</v>
      </c>
      <c r="AC6" s="263">
        <v>0</v>
      </c>
      <c r="AD6" s="263">
        <v>1</v>
      </c>
      <c r="AE6" s="267" t="s">
        <v>695</v>
      </c>
      <c r="AF6" s="268" t="s">
        <v>301</v>
      </c>
      <c r="AG6" s="263">
        <v>3</v>
      </c>
    </row>
    <row r="7" spans="1:101" x14ac:dyDescent="0.2">
      <c r="B7" s="262" t="s">
        <v>659</v>
      </c>
      <c r="C7" s="262"/>
      <c r="D7" s="262" t="s">
        <v>301</v>
      </c>
      <c r="E7" s="263">
        <v>56</v>
      </c>
      <c r="F7" s="263"/>
      <c r="G7" s="263"/>
      <c r="H7" s="263"/>
      <c r="I7" s="264"/>
      <c r="J7" s="263"/>
      <c r="K7" s="263"/>
      <c r="L7" s="263"/>
      <c r="M7" s="263"/>
      <c r="N7" s="263"/>
      <c r="O7" s="264"/>
      <c r="P7" s="265"/>
      <c r="Q7" s="265"/>
      <c r="R7" s="265"/>
      <c r="S7" s="265"/>
      <c r="T7" s="266"/>
      <c r="U7" s="266"/>
      <c r="V7" s="266">
        <v>80</v>
      </c>
      <c r="W7" s="266">
        <v>82.5</v>
      </c>
      <c r="X7" s="266">
        <v>85</v>
      </c>
      <c r="Y7" s="266"/>
      <c r="Z7" s="266">
        <v>85</v>
      </c>
      <c r="AA7" s="263"/>
      <c r="AB7" s="263">
        <v>193.6764</v>
      </c>
      <c r="AC7" s="263">
        <v>0</v>
      </c>
      <c r="AD7" s="263">
        <v>1</v>
      </c>
      <c r="AE7" s="267" t="s">
        <v>696</v>
      </c>
      <c r="AF7" s="268" t="s">
        <v>301</v>
      </c>
      <c r="AG7" s="263">
        <v>3</v>
      </c>
    </row>
    <row r="8" spans="1:101" x14ac:dyDescent="0.2">
      <c r="B8" s="262" t="s">
        <v>663</v>
      </c>
      <c r="C8" s="262"/>
      <c r="D8" s="262" t="s">
        <v>294</v>
      </c>
      <c r="E8" s="263">
        <v>90</v>
      </c>
      <c r="F8" s="263"/>
      <c r="G8" s="263"/>
      <c r="H8" s="263"/>
      <c r="I8" s="264"/>
      <c r="J8" s="263"/>
      <c r="K8" s="263"/>
      <c r="L8" s="263"/>
      <c r="M8" s="263"/>
      <c r="N8" s="263"/>
      <c r="O8" s="264"/>
      <c r="P8" s="265"/>
      <c r="Q8" s="265"/>
      <c r="R8" s="265"/>
      <c r="S8" s="265"/>
      <c r="T8" s="266"/>
      <c r="U8" s="266"/>
      <c r="V8" s="266">
        <v>137.5</v>
      </c>
      <c r="W8" s="266">
        <v>150</v>
      </c>
      <c r="X8" s="266">
        <v>165</v>
      </c>
      <c r="Y8" s="266"/>
      <c r="Z8" s="266">
        <v>165</v>
      </c>
      <c r="AA8" s="263"/>
      <c r="AB8" s="263">
        <v>269.38799999999998</v>
      </c>
      <c r="AC8" s="263">
        <v>0</v>
      </c>
      <c r="AD8" s="263">
        <v>1</v>
      </c>
      <c r="AE8" s="267" t="s">
        <v>694</v>
      </c>
      <c r="AF8" s="268" t="s">
        <v>294</v>
      </c>
      <c r="AG8" s="263">
        <v>3</v>
      </c>
    </row>
    <row r="9" spans="1:101" ht="12.75" customHeight="1" x14ac:dyDescent="0.2">
      <c r="B9" s="262" t="s">
        <v>660</v>
      </c>
      <c r="C9" s="262"/>
      <c r="D9" s="262" t="s">
        <v>289</v>
      </c>
      <c r="E9" s="263">
        <v>82.5</v>
      </c>
      <c r="F9" s="263"/>
      <c r="G9" s="263"/>
      <c r="H9" s="263"/>
      <c r="I9" s="264"/>
      <c r="J9" s="263"/>
      <c r="K9" s="263"/>
      <c r="L9" s="263"/>
      <c r="M9" s="263"/>
      <c r="N9" s="263"/>
      <c r="O9" s="264"/>
      <c r="P9" s="265"/>
      <c r="Q9" s="265"/>
      <c r="R9" s="265"/>
      <c r="S9" s="265"/>
      <c r="T9" s="266"/>
      <c r="U9" s="266"/>
      <c r="V9" s="266">
        <v>145</v>
      </c>
      <c r="W9" s="266">
        <v>152.5</v>
      </c>
      <c r="X9" s="266">
        <v>167.5</v>
      </c>
      <c r="Y9" s="266"/>
      <c r="Z9" s="266">
        <v>167.5</v>
      </c>
      <c r="AA9" s="263"/>
      <c r="AB9" s="263">
        <v>287.94850000000002</v>
      </c>
      <c r="AC9" s="263">
        <v>0</v>
      </c>
      <c r="AD9" s="263">
        <v>1</v>
      </c>
      <c r="AE9" s="267" t="s">
        <v>694</v>
      </c>
      <c r="AF9" s="268" t="s">
        <v>289</v>
      </c>
      <c r="AG9" s="263">
        <v>3</v>
      </c>
    </row>
    <row r="10" spans="1:101" ht="12.75" customHeight="1" x14ac:dyDescent="0.2">
      <c r="B10" s="262" t="s">
        <v>685</v>
      </c>
      <c r="C10" s="262"/>
      <c r="D10" s="262" t="s">
        <v>175</v>
      </c>
      <c r="E10" s="263">
        <v>67.5</v>
      </c>
      <c r="F10" s="263"/>
      <c r="G10" s="263"/>
      <c r="H10" s="263"/>
      <c r="I10" s="264"/>
      <c r="J10" s="263"/>
      <c r="K10" s="263"/>
      <c r="L10" s="263"/>
      <c r="M10" s="263"/>
      <c r="N10" s="263"/>
      <c r="O10" s="264"/>
      <c r="P10" s="265"/>
      <c r="Q10" s="265"/>
      <c r="R10" s="265"/>
      <c r="S10" s="265"/>
      <c r="T10" s="266"/>
      <c r="U10" s="266"/>
      <c r="V10" s="266">
        <v>95</v>
      </c>
      <c r="W10" s="266">
        <v>102.5</v>
      </c>
      <c r="X10" s="266">
        <v>112.5</v>
      </c>
      <c r="Y10" s="266"/>
      <c r="Z10" s="266">
        <v>112.5</v>
      </c>
      <c r="AA10" s="263"/>
      <c r="AB10" s="263">
        <v>221.44325000000001</v>
      </c>
      <c r="AC10" s="263">
        <v>0</v>
      </c>
      <c r="AD10" s="263">
        <v>1</v>
      </c>
      <c r="AE10" s="267" t="s">
        <v>694</v>
      </c>
      <c r="AF10" s="268" t="s">
        <v>175</v>
      </c>
      <c r="AG10" s="263">
        <v>3</v>
      </c>
    </row>
    <row r="11" spans="1:101" ht="12.75" customHeight="1" x14ac:dyDescent="0.2">
      <c r="B11" s="262" t="s">
        <v>666</v>
      </c>
      <c r="C11" s="262"/>
      <c r="D11" s="269" t="s">
        <v>259</v>
      </c>
      <c r="E11" s="263">
        <v>56</v>
      </c>
      <c r="F11" s="263"/>
      <c r="G11" s="263"/>
      <c r="H11" s="263"/>
      <c r="I11" s="264"/>
      <c r="J11" s="263"/>
      <c r="K11" s="263"/>
      <c r="L11" s="263"/>
      <c r="M11" s="263"/>
      <c r="N11" s="263"/>
      <c r="O11" s="264"/>
      <c r="P11" s="265"/>
      <c r="Q11" s="265"/>
      <c r="R11" s="265"/>
      <c r="S11" s="265"/>
      <c r="T11" s="266"/>
      <c r="U11" s="266"/>
      <c r="V11" s="266">
        <v>97.5</v>
      </c>
      <c r="W11" s="266">
        <v>102.5</v>
      </c>
      <c r="X11" s="266">
        <v>107.5</v>
      </c>
      <c r="Y11" s="266"/>
      <c r="Z11" s="266">
        <v>107.5</v>
      </c>
      <c r="AA11" s="263"/>
      <c r="AB11" s="263">
        <v>246.0215</v>
      </c>
      <c r="AC11" s="263">
        <v>0</v>
      </c>
      <c r="AD11" s="263">
        <v>1</v>
      </c>
      <c r="AE11" s="267" t="s">
        <v>695</v>
      </c>
      <c r="AF11" s="270" t="s">
        <v>259</v>
      </c>
      <c r="AG11" s="263">
        <v>3</v>
      </c>
    </row>
    <row r="12" spans="1:101" ht="12.75" customHeight="1" x14ac:dyDescent="0.2">
      <c r="B12" s="262" t="s">
        <v>686</v>
      </c>
      <c r="C12" s="262"/>
      <c r="D12" s="262" t="s">
        <v>259</v>
      </c>
      <c r="E12" s="263">
        <v>90</v>
      </c>
      <c r="F12" s="263"/>
      <c r="G12" s="263"/>
      <c r="H12" s="263"/>
      <c r="I12" s="264"/>
      <c r="J12" s="263"/>
      <c r="K12" s="263"/>
      <c r="L12" s="263"/>
      <c r="M12" s="263"/>
      <c r="N12" s="263"/>
      <c r="O12" s="264"/>
      <c r="P12" s="265"/>
      <c r="Q12" s="265"/>
      <c r="R12" s="265"/>
      <c r="S12" s="265"/>
      <c r="T12" s="266"/>
      <c r="U12" s="266"/>
      <c r="V12" s="266">
        <v>162.5</v>
      </c>
      <c r="W12" s="266">
        <v>165</v>
      </c>
      <c r="X12" s="266">
        <v>172.5</v>
      </c>
      <c r="Y12" s="266"/>
      <c r="Z12" s="266">
        <v>172.5</v>
      </c>
      <c r="AA12" s="263"/>
      <c r="AB12" s="263">
        <v>280.61250000000001</v>
      </c>
      <c r="AC12" s="263">
        <v>0</v>
      </c>
      <c r="AD12" s="263">
        <v>1</v>
      </c>
      <c r="AE12" s="267" t="s">
        <v>694</v>
      </c>
      <c r="AF12" s="268" t="s">
        <v>259</v>
      </c>
      <c r="AG12" s="263">
        <v>3</v>
      </c>
    </row>
    <row r="13" spans="1:101" ht="12.75" customHeight="1" x14ac:dyDescent="0.2">
      <c r="B13" s="262" t="s">
        <v>687</v>
      </c>
      <c r="C13" s="262"/>
      <c r="D13" s="262" t="s">
        <v>259</v>
      </c>
      <c r="E13" s="263">
        <v>75</v>
      </c>
      <c r="F13" s="263"/>
      <c r="G13" s="263"/>
      <c r="H13" s="263"/>
      <c r="I13" s="264"/>
      <c r="J13" s="263"/>
      <c r="K13" s="263"/>
      <c r="L13" s="263"/>
      <c r="M13" s="263"/>
      <c r="N13" s="263"/>
      <c r="O13" s="264"/>
      <c r="P13" s="265"/>
      <c r="Q13" s="265"/>
      <c r="R13" s="271"/>
      <c r="S13" s="272"/>
      <c r="T13" s="273"/>
      <c r="U13" s="274" t="s">
        <v>10</v>
      </c>
      <c r="V13" s="266">
        <v>130</v>
      </c>
      <c r="W13" s="266">
        <v>142.5</v>
      </c>
      <c r="X13" s="266">
        <v>147.5</v>
      </c>
      <c r="Y13" s="266"/>
      <c r="Z13" s="266">
        <v>147</v>
      </c>
      <c r="AA13" s="263"/>
      <c r="AB13" s="263">
        <v>272.22000000000003</v>
      </c>
      <c r="AC13" s="263">
        <v>0</v>
      </c>
      <c r="AD13" s="263">
        <v>1</v>
      </c>
      <c r="AE13" s="267" t="s">
        <v>695</v>
      </c>
      <c r="AF13" s="268" t="s">
        <v>259</v>
      </c>
      <c r="AG13" s="263">
        <v>3</v>
      </c>
    </row>
    <row r="14" spans="1:101" ht="12.75" customHeight="1" x14ac:dyDescent="0.2">
      <c r="B14" s="262" t="s">
        <v>689</v>
      </c>
      <c r="C14" s="262"/>
      <c r="D14" s="262" t="s">
        <v>259</v>
      </c>
      <c r="E14" s="263">
        <v>90</v>
      </c>
      <c r="F14" s="263"/>
      <c r="G14" s="263"/>
      <c r="H14" s="263"/>
      <c r="I14" s="264"/>
      <c r="J14" s="263"/>
      <c r="K14" s="263"/>
      <c r="L14" s="263"/>
      <c r="M14" s="263"/>
      <c r="N14" s="263"/>
      <c r="O14" s="264"/>
      <c r="P14" s="265"/>
      <c r="Q14" s="265"/>
      <c r="R14" s="271"/>
      <c r="S14" s="265"/>
      <c r="T14" s="266"/>
      <c r="U14" s="275">
        <v>44</v>
      </c>
      <c r="V14" s="266">
        <v>130</v>
      </c>
      <c r="W14" s="266">
        <v>137.5</v>
      </c>
      <c r="X14" s="266">
        <v>140</v>
      </c>
      <c r="Y14" s="266"/>
      <c r="Z14" s="266">
        <v>140</v>
      </c>
      <c r="AA14" s="263"/>
      <c r="AB14" s="263">
        <v>228.23150000000001</v>
      </c>
      <c r="AC14" s="263">
        <v>0</v>
      </c>
      <c r="AD14" s="263">
        <v>1</v>
      </c>
      <c r="AE14" s="267" t="s">
        <v>696</v>
      </c>
      <c r="AF14" s="268" t="s">
        <v>259</v>
      </c>
      <c r="AG14" s="263">
        <v>3</v>
      </c>
    </row>
    <row r="15" spans="1:101" ht="12.75" customHeight="1" x14ac:dyDescent="0.2">
      <c r="B15" s="262" t="s">
        <v>692</v>
      </c>
      <c r="C15" s="262"/>
      <c r="D15" s="262" t="s">
        <v>259</v>
      </c>
      <c r="E15" s="263">
        <v>90</v>
      </c>
      <c r="F15" s="263"/>
      <c r="G15" s="263"/>
      <c r="H15" s="263"/>
      <c r="I15" s="264"/>
      <c r="J15" s="263"/>
      <c r="K15" s="263"/>
      <c r="L15" s="263"/>
      <c r="M15" s="263"/>
      <c r="N15" s="263"/>
      <c r="O15" s="264"/>
      <c r="P15" s="265"/>
      <c r="Q15" s="265"/>
      <c r="R15" s="271"/>
      <c r="S15" s="265"/>
      <c r="T15" s="266"/>
      <c r="U15" s="275"/>
      <c r="V15" s="266">
        <v>125</v>
      </c>
      <c r="W15" s="266">
        <v>137.5</v>
      </c>
      <c r="X15" s="266">
        <v>-145</v>
      </c>
      <c r="Y15" s="266"/>
      <c r="Z15" s="266">
        <v>137.5</v>
      </c>
      <c r="AA15" s="263"/>
      <c r="AB15" s="263">
        <v>224.49</v>
      </c>
      <c r="AC15" s="263">
        <v>0</v>
      </c>
      <c r="AD15" s="263">
        <v>1</v>
      </c>
      <c r="AE15" s="267" t="s">
        <v>697</v>
      </c>
      <c r="AF15" s="268" t="s">
        <v>259</v>
      </c>
      <c r="AG15" s="263">
        <v>3</v>
      </c>
    </row>
    <row r="16" spans="1:101" ht="12.75" customHeight="1" x14ac:dyDescent="0.2">
      <c r="B16" s="262" t="s">
        <v>664</v>
      </c>
      <c r="C16" s="262"/>
      <c r="D16" s="262" t="s">
        <v>259</v>
      </c>
      <c r="E16" s="263">
        <v>82.5</v>
      </c>
      <c r="F16" s="263"/>
      <c r="G16" s="263"/>
      <c r="H16" s="263"/>
      <c r="I16" s="264"/>
      <c r="J16" s="263"/>
      <c r="K16" s="263"/>
      <c r="L16" s="263"/>
      <c r="M16" s="263"/>
      <c r="N16" s="263"/>
      <c r="O16" s="264"/>
      <c r="P16" s="265"/>
      <c r="Q16" s="265"/>
      <c r="R16" s="271"/>
      <c r="S16" s="265"/>
      <c r="T16" s="266"/>
      <c r="U16" s="275">
        <v>48</v>
      </c>
      <c r="V16" s="266">
        <v>115</v>
      </c>
      <c r="W16" s="266">
        <v>125</v>
      </c>
      <c r="X16" s="266">
        <v>-137.5</v>
      </c>
      <c r="Y16" s="266"/>
      <c r="Z16" s="266">
        <v>125</v>
      </c>
      <c r="AA16" s="263"/>
      <c r="AB16" s="263">
        <v>216.94749999999999</v>
      </c>
      <c r="AC16" s="263">
        <v>0</v>
      </c>
      <c r="AD16" s="263">
        <v>1</v>
      </c>
      <c r="AE16" s="267" t="s">
        <v>698</v>
      </c>
      <c r="AF16" s="268" t="s">
        <v>259</v>
      </c>
      <c r="AG16" s="263">
        <v>3</v>
      </c>
    </row>
    <row r="17" spans="2:37" ht="12.75" customHeight="1" x14ac:dyDescent="0.2">
      <c r="B17" s="262" t="s">
        <v>661</v>
      </c>
      <c r="C17" s="262"/>
      <c r="D17" s="262" t="s">
        <v>259</v>
      </c>
      <c r="E17" s="263">
        <v>75</v>
      </c>
      <c r="F17" s="263"/>
      <c r="G17" s="263"/>
      <c r="H17" s="263"/>
      <c r="I17" s="264"/>
      <c r="J17" s="263"/>
      <c r="K17" s="263"/>
      <c r="L17" s="263"/>
      <c r="M17" s="263"/>
      <c r="N17" s="263"/>
      <c r="O17" s="264"/>
      <c r="P17" s="265"/>
      <c r="Q17" s="265"/>
      <c r="R17" s="271"/>
      <c r="S17" s="265"/>
      <c r="T17" s="266"/>
      <c r="U17" s="275">
        <v>52</v>
      </c>
      <c r="V17" s="266">
        <v>110</v>
      </c>
      <c r="W17" s="266">
        <v>122.5</v>
      </c>
      <c r="X17" s="266">
        <v>-125</v>
      </c>
      <c r="Y17" s="266"/>
      <c r="Z17" s="266">
        <v>122.5</v>
      </c>
      <c r="AA17" s="263"/>
      <c r="AB17" s="263">
        <v>221.964</v>
      </c>
      <c r="AC17" s="263">
        <v>0</v>
      </c>
      <c r="AD17" s="263">
        <v>1</v>
      </c>
      <c r="AE17" s="267" t="s">
        <v>699</v>
      </c>
      <c r="AF17" s="268" t="s">
        <v>259</v>
      </c>
      <c r="AG17" s="263">
        <v>3</v>
      </c>
    </row>
    <row r="18" spans="2:37" ht="12.75" customHeight="1" x14ac:dyDescent="0.2">
      <c r="B18" s="262" t="s">
        <v>665</v>
      </c>
      <c r="C18" s="262"/>
      <c r="D18" s="269" t="s">
        <v>259</v>
      </c>
      <c r="E18" s="263">
        <v>82.5</v>
      </c>
      <c r="F18" s="263"/>
      <c r="G18" s="263"/>
      <c r="H18" s="263"/>
      <c r="I18" s="264"/>
      <c r="J18" s="263"/>
      <c r="K18" s="263"/>
      <c r="L18" s="263"/>
      <c r="M18" s="263"/>
      <c r="N18" s="263"/>
      <c r="O18" s="264"/>
      <c r="P18" s="265"/>
      <c r="Q18" s="265"/>
      <c r="R18" s="271"/>
      <c r="S18" s="265"/>
      <c r="T18" s="266"/>
      <c r="U18" s="275">
        <v>56</v>
      </c>
      <c r="V18" s="266">
        <v>107.5</v>
      </c>
      <c r="W18" s="266">
        <v>-115</v>
      </c>
      <c r="X18" s="266">
        <v>-115</v>
      </c>
      <c r="Y18" s="266"/>
      <c r="Z18" s="266">
        <v>107.5</v>
      </c>
      <c r="AA18" s="263"/>
      <c r="AB18" s="263">
        <v>185.39150000000001</v>
      </c>
      <c r="AC18" s="263">
        <v>0</v>
      </c>
      <c r="AD18" s="263">
        <v>1</v>
      </c>
      <c r="AE18" s="267" t="s">
        <v>700</v>
      </c>
      <c r="AF18" s="270" t="s">
        <v>259</v>
      </c>
      <c r="AG18" s="263">
        <v>3</v>
      </c>
    </row>
    <row r="19" spans="2:37" ht="12.75" customHeight="1" x14ac:dyDescent="0.2">
      <c r="B19" s="262" t="s">
        <v>662</v>
      </c>
      <c r="C19" s="262"/>
      <c r="D19" s="262" t="s">
        <v>259</v>
      </c>
      <c r="E19" s="263">
        <v>75</v>
      </c>
      <c r="F19" s="263"/>
      <c r="G19" s="263"/>
      <c r="H19" s="263"/>
      <c r="I19" s="264"/>
      <c r="J19" s="263"/>
      <c r="K19" s="263"/>
      <c r="L19" s="263"/>
      <c r="M19" s="263"/>
      <c r="N19" s="263"/>
      <c r="O19" s="264"/>
      <c r="P19" s="265"/>
      <c r="Q19" s="265"/>
      <c r="R19" s="276"/>
      <c r="S19" s="265"/>
      <c r="T19" s="266"/>
      <c r="U19" s="275">
        <v>60</v>
      </c>
      <c r="V19" s="266">
        <v>92.5</v>
      </c>
      <c r="W19" s="266">
        <v>97.5</v>
      </c>
      <c r="X19" s="266">
        <v>102.5</v>
      </c>
      <c r="Y19" s="266"/>
      <c r="Z19" s="266">
        <v>102.5</v>
      </c>
      <c r="AA19" s="263"/>
      <c r="AB19" s="263">
        <v>191.58750000000001</v>
      </c>
      <c r="AC19" s="263">
        <v>0</v>
      </c>
      <c r="AD19" s="263">
        <v>1</v>
      </c>
      <c r="AE19" s="267" t="s">
        <v>701</v>
      </c>
      <c r="AF19" s="268" t="s">
        <v>259</v>
      </c>
      <c r="AG19" s="263">
        <v>3</v>
      </c>
      <c r="AK19" s="241"/>
    </row>
    <row r="20" spans="2:37" ht="12.75" customHeight="1" x14ac:dyDescent="0.2">
      <c r="B20" s="262" t="s">
        <v>668</v>
      </c>
      <c r="C20" s="262"/>
      <c r="D20" s="262" t="s">
        <v>258</v>
      </c>
      <c r="E20" s="263">
        <v>67.5</v>
      </c>
      <c r="F20" s="263"/>
      <c r="G20" s="263"/>
      <c r="H20" s="263"/>
      <c r="I20" s="264"/>
      <c r="J20" s="263"/>
      <c r="K20" s="263"/>
      <c r="L20" s="263"/>
      <c r="M20" s="263"/>
      <c r="N20" s="263"/>
      <c r="O20" s="264"/>
      <c r="P20" s="265"/>
      <c r="Q20" s="265"/>
      <c r="R20" s="271"/>
      <c r="S20" s="265"/>
      <c r="T20" s="266"/>
      <c r="U20" s="275">
        <v>67.5</v>
      </c>
      <c r="V20" s="266">
        <v>97.5</v>
      </c>
      <c r="W20" s="266">
        <v>102.5</v>
      </c>
      <c r="X20" s="266">
        <v>105</v>
      </c>
      <c r="Y20" s="266"/>
      <c r="Z20" s="266">
        <v>105</v>
      </c>
      <c r="AA20" s="263"/>
      <c r="AB20" s="263">
        <v>207.88550000000001</v>
      </c>
      <c r="AC20" s="263">
        <v>0</v>
      </c>
      <c r="AD20" s="263">
        <v>1</v>
      </c>
      <c r="AE20" s="267" t="s">
        <v>694</v>
      </c>
      <c r="AF20" s="268" t="s">
        <v>258</v>
      </c>
      <c r="AG20" s="263">
        <v>3</v>
      </c>
    </row>
    <row r="21" spans="2:37" x14ac:dyDescent="0.2">
      <c r="B21" s="262" t="s">
        <v>690</v>
      </c>
      <c r="C21" s="262"/>
      <c r="D21" s="262" t="s">
        <v>258</v>
      </c>
      <c r="E21" s="263">
        <v>75</v>
      </c>
      <c r="F21" s="263"/>
      <c r="G21" s="263"/>
      <c r="H21" s="263"/>
      <c r="I21" s="264"/>
      <c r="J21" s="263"/>
      <c r="K21" s="263"/>
      <c r="L21" s="263"/>
      <c r="M21" s="263"/>
      <c r="N21" s="263"/>
      <c r="O21" s="264"/>
      <c r="P21" s="265"/>
      <c r="Q21" s="265"/>
      <c r="R21" s="271"/>
      <c r="S21" s="265"/>
      <c r="T21" s="266"/>
      <c r="U21" s="275">
        <v>75</v>
      </c>
      <c r="V21" s="266">
        <v>95</v>
      </c>
      <c r="W21" s="266">
        <v>-97.5</v>
      </c>
      <c r="X21" s="266">
        <v>97.5</v>
      </c>
      <c r="Y21" s="266"/>
      <c r="Z21" s="266">
        <v>97.5</v>
      </c>
      <c r="AA21" s="263"/>
      <c r="AB21" s="263">
        <v>180.084</v>
      </c>
      <c r="AC21" s="263">
        <v>0</v>
      </c>
      <c r="AD21" s="263">
        <v>1</v>
      </c>
      <c r="AE21" s="267" t="s">
        <v>695</v>
      </c>
      <c r="AF21" s="268" t="s">
        <v>258</v>
      </c>
      <c r="AG21" s="263">
        <v>3</v>
      </c>
    </row>
    <row r="22" spans="2:37" ht="12.75" customHeight="1" x14ac:dyDescent="0.2">
      <c r="B22" s="262" t="s">
        <v>667</v>
      </c>
      <c r="C22" s="262"/>
      <c r="D22" s="262" t="s">
        <v>258</v>
      </c>
      <c r="E22" s="263">
        <v>75</v>
      </c>
      <c r="F22" s="263"/>
      <c r="G22" s="263"/>
      <c r="H22" s="263"/>
      <c r="I22" s="264"/>
      <c r="J22" s="263"/>
      <c r="K22" s="263"/>
      <c r="L22" s="263"/>
      <c r="M22" s="263"/>
      <c r="N22" s="263"/>
      <c r="O22" s="264"/>
      <c r="P22" s="265"/>
      <c r="Q22" s="265"/>
      <c r="R22" s="271"/>
      <c r="S22" s="265"/>
      <c r="T22" s="266"/>
      <c r="U22" s="275">
        <v>82.5</v>
      </c>
      <c r="V22" s="266">
        <v>-115</v>
      </c>
      <c r="W22" s="266">
        <v>-115</v>
      </c>
      <c r="X22" s="266">
        <v>-115</v>
      </c>
      <c r="Y22" s="266"/>
      <c r="Z22" s="266">
        <v>0</v>
      </c>
      <c r="AA22" s="263"/>
      <c r="AB22" s="263">
        <v>0</v>
      </c>
      <c r="AC22" s="263">
        <v>0</v>
      </c>
      <c r="AD22" s="263">
        <v>1</v>
      </c>
      <c r="AE22" s="267" t="s">
        <v>702</v>
      </c>
      <c r="AF22" s="268" t="s">
        <v>258</v>
      </c>
      <c r="AG22" s="263">
        <v>0</v>
      </c>
      <c r="AK22" s="241"/>
    </row>
    <row r="23" spans="2:37" ht="12.75" customHeight="1" x14ac:dyDescent="0.2">
      <c r="B23" s="262" t="s">
        <v>669</v>
      </c>
      <c r="C23" s="262"/>
      <c r="D23" s="262" t="s">
        <v>211</v>
      </c>
      <c r="E23" s="263">
        <v>90</v>
      </c>
      <c r="F23" s="263"/>
      <c r="G23" s="263"/>
      <c r="H23" s="263"/>
      <c r="I23" s="264"/>
      <c r="J23" s="263"/>
      <c r="K23" s="263"/>
      <c r="L23" s="263"/>
      <c r="M23" s="263"/>
      <c r="N23" s="263"/>
      <c r="O23" s="264"/>
      <c r="P23" s="265"/>
      <c r="Q23" s="265"/>
      <c r="R23" s="271"/>
      <c r="S23" s="265"/>
      <c r="T23" s="266"/>
      <c r="U23" s="275">
        <v>90</v>
      </c>
      <c r="V23" s="266">
        <v>172.5</v>
      </c>
      <c r="W23" s="266">
        <v>185</v>
      </c>
      <c r="X23" s="266">
        <v>197.5</v>
      </c>
      <c r="Y23" s="266"/>
      <c r="Z23" s="266">
        <v>197.5</v>
      </c>
      <c r="AA23" s="263"/>
      <c r="AB23" s="263">
        <v>263.41800000000001</v>
      </c>
      <c r="AC23" s="263">
        <v>0</v>
      </c>
      <c r="AD23" s="263">
        <v>1</v>
      </c>
      <c r="AE23" s="267" t="s">
        <v>694</v>
      </c>
      <c r="AF23" s="268" t="s">
        <v>211</v>
      </c>
      <c r="AG23" s="263">
        <v>3</v>
      </c>
    </row>
    <row r="24" spans="2:37" ht="12.75" customHeight="1" x14ac:dyDescent="0.2">
      <c r="B24" s="262" t="s">
        <v>670</v>
      </c>
      <c r="C24" s="262"/>
      <c r="D24" s="262" t="s">
        <v>205</v>
      </c>
      <c r="E24" s="263">
        <v>60</v>
      </c>
      <c r="F24" s="263"/>
      <c r="G24" s="263"/>
      <c r="H24" s="263"/>
      <c r="I24" s="264"/>
      <c r="J24" s="263"/>
      <c r="K24" s="263"/>
      <c r="L24" s="263"/>
      <c r="M24" s="263"/>
      <c r="N24" s="263"/>
      <c r="O24" s="264"/>
      <c r="P24" s="265"/>
      <c r="Q24" s="265"/>
      <c r="R24" s="276"/>
      <c r="S24" s="265"/>
      <c r="T24" s="266"/>
      <c r="U24" s="275" t="s">
        <v>81</v>
      </c>
      <c r="V24" s="266">
        <v>200</v>
      </c>
      <c r="W24" s="266">
        <v>212.5</v>
      </c>
      <c r="X24" s="266">
        <v>-220</v>
      </c>
      <c r="Y24" s="266"/>
      <c r="Z24" s="266">
        <v>212.5</v>
      </c>
      <c r="AA24" s="263"/>
      <c r="AB24" s="263">
        <v>391.25099999999998</v>
      </c>
      <c r="AC24" s="263">
        <v>0</v>
      </c>
      <c r="AD24" s="263">
        <v>1</v>
      </c>
      <c r="AE24" s="267" t="s">
        <v>694</v>
      </c>
      <c r="AF24" s="268" t="s">
        <v>205</v>
      </c>
      <c r="AG24" s="263">
        <v>3</v>
      </c>
    </row>
    <row r="25" spans="2:37" ht="12.75" customHeight="1" x14ac:dyDescent="0.2">
      <c r="B25" s="262" t="s">
        <v>691</v>
      </c>
      <c r="C25" s="262"/>
      <c r="D25" s="262" t="s">
        <v>200</v>
      </c>
      <c r="E25" s="263">
        <v>110</v>
      </c>
      <c r="F25" s="263"/>
      <c r="G25" s="263"/>
      <c r="H25" s="263"/>
      <c r="I25" s="264"/>
      <c r="J25" s="263"/>
      <c r="K25" s="263"/>
      <c r="L25" s="263"/>
      <c r="M25" s="263"/>
      <c r="N25" s="263"/>
      <c r="O25" s="264"/>
      <c r="P25" s="265"/>
      <c r="Q25" s="265"/>
      <c r="R25" s="271"/>
      <c r="S25" s="265"/>
      <c r="T25" s="266"/>
      <c r="U25" s="277"/>
      <c r="V25" s="266">
        <v>272.5</v>
      </c>
      <c r="W25" s="266">
        <v>282.5</v>
      </c>
      <c r="X25" s="266">
        <v>295</v>
      </c>
      <c r="Y25" s="266"/>
      <c r="Z25" s="266">
        <v>295</v>
      </c>
      <c r="AA25" s="263"/>
      <c r="AB25" s="263">
        <v>366.27499999999998</v>
      </c>
      <c r="AC25" s="263">
        <v>0</v>
      </c>
      <c r="AD25" s="263">
        <v>1</v>
      </c>
      <c r="AE25" s="267" t="s">
        <v>694</v>
      </c>
      <c r="AF25" s="268" t="s">
        <v>200</v>
      </c>
      <c r="AG25" s="263">
        <v>3</v>
      </c>
    </row>
    <row r="26" spans="2:37" ht="12.75" customHeight="1" x14ac:dyDescent="0.2">
      <c r="B26" s="262" t="s">
        <v>671</v>
      </c>
      <c r="C26" s="262"/>
      <c r="D26" s="262" t="s">
        <v>199</v>
      </c>
      <c r="E26" s="263">
        <v>140</v>
      </c>
      <c r="F26" s="263"/>
      <c r="G26" s="263"/>
      <c r="H26" s="263"/>
      <c r="I26" s="264"/>
      <c r="J26" s="263"/>
      <c r="K26" s="263"/>
      <c r="L26" s="263"/>
      <c r="M26" s="263"/>
      <c r="N26" s="263"/>
      <c r="O26" s="264"/>
      <c r="P26" s="265"/>
      <c r="Q26" s="265"/>
      <c r="R26" s="271"/>
      <c r="S26" s="265"/>
      <c r="T26" s="266"/>
      <c r="U26" s="277"/>
      <c r="V26" s="266">
        <v>260</v>
      </c>
      <c r="W26" s="266">
        <v>272.5</v>
      </c>
      <c r="X26" s="266">
        <v>-280</v>
      </c>
      <c r="Y26" s="266"/>
      <c r="Z26" s="266">
        <v>272.5</v>
      </c>
      <c r="AA26" s="263"/>
      <c r="AB26" s="263">
        <v>318.81</v>
      </c>
      <c r="AC26" s="263">
        <v>0</v>
      </c>
      <c r="AD26" s="263">
        <v>1</v>
      </c>
      <c r="AE26" s="267" t="s">
        <v>694</v>
      </c>
      <c r="AF26" s="268" t="s">
        <v>199</v>
      </c>
      <c r="AG26" s="263">
        <v>3</v>
      </c>
    </row>
    <row r="27" spans="2:37" x14ac:dyDescent="0.2">
      <c r="B27" s="262" t="s">
        <v>672</v>
      </c>
      <c r="C27" s="262"/>
      <c r="D27" s="262" t="s">
        <v>181</v>
      </c>
      <c r="E27" s="263">
        <v>125</v>
      </c>
      <c r="F27" s="263"/>
      <c r="G27" s="263"/>
      <c r="H27" s="263"/>
      <c r="I27" s="264"/>
      <c r="J27" s="263"/>
      <c r="K27" s="263"/>
      <c r="L27" s="263"/>
      <c r="M27" s="263"/>
      <c r="N27" s="263"/>
      <c r="O27" s="264"/>
      <c r="P27" s="265"/>
      <c r="Q27" s="265"/>
      <c r="R27" s="271"/>
      <c r="S27" s="265"/>
      <c r="T27" s="266"/>
      <c r="U27" s="277"/>
      <c r="V27" s="266">
        <v>250</v>
      </c>
      <c r="W27" s="266">
        <v>272.5</v>
      </c>
      <c r="X27" s="266">
        <v>282.5</v>
      </c>
      <c r="Y27" s="266"/>
      <c r="Z27" s="266">
        <v>282.5</v>
      </c>
      <c r="AA27" s="263"/>
      <c r="AB27" s="263">
        <v>338.36500000000001</v>
      </c>
      <c r="AC27" s="263">
        <v>0</v>
      </c>
      <c r="AD27" s="263">
        <v>1</v>
      </c>
      <c r="AE27" s="267" t="s">
        <v>694</v>
      </c>
      <c r="AF27" s="268" t="s">
        <v>181</v>
      </c>
      <c r="AG27" s="263">
        <v>3</v>
      </c>
    </row>
    <row r="28" spans="2:37" ht="12.75" customHeight="1" x14ac:dyDescent="0.2">
      <c r="B28" s="262" t="s">
        <v>673</v>
      </c>
      <c r="C28" s="262"/>
      <c r="D28" s="262" t="s">
        <v>181</v>
      </c>
      <c r="E28" s="263">
        <v>82.5</v>
      </c>
      <c r="F28" s="263"/>
      <c r="G28" s="263"/>
      <c r="H28" s="263"/>
      <c r="I28" s="264"/>
      <c r="J28" s="263"/>
      <c r="K28" s="263"/>
      <c r="L28" s="263"/>
      <c r="M28" s="263"/>
      <c r="N28" s="263"/>
      <c r="O28" s="264"/>
      <c r="P28" s="265"/>
      <c r="Q28" s="265"/>
      <c r="R28" s="271"/>
      <c r="S28" s="265"/>
      <c r="T28" s="266"/>
      <c r="U28" s="277"/>
      <c r="V28" s="266">
        <v>132.5</v>
      </c>
      <c r="W28" s="266">
        <v>147.5</v>
      </c>
      <c r="X28" s="266">
        <v>157.5</v>
      </c>
      <c r="Y28" s="266"/>
      <c r="Z28" s="266">
        <v>157.5</v>
      </c>
      <c r="AA28" s="263"/>
      <c r="AB28" s="263">
        <v>223.09424999999999</v>
      </c>
      <c r="AC28" s="263">
        <v>0</v>
      </c>
      <c r="AD28" s="263">
        <v>1</v>
      </c>
      <c r="AE28" s="267" t="s">
        <v>695</v>
      </c>
      <c r="AF28" s="268" t="s">
        <v>181</v>
      </c>
      <c r="AG28" s="263">
        <v>3</v>
      </c>
      <c r="AK28" s="241"/>
    </row>
    <row r="29" spans="2:37" ht="12.75" customHeight="1" thickBot="1" x14ac:dyDescent="0.25">
      <c r="B29" s="262" t="s">
        <v>674</v>
      </c>
      <c r="C29" s="262"/>
      <c r="D29" s="262" t="s">
        <v>181</v>
      </c>
      <c r="E29" s="263">
        <v>82.5</v>
      </c>
      <c r="F29" s="263"/>
      <c r="G29" s="263"/>
      <c r="H29" s="263"/>
      <c r="I29" s="264"/>
      <c r="J29" s="263"/>
      <c r="K29" s="263"/>
      <c r="L29" s="263"/>
      <c r="M29" s="263"/>
      <c r="N29" s="263"/>
      <c r="O29" s="264"/>
      <c r="P29" s="265"/>
      <c r="Q29" s="265"/>
      <c r="R29" s="271"/>
      <c r="S29" s="265"/>
      <c r="T29" s="266"/>
      <c r="U29" s="278"/>
      <c r="V29" s="266">
        <v>132.5</v>
      </c>
      <c r="W29" s="266">
        <v>147.5</v>
      </c>
      <c r="X29" s="266">
        <v>155</v>
      </c>
      <c r="Y29" s="266"/>
      <c r="Z29" s="266">
        <v>155</v>
      </c>
      <c r="AA29" s="263"/>
      <c r="AB29" s="263">
        <v>219.86099999999999</v>
      </c>
      <c r="AC29" s="263">
        <v>0</v>
      </c>
      <c r="AD29" s="263">
        <v>1</v>
      </c>
      <c r="AE29" s="267" t="s">
        <v>696</v>
      </c>
      <c r="AF29" s="268" t="s">
        <v>181</v>
      </c>
      <c r="AG29" s="263">
        <v>3</v>
      </c>
    </row>
    <row r="30" spans="2:37" ht="12.75" customHeight="1" x14ac:dyDescent="0.2">
      <c r="B30" s="262" t="s">
        <v>675</v>
      </c>
      <c r="C30" s="262"/>
      <c r="D30" s="262" t="s">
        <v>169</v>
      </c>
      <c r="E30" s="263">
        <v>110</v>
      </c>
      <c r="F30" s="263"/>
      <c r="G30" s="263"/>
      <c r="H30" s="263"/>
      <c r="I30" s="264"/>
      <c r="J30" s="263"/>
      <c r="K30" s="263"/>
      <c r="L30" s="263"/>
      <c r="M30" s="263"/>
      <c r="N30" s="263"/>
      <c r="O30" s="264"/>
      <c r="P30" s="265"/>
      <c r="Q30" s="265"/>
      <c r="R30" s="265"/>
      <c r="S30" s="279"/>
      <c r="T30" s="280"/>
      <c r="U30" s="263"/>
      <c r="V30" s="266">
        <v>287.5</v>
      </c>
      <c r="W30" s="266">
        <v>300</v>
      </c>
      <c r="X30" s="266">
        <v>317.5</v>
      </c>
      <c r="Y30" s="266"/>
      <c r="Z30" s="266">
        <v>317.5</v>
      </c>
      <c r="AA30" s="263"/>
      <c r="AB30" s="263">
        <v>393.92500000000001</v>
      </c>
      <c r="AC30" s="263">
        <v>0</v>
      </c>
      <c r="AD30" s="263">
        <v>1</v>
      </c>
      <c r="AE30" s="267" t="s">
        <v>694</v>
      </c>
      <c r="AF30" s="268" t="s">
        <v>169</v>
      </c>
      <c r="AG30" s="263">
        <v>3</v>
      </c>
    </row>
    <row r="31" spans="2:37" ht="12.75" customHeight="1" x14ac:dyDescent="0.2">
      <c r="B31" s="262" t="s">
        <v>676</v>
      </c>
      <c r="C31" s="262"/>
      <c r="D31" s="262" t="s">
        <v>169</v>
      </c>
      <c r="E31" s="263">
        <v>125</v>
      </c>
      <c r="F31" s="263"/>
      <c r="G31" s="263"/>
      <c r="H31" s="263"/>
      <c r="I31" s="264"/>
      <c r="J31" s="263"/>
      <c r="K31" s="263"/>
      <c r="L31" s="263"/>
      <c r="M31" s="263"/>
      <c r="N31" s="263"/>
      <c r="O31" s="264"/>
      <c r="P31" s="265"/>
      <c r="Q31" s="265"/>
      <c r="R31" s="265"/>
      <c r="S31" s="265"/>
      <c r="T31" s="266"/>
      <c r="U31" s="263"/>
      <c r="V31" s="266">
        <v>262.5</v>
      </c>
      <c r="W31" s="266">
        <v>267.5</v>
      </c>
      <c r="X31" s="266">
        <v>272.5</v>
      </c>
      <c r="Y31" s="266"/>
      <c r="Z31" s="266">
        <v>272.5</v>
      </c>
      <c r="AA31" s="263"/>
      <c r="AB31" s="263">
        <v>327.45</v>
      </c>
      <c r="AC31" s="263">
        <v>0</v>
      </c>
      <c r="AD31" s="263">
        <v>1</v>
      </c>
      <c r="AE31" s="267" t="s">
        <v>695</v>
      </c>
      <c r="AF31" s="268" t="s">
        <v>169</v>
      </c>
      <c r="AG31" s="263">
        <v>3</v>
      </c>
    </row>
    <row r="32" spans="2:37" ht="12.75" customHeight="1" x14ac:dyDescent="0.2">
      <c r="B32" s="262" t="s">
        <v>678</v>
      </c>
      <c r="C32" s="262"/>
      <c r="D32" s="262" t="s">
        <v>169</v>
      </c>
      <c r="E32" s="263">
        <v>90</v>
      </c>
      <c r="F32" s="263"/>
      <c r="G32" s="263"/>
      <c r="H32" s="263"/>
      <c r="I32" s="264"/>
      <c r="J32" s="263"/>
      <c r="K32" s="263"/>
      <c r="L32" s="263"/>
      <c r="M32" s="263"/>
      <c r="N32" s="263"/>
      <c r="O32" s="264"/>
      <c r="P32" s="265"/>
      <c r="Q32" s="265"/>
      <c r="R32" s="265"/>
      <c r="S32" s="265"/>
      <c r="T32" s="266"/>
      <c r="U32" s="263"/>
      <c r="V32" s="266">
        <v>235</v>
      </c>
      <c r="W32" s="266">
        <v>257.5</v>
      </c>
      <c r="X32" s="266">
        <v>-272.5</v>
      </c>
      <c r="Y32" s="266"/>
      <c r="Z32" s="266">
        <v>257.5</v>
      </c>
      <c r="AA32" s="263"/>
      <c r="AB32" s="263">
        <v>346.11900000000003</v>
      </c>
      <c r="AC32" s="263">
        <v>0</v>
      </c>
      <c r="AD32" s="263">
        <v>1</v>
      </c>
      <c r="AE32" s="267" t="s">
        <v>696</v>
      </c>
      <c r="AF32" s="268" t="s">
        <v>169</v>
      </c>
      <c r="AG32" s="263">
        <v>3</v>
      </c>
    </row>
    <row r="33" spans="2:102" ht="12.75" customHeight="1" x14ac:dyDescent="0.2">
      <c r="B33" s="262" t="s">
        <v>679</v>
      </c>
      <c r="C33" s="262"/>
      <c r="D33" s="262" t="s">
        <v>169</v>
      </c>
      <c r="E33" s="263">
        <v>75</v>
      </c>
      <c r="F33" s="263"/>
      <c r="G33" s="263"/>
      <c r="H33" s="263"/>
      <c r="I33" s="264"/>
      <c r="J33" s="263"/>
      <c r="K33" s="263"/>
      <c r="L33" s="263"/>
      <c r="M33" s="263"/>
      <c r="N33" s="263"/>
      <c r="O33" s="264"/>
      <c r="P33" s="265"/>
      <c r="Q33" s="265"/>
      <c r="R33" s="265"/>
      <c r="S33" s="265"/>
      <c r="T33" s="266"/>
      <c r="U33" s="263"/>
      <c r="V33" s="266">
        <v>212.5</v>
      </c>
      <c r="W33" s="266">
        <v>222.5</v>
      </c>
      <c r="X33" s="266">
        <v>235</v>
      </c>
      <c r="Y33" s="266"/>
      <c r="Z33" s="266">
        <v>235</v>
      </c>
      <c r="AA33" s="263"/>
      <c r="AB33" s="263">
        <v>355.29849999999999</v>
      </c>
      <c r="AC33" s="263">
        <v>0</v>
      </c>
      <c r="AD33" s="263">
        <v>1</v>
      </c>
      <c r="AE33" s="267" t="s">
        <v>697</v>
      </c>
      <c r="AF33" s="268" t="s">
        <v>169</v>
      </c>
      <c r="AG33" s="263">
        <v>3</v>
      </c>
    </row>
    <row r="34" spans="2:102" ht="12.75" customHeight="1" x14ac:dyDescent="0.2">
      <c r="B34" s="262" t="s">
        <v>680</v>
      </c>
      <c r="C34" s="262"/>
      <c r="D34" s="262" t="s">
        <v>169</v>
      </c>
      <c r="E34" s="263">
        <v>75</v>
      </c>
      <c r="F34" s="263"/>
      <c r="G34" s="263"/>
      <c r="H34" s="263"/>
      <c r="I34" s="264"/>
      <c r="J34" s="263"/>
      <c r="K34" s="263"/>
      <c r="L34" s="263"/>
      <c r="M34" s="263"/>
      <c r="N34" s="263"/>
      <c r="O34" s="264"/>
      <c r="P34" s="265"/>
      <c r="Q34" s="265"/>
      <c r="R34" s="265"/>
      <c r="S34" s="265"/>
      <c r="T34" s="266"/>
      <c r="U34" s="263"/>
      <c r="V34" s="266">
        <v>175</v>
      </c>
      <c r="W34" s="266">
        <v>187.5</v>
      </c>
      <c r="X34" s="266">
        <v>197.5</v>
      </c>
      <c r="Y34" s="266"/>
      <c r="Z34" s="266">
        <v>197.5</v>
      </c>
      <c r="AA34" s="263"/>
      <c r="AB34" s="263">
        <v>296.65699999999998</v>
      </c>
      <c r="AC34" s="263">
        <v>0</v>
      </c>
      <c r="AD34" s="263">
        <v>1</v>
      </c>
      <c r="AE34" s="267" t="s">
        <v>698</v>
      </c>
      <c r="AF34" s="268" t="s">
        <v>169</v>
      </c>
      <c r="AG34" s="263">
        <v>3</v>
      </c>
    </row>
    <row r="35" spans="2:102" ht="12.75" customHeight="1" x14ac:dyDescent="0.2">
      <c r="B35" s="262" t="s">
        <v>681</v>
      </c>
      <c r="C35" s="262"/>
      <c r="D35" s="262" t="s">
        <v>169</v>
      </c>
      <c r="E35" s="263">
        <v>82.5</v>
      </c>
      <c r="F35" s="263"/>
      <c r="G35" s="263"/>
      <c r="H35" s="263"/>
      <c r="I35" s="264"/>
      <c r="J35" s="263"/>
      <c r="K35" s="263"/>
      <c r="L35" s="263"/>
      <c r="M35" s="263"/>
      <c r="N35" s="263"/>
      <c r="O35" s="264"/>
      <c r="P35" s="265"/>
      <c r="Q35" s="265"/>
      <c r="R35" s="265"/>
      <c r="S35" s="265"/>
      <c r="T35" s="266"/>
      <c r="U35" s="263"/>
      <c r="V35" s="266">
        <v>175</v>
      </c>
      <c r="W35" s="266">
        <v>190</v>
      </c>
      <c r="X35" s="266">
        <v>-200</v>
      </c>
      <c r="Y35" s="266"/>
      <c r="Z35" s="266">
        <v>190</v>
      </c>
      <c r="AA35" s="263"/>
      <c r="AB35" s="263">
        <v>282.42824999999999</v>
      </c>
      <c r="AC35" s="263">
        <v>0</v>
      </c>
      <c r="AD35" s="263">
        <v>1</v>
      </c>
      <c r="AE35" s="267" t="s">
        <v>699</v>
      </c>
      <c r="AF35" s="268" t="s">
        <v>169</v>
      </c>
      <c r="AG35" s="263">
        <v>3</v>
      </c>
    </row>
    <row r="36" spans="2:102" ht="12.75" customHeight="1" x14ac:dyDescent="0.2">
      <c r="B36" s="262" t="s">
        <v>693</v>
      </c>
      <c r="C36" s="262"/>
      <c r="D36" s="262" t="s">
        <v>169</v>
      </c>
      <c r="E36" s="263">
        <v>110</v>
      </c>
      <c r="F36" s="263"/>
      <c r="G36" s="263"/>
      <c r="H36" s="263"/>
      <c r="I36" s="264"/>
      <c r="J36" s="263"/>
      <c r="K36" s="263"/>
      <c r="L36" s="263"/>
      <c r="M36" s="263"/>
      <c r="N36" s="263"/>
      <c r="O36" s="264"/>
      <c r="P36" s="265"/>
      <c r="Q36" s="265"/>
      <c r="R36" s="265"/>
      <c r="S36" s="265"/>
      <c r="T36" s="266"/>
      <c r="U36" s="263"/>
      <c r="V36" s="266">
        <v>152.5</v>
      </c>
      <c r="W36" s="266">
        <v>167.5</v>
      </c>
      <c r="X36" s="266">
        <v>172.5</v>
      </c>
      <c r="Y36" s="266"/>
      <c r="Z36" s="266">
        <v>172.5</v>
      </c>
      <c r="AA36" s="263"/>
      <c r="AB36" s="263">
        <v>211</v>
      </c>
      <c r="AC36" s="263">
        <v>0</v>
      </c>
      <c r="AD36" s="263">
        <v>1</v>
      </c>
      <c r="AE36" s="267" t="s">
        <v>700</v>
      </c>
      <c r="AF36" s="268" t="s">
        <v>169</v>
      </c>
      <c r="AG36" s="263">
        <v>3</v>
      </c>
    </row>
    <row r="37" spans="2:102" ht="12.75" customHeight="1" x14ac:dyDescent="0.2">
      <c r="B37" s="262" t="s">
        <v>682</v>
      </c>
      <c r="C37" s="262"/>
      <c r="D37" s="262" t="s">
        <v>168</v>
      </c>
      <c r="E37" s="263">
        <v>140</v>
      </c>
      <c r="F37" s="263"/>
      <c r="G37" s="263"/>
      <c r="H37" s="263"/>
      <c r="I37" s="264"/>
      <c r="J37" s="263"/>
      <c r="K37" s="263"/>
      <c r="L37" s="263"/>
      <c r="M37" s="263"/>
      <c r="N37" s="263"/>
      <c r="O37" s="264"/>
      <c r="P37" s="265"/>
      <c r="Q37" s="265"/>
      <c r="R37" s="265"/>
      <c r="S37" s="265"/>
      <c r="T37" s="266"/>
      <c r="U37" s="263"/>
      <c r="V37" s="266">
        <v>217.5</v>
      </c>
      <c r="W37" s="266">
        <v>240</v>
      </c>
      <c r="X37" s="266">
        <v>262.5</v>
      </c>
      <c r="Y37" s="266"/>
      <c r="Z37" s="266">
        <v>262.5</v>
      </c>
      <c r="AA37" s="263"/>
      <c r="AB37" s="263">
        <v>305.52625</v>
      </c>
      <c r="AC37" s="263">
        <v>0</v>
      </c>
      <c r="AD37" s="263">
        <v>1</v>
      </c>
      <c r="AE37" s="267" t="s">
        <v>694</v>
      </c>
      <c r="AF37" s="268" t="s">
        <v>168</v>
      </c>
      <c r="AG37" s="263">
        <v>3</v>
      </c>
    </row>
    <row r="38" spans="2:102" ht="12.75" customHeight="1" x14ac:dyDescent="0.2">
      <c r="B38" s="262" t="s">
        <v>677</v>
      </c>
      <c r="C38" s="262"/>
      <c r="D38" s="262" t="s">
        <v>169</v>
      </c>
      <c r="E38" s="263">
        <v>75</v>
      </c>
      <c r="F38" s="263"/>
      <c r="G38" s="263"/>
      <c r="H38" s="263"/>
      <c r="I38" s="264"/>
      <c r="J38" s="263"/>
      <c r="K38" s="263"/>
      <c r="L38" s="263"/>
      <c r="M38" s="263"/>
      <c r="N38" s="263"/>
      <c r="O38" s="264"/>
      <c r="P38" s="265"/>
      <c r="Q38" s="265"/>
      <c r="R38" s="265"/>
      <c r="S38" s="265"/>
      <c r="T38" s="266"/>
      <c r="U38" s="263"/>
      <c r="V38" s="266">
        <v>225</v>
      </c>
      <c r="W38" s="266">
        <v>240</v>
      </c>
      <c r="X38" s="266">
        <v>245</v>
      </c>
      <c r="Y38" s="266"/>
      <c r="Z38" s="266">
        <v>245</v>
      </c>
      <c r="AA38" s="263"/>
      <c r="AB38" s="263">
        <v>372.54599999999999</v>
      </c>
      <c r="AC38" s="263">
        <v>0</v>
      </c>
      <c r="AD38" s="263">
        <v>1</v>
      </c>
      <c r="AE38" s="267" t="s">
        <v>695</v>
      </c>
      <c r="AF38" s="268" t="s">
        <v>169</v>
      </c>
      <c r="AG38" s="263">
        <v>3</v>
      </c>
    </row>
    <row r="39" spans="2:102" ht="12.75" customHeight="1" x14ac:dyDescent="0.2">
      <c r="B39" s="262" t="s">
        <v>683</v>
      </c>
      <c r="C39" s="262"/>
      <c r="D39" s="262" t="s">
        <v>168</v>
      </c>
      <c r="E39" s="263">
        <v>125</v>
      </c>
      <c r="F39" s="263"/>
      <c r="G39" s="263"/>
      <c r="H39" s="263"/>
      <c r="I39" s="264"/>
      <c r="J39" s="263"/>
      <c r="K39" s="263"/>
      <c r="L39" s="263"/>
      <c r="M39" s="263"/>
      <c r="N39" s="263"/>
      <c r="O39" s="264"/>
      <c r="P39" s="265"/>
      <c r="Q39" s="265"/>
      <c r="R39" s="265"/>
      <c r="S39" s="265"/>
      <c r="T39" s="266"/>
      <c r="U39" s="263"/>
      <c r="V39" s="266">
        <v>217.5</v>
      </c>
      <c r="W39" s="266">
        <v>237.5</v>
      </c>
      <c r="X39" s="266">
        <v>245</v>
      </c>
      <c r="Y39" s="266"/>
      <c r="Z39" s="266">
        <v>245</v>
      </c>
      <c r="AA39" s="263"/>
      <c r="AB39" s="263">
        <v>293.89499999999998</v>
      </c>
      <c r="AC39" s="263">
        <v>0</v>
      </c>
      <c r="AD39" s="263">
        <v>1</v>
      </c>
      <c r="AE39" s="267" t="s">
        <v>696</v>
      </c>
      <c r="AF39" s="268" t="s">
        <v>168</v>
      </c>
      <c r="AG39" s="263">
        <v>3</v>
      </c>
    </row>
    <row r="40" spans="2:102" ht="12.75" customHeight="1" x14ac:dyDescent="0.2">
      <c r="B40" s="259"/>
      <c r="C40" s="222"/>
      <c r="D40" s="242"/>
      <c r="O40" s="223"/>
      <c r="P40" s="261"/>
      <c r="Q40" s="261"/>
      <c r="R40" s="261"/>
      <c r="S40" s="261"/>
      <c r="T40" s="260"/>
    </row>
    <row r="41" spans="2:102" ht="12.75" customHeight="1" x14ac:dyDescent="0.2">
      <c r="B41" s="259"/>
      <c r="C41" s="222"/>
      <c r="D41" s="242"/>
      <c r="O41" s="223"/>
      <c r="P41" s="261"/>
      <c r="Q41" s="261"/>
      <c r="R41" s="261"/>
      <c r="S41" s="261"/>
      <c r="T41" s="260"/>
    </row>
    <row r="42" spans="2:102" ht="12.75" customHeight="1" x14ac:dyDescent="0.2">
      <c r="B42" s="259"/>
      <c r="C42" s="222"/>
      <c r="D42" s="242"/>
      <c r="O42" s="223"/>
      <c r="P42" s="261"/>
      <c r="Q42" s="261"/>
      <c r="R42" s="261"/>
      <c r="S42" s="261"/>
      <c r="T42" s="260"/>
    </row>
    <row r="43" spans="2:102" ht="12.75" customHeight="1" x14ac:dyDescent="0.2">
      <c r="B43" s="259"/>
      <c r="C43" s="222"/>
      <c r="D43" s="242"/>
      <c r="O43" s="223"/>
      <c r="P43" s="261"/>
      <c r="Q43" s="261"/>
      <c r="R43" s="261"/>
      <c r="S43" s="261"/>
      <c r="T43" s="260"/>
      <c r="CX43" s="237"/>
    </row>
    <row r="44" spans="2:102" ht="12.75" customHeight="1" x14ac:dyDescent="0.2">
      <c r="B44" s="259"/>
      <c r="C44" s="222"/>
      <c r="D44" s="242"/>
      <c r="O44" s="223"/>
      <c r="P44" s="261"/>
      <c r="Q44" s="261"/>
      <c r="R44" s="261"/>
      <c r="S44" s="261"/>
      <c r="T44" s="260"/>
      <c r="CX44" s="237"/>
    </row>
    <row r="45" spans="2:102" ht="12.75" customHeight="1" x14ac:dyDescent="0.2">
      <c r="B45" s="259"/>
      <c r="C45" s="222"/>
      <c r="D45" s="242"/>
      <c r="O45" s="223"/>
      <c r="P45" s="261"/>
      <c r="Q45" s="261"/>
      <c r="R45" s="261"/>
      <c r="S45" s="261"/>
      <c r="T45" s="260"/>
    </row>
    <row r="46" spans="2:102" x14ac:dyDescent="0.2">
      <c r="B46" s="259"/>
      <c r="C46" s="222"/>
      <c r="D46" s="242"/>
      <c r="O46" s="223"/>
      <c r="P46" s="261"/>
      <c r="Q46" s="261"/>
      <c r="R46" s="261"/>
      <c r="S46" s="261"/>
      <c r="T46" s="260"/>
    </row>
    <row r="47" spans="2:102" ht="12.75" customHeight="1" x14ac:dyDescent="0.2">
      <c r="B47" s="259"/>
      <c r="C47" s="222"/>
      <c r="D47" s="242"/>
      <c r="O47" s="223"/>
      <c r="P47" s="261"/>
      <c r="Q47" s="261"/>
      <c r="R47" s="261"/>
      <c r="S47" s="261"/>
      <c r="T47" s="260"/>
    </row>
    <row r="48" spans="2:102" ht="12.75" customHeight="1" x14ac:dyDescent="0.2">
      <c r="B48" s="259"/>
      <c r="C48" s="222"/>
      <c r="D48" s="242"/>
      <c r="O48" s="223"/>
      <c r="P48" s="261"/>
      <c r="Q48" s="261"/>
      <c r="R48" s="261"/>
      <c r="S48" s="261"/>
      <c r="T48" s="260"/>
    </row>
    <row r="49" spans="2:37" ht="12.75" customHeight="1" x14ac:dyDescent="0.2">
      <c r="B49" s="259"/>
      <c r="C49" s="222"/>
      <c r="D49" s="242"/>
      <c r="O49" s="223"/>
      <c r="P49" s="261"/>
      <c r="Q49" s="261"/>
      <c r="R49" s="261"/>
      <c r="S49" s="261"/>
      <c r="T49" s="260"/>
    </row>
    <row r="50" spans="2:37" ht="12.75" customHeight="1" x14ac:dyDescent="0.2">
      <c r="B50" s="259"/>
      <c r="C50" s="222"/>
      <c r="D50" s="242"/>
      <c r="O50" s="223"/>
      <c r="P50" s="261"/>
      <c r="Q50" s="261"/>
      <c r="R50" s="261"/>
      <c r="S50" s="261"/>
      <c r="T50" s="260"/>
    </row>
    <row r="51" spans="2:37" ht="12.75" customHeight="1" x14ac:dyDescent="0.2">
      <c r="B51" s="259"/>
      <c r="C51" s="222"/>
      <c r="D51" s="242"/>
      <c r="O51" s="223"/>
      <c r="P51" s="261"/>
      <c r="Q51" s="261"/>
      <c r="R51" s="261"/>
      <c r="S51" s="261"/>
      <c r="T51" s="260"/>
    </row>
    <row r="52" spans="2:37" ht="12.75" customHeight="1" x14ac:dyDescent="0.2">
      <c r="B52" s="259"/>
      <c r="C52" s="222"/>
      <c r="D52" s="242"/>
      <c r="O52" s="223"/>
      <c r="P52" s="261"/>
      <c r="Q52" s="261"/>
      <c r="R52" s="261"/>
      <c r="S52" s="261"/>
      <c r="T52" s="260"/>
    </row>
    <row r="53" spans="2:37" x14ac:dyDescent="0.2">
      <c r="B53" s="259"/>
      <c r="C53" s="222"/>
      <c r="D53" s="242"/>
      <c r="O53" s="223"/>
      <c r="P53" s="261"/>
      <c r="Q53" s="261"/>
      <c r="R53" s="261"/>
      <c r="S53" s="261"/>
      <c r="T53" s="260"/>
    </row>
    <row r="54" spans="2:37" ht="12.75" customHeight="1" x14ac:dyDescent="0.2">
      <c r="B54" s="259"/>
      <c r="C54" s="222"/>
      <c r="D54" s="242"/>
      <c r="O54" s="223"/>
      <c r="P54" s="261"/>
      <c r="Q54" s="261"/>
      <c r="R54" s="261"/>
      <c r="S54" s="261"/>
      <c r="T54" s="260"/>
    </row>
    <row r="55" spans="2:37" ht="12.75" customHeight="1" x14ac:dyDescent="0.2">
      <c r="B55" s="259"/>
      <c r="C55" s="222"/>
      <c r="D55" s="242"/>
      <c r="O55" s="223"/>
      <c r="T55" s="260"/>
    </row>
    <row r="56" spans="2:37" ht="12.75" customHeight="1" x14ac:dyDescent="0.2">
      <c r="B56" s="242"/>
      <c r="C56" s="222"/>
      <c r="D56" s="242"/>
      <c r="O56" s="223"/>
      <c r="AK56" s="241"/>
    </row>
    <row r="57" spans="2:37" ht="12.75" customHeight="1" x14ac:dyDescent="0.2">
      <c r="B57" s="242"/>
      <c r="C57" s="222"/>
      <c r="D57" s="242"/>
      <c r="O57" s="223"/>
    </row>
    <row r="58" spans="2:37" ht="12.75" customHeight="1" x14ac:dyDescent="0.2">
      <c r="B58" s="242"/>
      <c r="C58" s="222"/>
      <c r="D58" s="242"/>
      <c r="O58" s="223"/>
    </row>
    <row r="59" spans="2:37" ht="12.75" customHeight="1" x14ac:dyDescent="0.2">
      <c r="B59" s="242"/>
      <c r="C59" s="222"/>
      <c r="D59" s="242"/>
      <c r="O59" s="223"/>
    </row>
    <row r="60" spans="2:37" ht="12.75" customHeight="1" x14ac:dyDescent="0.2">
      <c r="B60" s="242"/>
      <c r="C60" s="222"/>
      <c r="D60" s="242"/>
      <c r="O60" s="223"/>
    </row>
    <row r="61" spans="2:37" ht="12.75" customHeight="1" x14ac:dyDescent="0.2">
      <c r="B61" s="242"/>
      <c r="C61" s="222"/>
      <c r="D61" s="242"/>
      <c r="O61" s="223"/>
    </row>
    <row r="62" spans="2:37" x14ac:dyDescent="0.2">
      <c r="B62" s="242"/>
      <c r="C62" s="222"/>
      <c r="D62" s="242"/>
      <c r="O62" s="223"/>
    </row>
    <row r="63" spans="2:37" ht="12.75" customHeight="1" x14ac:dyDescent="0.2">
      <c r="B63" s="242"/>
      <c r="C63" s="222"/>
      <c r="D63" s="242"/>
      <c r="O63" s="223"/>
    </row>
    <row r="64" spans="2:37" ht="12.75" customHeight="1" x14ac:dyDescent="0.2">
      <c r="B64" s="242"/>
      <c r="C64" s="222"/>
      <c r="D64" s="242"/>
      <c r="O64" s="223"/>
    </row>
    <row r="65" spans="2:102" ht="12.75" customHeight="1" x14ac:dyDescent="0.2">
      <c r="B65" s="242"/>
      <c r="C65" s="222"/>
      <c r="D65" s="242"/>
      <c r="O65" s="223"/>
    </row>
    <row r="66" spans="2:102" ht="12.75" customHeight="1" x14ac:dyDescent="0.2">
      <c r="B66" s="242"/>
      <c r="C66" s="222"/>
      <c r="D66" s="242"/>
      <c r="O66" s="223"/>
    </row>
    <row r="67" spans="2:102" x14ac:dyDescent="0.2">
      <c r="B67" s="242"/>
      <c r="C67" s="222"/>
      <c r="D67" s="242"/>
      <c r="O67" s="223"/>
    </row>
    <row r="68" spans="2:102" x14ac:dyDescent="0.2">
      <c r="B68" s="242"/>
      <c r="C68" s="222"/>
      <c r="D68" s="242"/>
      <c r="O68" s="223"/>
    </row>
    <row r="69" spans="2:102" x14ac:dyDescent="0.2">
      <c r="B69" s="242"/>
      <c r="C69" s="222"/>
      <c r="D69" s="242"/>
      <c r="O69" s="223"/>
    </row>
    <row r="70" spans="2:102" ht="12.75" customHeight="1" x14ac:dyDescent="0.2">
      <c r="B70" s="242"/>
      <c r="C70" s="222"/>
      <c r="D70" s="242"/>
      <c r="O70" s="223"/>
    </row>
    <row r="71" spans="2:102" ht="12.75" customHeight="1" x14ac:dyDescent="0.2">
      <c r="B71" s="242"/>
      <c r="C71" s="222"/>
      <c r="D71" s="242"/>
      <c r="O71" s="223"/>
    </row>
    <row r="72" spans="2:102" ht="12.75" customHeight="1" x14ac:dyDescent="0.2">
      <c r="B72" s="242"/>
      <c r="C72" s="222"/>
      <c r="D72" s="242"/>
      <c r="O72" s="223"/>
    </row>
    <row r="73" spans="2:102" ht="12.75" customHeight="1" x14ac:dyDescent="0.2">
      <c r="B73" s="242"/>
      <c r="C73" s="222"/>
      <c r="D73" s="242"/>
      <c r="O73" s="223"/>
    </row>
    <row r="74" spans="2:102" ht="15" customHeight="1" x14ac:dyDescent="0.2">
      <c r="B74" s="242"/>
      <c r="C74" s="222"/>
      <c r="D74" s="242"/>
      <c r="O74" s="223"/>
    </row>
    <row r="75" spans="2:102" ht="12.75" customHeight="1" x14ac:dyDescent="0.2">
      <c r="B75" s="242"/>
      <c r="C75" s="222"/>
      <c r="D75" s="242"/>
      <c r="O75" s="223"/>
      <c r="CX75" s="237"/>
    </row>
    <row r="76" spans="2:102" ht="15" customHeight="1" x14ac:dyDescent="0.2">
      <c r="B76" s="242"/>
      <c r="C76" s="222"/>
      <c r="D76" s="242"/>
      <c r="O76" s="223"/>
    </row>
    <row r="77" spans="2:102" ht="15" customHeight="1" x14ac:dyDescent="0.2">
      <c r="B77" s="242"/>
      <c r="C77" s="222"/>
      <c r="D77" s="242"/>
      <c r="O77" s="223"/>
    </row>
    <row r="78" spans="2:102" ht="12.75" customHeight="1" x14ac:dyDescent="0.2">
      <c r="B78" s="242"/>
      <c r="C78" s="222"/>
      <c r="D78" s="242"/>
      <c r="O78" s="223"/>
    </row>
    <row r="79" spans="2:102" ht="12.75" customHeight="1" x14ac:dyDescent="0.2">
      <c r="B79" s="242"/>
      <c r="C79" s="222"/>
      <c r="D79" s="242"/>
      <c r="O79" s="223"/>
    </row>
    <row r="80" spans="2:102" ht="12.75" customHeight="1" x14ac:dyDescent="0.2">
      <c r="B80" s="242"/>
      <c r="C80" s="222"/>
      <c r="D80" s="242"/>
      <c r="O80" s="223"/>
    </row>
    <row r="81" spans="2:15" ht="12.75" customHeight="1" x14ac:dyDescent="0.2">
      <c r="B81" s="242"/>
      <c r="C81" s="222"/>
      <c r="D81" s="242"/>
      <c r="O81" s="223"/>
    </row>
    <row r="82" spans="2:15" x14ac:dyDescent="0.2">
      <c r="B82" s="242"/>
      <c r="C82" s="222"/>
      <c r="D82" s="242"/>
      <c r="O82" s="223"/>
    </row>
    <row r="83" spans="2:15" x14ac:dyDescent="0.2">
      <c r="B83" s="242"/>
      <c r="C83" s="222"/>
      <c r="D83" s="242"/>
      <c r="O83" s="223"/>
    </row>
    <row r="84" spans="2:15" ht="12.75" customHeight="1" x14ac:dyDescent="0.2">
      <c r="B84" s="242"/>
      <c r="C84" s="222"/>
      <c r="D84" s="242"/>
      <c r="O84" s="223"/>
    </row>
    <row r="85" spans="2:15" ht="12.75" customHeight="1" x14ac:dyDescent="0.2">
      <c r="B85" s="242"/>
      <c r="C85" s="222"/>
      <c r="D85" s="242"/>
      <c r="O85" s="223"/>
    </row>
    <row r="86" spans="2:15" x14ac:dyDescent="0.2">
      <c r="B86" s="242"/>
      <c r="C86" s="222"/>
      <c r="D86" s="242"/>
      <c r="O86" s="223"/>
    </row>
    <row r="87" spans="2:15" x14ac:dyDescent="0.2">
      <c r="B87" s="242"/>
      <c r="C87" s="222"/>
      <c r="D87" s="242"/>
      <c r="O87" s="223"/>
    </row>
    <row r="88" spans="2:15" x14ac:dyDescent="0.2">
      <c r="B88" s="242"/>
      <c r="C88" s="222"/>
      <c r="D88" s="242"/>
      <c r="O88" s="223"/>
    </row>
    <row r="89" spans="2:15" x14ac:dyDescent="0.2">
      <c r="B89" s="242"/>
      <c r="C89" s="222"/>
      <c r="D89" s="242"/>
      <c r="O89" s="223"/>
    </row>
    <row r="90" spans="2:15" x14ac:dyDescent="0.2">
      <c r="B90" s="242"/>
      <c r="C90" s="222"/>
      <c r="D90" s="242"/>
      <c r="O90" s="223"/>
    </row>
    <row r="91" spans="2:15" x14ac:dyDescent="0.2">
      <c r="B91" s="242"/>
      <c r="C91" s="222"/>
      <c r="D91" s="242"/>
      <c r="O91" s="223"/>
    </row>
    <row r="92" spans="2:15" x14ac:dyDescent="0.2">
      <c r="B92" s="242"/>
      <c r="C92" s="222"/>
      <c r="D92" s="242"/>
      <c r="O92" s="223"/>
    </row>
    <row r="93" spans="2:15" x14ac:dyDescent="0.2">
      <c r="B93" s="242"/>
      <c r="C93" s="222"/>
      <c r="D93" s="242"/>
      <c r="O93" s="223"/>
    </row>
    <row r="94" spans="2:15" x14ac:dyDescent="0.2">
      <c r="B94" s="242"/>
      <c r="C94" s="222"/>
      <c r="D94" s="242"/>
      <c r="O94" s="223"/>
    </row>
    <row r="95" spans="2:15" x14ac:dyDescent="0.2">
      <c r="B95" s="242"/>
      <c r="C95" s="222"/>
      <c r="D95" s="242"/>
      <c r="O95" s="223"/>
    </row>
    <row r="96" spans="2:15" x14ac:dyDescent="0.2">
      <c r="B96" s="242"/>
      <c r="C96" s="222"/>
      <c r="D96" s="242"/>
      <c r="O96" s="223"/>
    </row>
    <row r="97" spans="2:15" x14ac:dyDescent="0.2">
      <c r="B97" s="242"/>
      <c r="C97" s="222"/>
      <c r="D97" s="242"/>
      <c r="O97" s="223"/>
    </row>
    <row r="98" spans="2:15" x14ac:dyDescent="0.2">
      <c r="B98" s="242"/>
      <c r="C98" s="222"/>
      <c r="D98" s="242"/>
      <c r="O98" s="223"/>
    </row>
    <row r="99" spans="2:15" x14ac:dyDescent="0.2">
      <c r="B99" s="242"/>
      <c r="C99" s="222"/>
      <c r="D99" s="242"/>
      <c r="O99" s="223"/>
    </row>
    <row r="100" spans="2:15" x14ac:dyDescent="0.2">
      <c r="B100" s="242"/>
      <c r="C100" s="222"/>
      <c r="D100" s="242"/>
      <c r="O100" s="223"/>
    </row>
    <row r="101" spans="2:15" x14ac:dyDescent="0.2">
      <c r="B101" s="242"/>
      <c r="C101" s="222"/>
      <c r="D101" s="242"/>
      <c r="O101" s="223"/>
    </row>
    <row r="102" spans="2:15" x14ac:dyDescent="0.2">
      <c r="B102" s="242"/>
      <c r="C102" s="222"/>
      <c r="D102" s="242"/>
      <c r="O102" s="223"/>
    </row>
    <row r="103" spans="2:15" x14ac:dyDescent="0.2">
      <c r="B103" s="242"/>
      <c r="C103" s="222"/>
      <c r="D103" s="242"/>
      <c r="O103" s="223"/>
    </row>
    <row r="104" spans="2:15" x14ac:dyDescent="0.2">
      <c r="B104" s="242"/>
      <c r="C104" s="222"/>
      <c r="D104" s="242"/>
      <c r="O104" s="223"/>
    </row>
    <row r="105" spans="2:15" x14ac:dyDescent="0.2">
      <c r="B105" s="242"/>
      <c r="C105" s="222"/>
      <c r="D105" s="242"/>
      <c r="O105" s="223"/>
    </row>
    <row r="106" spans="2:15" x14ac:dyDescent="0.2">
      <c r="B106" s="242"/>
      <c r="C106" s="222"/>
      <c r="D106" s="242"/>
      <c r="O106" s="223"/>
    </row>
    <row r="107" spans="2:15" x14ac:dyDescent="0.2">
      <c r="B107" s="242"/>
      <c r="C107" s="222"/>
      <c r="D107" s="242"/>
      <c r="O107" s="223"/>
    </row>
    <row r="108" spans="2:15" x14ac:dyDescent="0.2">
      <c r="B108" s="242"/>
      <c r="C108" s="222"/>
      <c r="D108" s="242"/>
      <c r="O108" s="223"/>
    </row>
    <row r="109" spans="2:15" x14ac:dyDescent="0.2">
      <c r="B109" s="242"/>
      <c r="C109" s="222"/>
      <c r="D109" s="242"/>
      <c r="O109" s="223"/>
    </row>
    <row r="110" spans="2:15" x14ac:dyDescent="0.2">
      <c r="B110" s="242"/>
      <c r="C110" s="222"/>
      <c r="D110" s="242"/>
      <c r="O110" s="223"/>
    </row>
    <row r="111" spans="2:15" x14ac:dyDescent="0.2">
      <c r="B111" s="242"/>
      <c r="C111" s="222"/>
      <c r="D111" s="242"/>
      <c r="O111" s="223"/>
    </row>
    <row r="112" spans="2:15" x14ac:dyDescent="0.2">
      <c r="B112" s="242"/>
      <c r="C112" s="222"/>
      <c r="D112" s="242"/>
      <c r="O112" s="223"/>
    </row>
    <row r="113" spans="2:15" x14ac:dyDescent="0.2">
      <c r="B113" s="242"/>
      <c r="C113" s="222"/>
      <c r="D113" s="242"/>
      <c r="O113" s="223"/>
    </row>
    <row r="114" spans="2:15" x14ac:dyDescent="0.2">
      <c r="B114" s="242"/>
      <c r="C114" s="222"/>
      <c r="D114" s="242"/>
      <c r="O114" s="223"/>
    </row>
    <row r="115" spans="2:15" x14ac:dyDescent="0.2">
      <c r="B115" s="242"/>
      <c r="C115" s="222"/>
      <c r="D115" s="242"/>
      <c r="O115" s="223"/>
    </row>
    <row r="116" spans="2:15" x14ac:dyDescent="0.2">
      <c r="B116" s="242"/>
      <c r="C116" s="222"/>
      <c r="D116" s="242"/>
      <c r="O116" s="223"/>
    </row>
    <row r="117" spans="2:15" x14ac:dyDescent="0.2">
      <c r="B117" s="242"/>
      <c r="C117" s="222"/>
      <c r="D117" s="242"/>
      <c r="O117" s="223"/>
    </row>
    <row r="118" spans="2:15" x14ac:dyDescent="0.2">
      <c r="B118" s="242"/>
      <c r="C118" s="222"/>
      <c r="D118" s="242"/>
      <c r="O118" s="223"/>
    </row>
    <row r="119" spans="2:15" x14ac:dyDescent="0.2">
      <c r="B119" s="242"/>
      <c r="C119" s="222"/>
      <c r="D119" s="242"/>
      <c r="O119" s="223"/>
    </row>
    <row r="120" spans="2:15" x14ac:dyDescent="0.2">
      <c r="B120" s="242"/>
      <c r="C120" s="222"/>
      <c r="D120" s="242"/>
      <c r="O120" s="223"/>
    </row>
    <row r="121" spans="2:15" x14ac:dyDescent="0.2">
      <c r="B121" s="242"/>
      <c r="C121" s="222"/>
      <c r="D121" s="242"/>
      <c r="O121" s="223"/>
    </row>
    <row r="122" spans="2:15" x14ac:dyDescent="0.2">
      <c r="B122" s="242"/>
      <c r="C122" s="222"/>
      <c r="D122" s="242"/>
      <c r="O122" s="223"/>
    </row>
    <row r="123" spans="2:15" x14ac:dyDescent="0.2">
      <c r="B123" s="242"/>
      <c r="C123" s="222"/>
      <c r="D123" s="242"/>
      <c r="O123" s="223"/>
    </row>
    <row r="124" spans="2:15" x14ac:dyDescent="0.2">
      <c r="B124" s="242"/>
      <c r="C124" s="222"/>
      <c r="D124" s="242"/>
      <c r="O124" s="223"/>
    </row>
    <row r="125" spans="2:15" x14ac:dyDescent="0.2">
      <c r="B125" s="242"/>
      <c r="C125" s="222"/>
      <c r="D125" s="242"/>
      <c r="O125" s="223"/>
    </row>
    <row r="126" spans="2:15" x14ac:dyDescent="0.2">
      <c r="B126" s="242"/>
      <c r="C126" s="222"/>
      <c r="D126" s="242"/>
      <c r="O126" s="223"/>
    </row>
    <row r="127" spans="2:15" x14ac:dyDescent="0.2">
      <c r="B127" s="242"/>
      <c r="C127" s="222"/>
      <c r="D127" s="242"/>
      <c r="O127" s="223"/>
    </row>
    <row r="128" spans="2:15" x14ac:dyDescent="0.2">
      <c r="B128" s="242"/>
      <c r="C128" s="222"/>
      <c r="D128" s="242"/>
      <c r="O128" s="223"/>
    </row>
    <row r="129" spans="2:15" x14ac:dyDescent="0.2">
      <c r="B129" s="242"/>
      <c r="C129" s="222"/>
      <c r="D129" s="242"/>
      <c r="O129" s="223"/>
    </row>
    <row r="130" spans="2:15" x14ac:dyDescent="0.2">
      <c r="B130" s="242"/>
      <c r="C130" s="222"/>
      <c r="D130" s="242"/>
      <c r="O130" s="223"/>
    </row>
    <row r="131" spans="2:15" x14ac:dyDescent="0.2">
      <c r="B131" s="242"/>
      <c r="C131" s="222"/>
      <c r="D131" s="242"/>
      <c r="O131" s="223"/>
    </row>
    <row r="132" spans="2:15" x14ac:dyDescent="0.2">
      <c r="B132" s="242"/>
      <c r="C132" s="222"/>
      <c r="D132" s="242"/>
      <c r="O132" s="223"/>
    </row>
    <row r="133" spans="2:15" x14ac:dyDescent="0.2">
      <c r="B133" s="242"/>
      <c r="C133" s="222"/>
      <c r="D133" s="242"/>
      <c r="O133" s="223"/>
    </row>
    <row r="134" spans="2:15" x14ac:dyDescent="0.2">
      <c r="B134" s="242"/>
      <c r="C134" s="222"/>
      <c r="D134" s="242"/>
      <c r="O134" s="223"/>
    </row>
    <row r="135" spans="2:15" x14ac:dyDescent="0.2">
      <c r="B135" s="242"/>
      <c r="C135" s="222"/>
      <c r="D135" s="242"/>
      <c r="O135" s="223"/>
    </row>
    <row r="136" spans="2:15" x14ac:dyDescent="0.2">
      <c r="B136" s="242"/>
      <c r="C136" s="222"/>
      <c r="D136" s="242"/>
      <c r="O136" s="223"/>
    </row>
    <row r="137" spans="2:15" x14ac:dyDescent="0.2">
      <c r="B137" s="242"/>
      <c r="C137" s="222"/>
      <c r="D137" s="242"/>
      <c r="O137" s="223"/>
    </row>
    <row r="138" spans="2:15" x14ac:dyDescent="0.2">
      <c r="B138" s="242"/>
      <c r="C138" s="222"/>
      <c r="D138" s="242"/>
      <c r="O138" s="223"/>
    </row>
    <row r="139" spans="2:15" x14ac:dyDescent="0.2">
      <c r="B139" s="242"/>
      <c r="C139" s="222"/>
      <c r="D139" s="242"/>
      <c r="O139" s="223"/>
    </row>
    <row r="140" spans="2:15" x14ac:dyDescent="0.2">
      <c r="B140" s="242"/>
      <c r="C140" s="222"/>
      <c r="D140" s="242"/>
      <c r="O140" s="223"/>
    </row>
    <row r="141" spans="2:15" x14ac:dyDescent="0.2">
      <c r="B141" s="242"/>
      <c r="C141" s="222"/>
      <c r="D141" s="242"/>
      <c r="O141" s="223"/>
    </row>
    <row r="142" spans="2:15" x14ac:dyDescent="0.2">
      <c r="B142" s="242"/>
      <c r="C142" s="222"/>
      <c r="D142" s="242"/>
      <c r="O142" s="223"/>
    </row>
    <row r="143" spans="2:15" x14ac:dyDescent="0.2">
      <c r="B143" s="242"/>
      <c r="C143" s="222"/>
      <c r="D143" s="242"/>
      <c r="O143" s="223"/>
    </row>
    <row r="144" spans="2:15" x14ac:dyDescent="0.2">
      <c r="B144" s="242"/>
      <c r="C144" s="222"/>
      <c r="D144" s="242"/>
      <c r="O144" s="223"/>
    </row>
    <row r="145" spans="2:15" x14ac:dyDescent="0.2">
      <c r="B145" s="242"/>
      <c r="C145" s="222"/>
      <c r="D145" s="242"/>
      <c r="O145" s="223"/>
    </row>
    <row r="146" spans="2:15" x14ac:dyDescent="0.2">
      <c r="B146" s="242"/>
      <c r="C146" s="222"/>
      <c r="D146" s="242"/>
      <c r="O146" s="223"/>
    </row>
    <row r="147" spans="2:15" x14ac:dyDescent="0.2">
      <c r="B147" s="242"/>
      <c r="C147" s="222"/>
      <c r="D147" s="242"/>
      <c r="O147" s="223"/>
    </row>
    <row r="148" spans="2:15" x14ac:dyDescent="0.2">
      <c r="B148" s="242"/>
      <c r="C148" s="222"/>
      <c r="D148" s="242"/>
      <c r="O148" s="223"/>
    </row>
    <row r="149" spans="2:15" x14ac:dyDescent="0.2">
      <c r="B149" s="242"/>
      <c r="C149" s="222"/>
      <c r="D149" s="242"/>
      <c r="O149" s="223"/>
    </row>
    <row r="150" spans="2:15" x14ac:dyDescent="0.2">
      <c r="B150" s="242"/>
      <c r="C150" s="222"/>
      <c r="D150" s="242"/>
      <c r="O150" s="223"/>
    </row>
    <row r="151" spans="2:15" x14ac:dyDescent="0.2">
      <c r="B151" s="242"/>
      <c r="C151" s="222"/>
      <c r="D151" s="242"/>
      <c r="O151" s="223"/>
    </row>
    <row r="152" spans="2:15" x14ac:dyDescent="0.2">
      <c r="B152" s="242"/>
      <c r="C152" s="222"/>
      <c r="D152" s="242"/>
      <c r="O152" s="223"/>
    </row>
    <row r="153" spans="2:15" x14ac:dyDescent="0.2">
      <c r="B153" s="242"/>
      <c r="C153" s="222"/>
      <c r="D153" s="242"/>
      <c r="O153" s="223"/>
    </row>
    <row r="154" spans="2:15" x14ac:dyDescent="0.2">
      <c r="B154" s="242"/>
      <c r="C154" s="222"/>
      <c r="D154" s="242"/>
      <c r="O154" s="223"/>
    </row>
    <row r="155" spans="2:15" x14ac:dyDescent="0.2">
      <c r="B155" s="242"/>
      <c r="C155" s="222"/>
      <c r="D155" s="242"/>
      <c r="O155" s="223"/>
    </row>
    <row r="156" spans="2:15" x14ac:dyDescent="0.2">
      <c r="B156" s="242"/>
      <c r="C156" s="222"/>
      <c r="D156" s="242"/>
      <c r="O156" s="223"/>
    </row>
    <row r="157" spans="2:15" x14ac:dyDescent="0.2">
      <c r="B157" s="242"/>
      <c r="C157" s="222"/>
      <c r="D157" s="242"/>
      <c r="O157" s="223"/>
    </row>
    <row r="158" spans="2:15" x14ac:dyDescent="0.2">
      <c r="B158" s="242"/>
      <c r="C158" s="222"/>
      <c r="D158" s="242"/>
      <c r="O158" s="223"/>
    </row>
    <row r="159" spans="2:15" x14ac:dyDescent="0.2">
      <c r="B159" s="242"/>
      <c r="C159" s="222"/>
      <c r="D159" s="242"/>
      <c r="O159" s="223"/>
    </row>
    <row r="160" spans="2:15" x14ac:dyDescent="0.2">
      <c r="B160" s="242"/>
      <c r="C160" s="222"/>
      <c r="D160" s="242"/>
      <c r="O160" s="223"/>
    </row>
    <row r="161" spans="2:15" x14ac:dyDescent="0.2">
      <c r="B161" s="242"/>
      <c r="C161" s="222"/>
      <c r="D161" s="242"/>
      <c r="O161" s="223"/>
    </row>
    <row r="162" spans="2:15" x14ac:dyDescent="0.2">
      <c r="B162" s="242"/>
      <c r="C162" s="222"/>
      <c r="D162" s="242"/>
      <c r="O162" s="223"/>
    </row>
    <row r="163" spans="2:15" x14ac:dyDescent="0.2">
      <c r="B163" s="242"/>
      <c r="C163" s="222"/>
      <c r="D163" s="242"/>
      <c r="O163" s="223"/>
    </row>
    <row r="164" spans="2:15" x14ac:dyDescent="0.2">
      <c r="B164" s="242"/>
      <c r="C164" s="222"/>
      <c r="D164" s="242"/>
      <c r="O164" s="223"/>
    </row>
    <row r="165" spans="2:15" x14ac:dyDescent="0.2">
      <c r="B165" s="242"/>
      <c r="C165" s="222"/>
      <c r="D165" s="242"/>
      <c r="O165" s="223"/>
    </row>
    <row r="166" spans="2:15" x14ac:dyDescent="0.2">
      <c r="B166" s="242"/>
      <c r="C166" s="222"/>
      <c r="D166" s="242"/>
      <c r="O166" s="223"/>
    </row>
    <row r="167" spans="2:15" x14ac:dyDescent="0.2">
      <c r="B167" s="242"/>
      <c r="C167" s="222"/>
      <c r="D167" s="242"/>
      <c r="O167" s="223"/>
    </row>
    <row r="168" spans="2:15" x14ac:dyDescent="0.2">
      <c r="B168" s="242"/>
      <c r="C168" s="222"/>
      <c r="D168" s="242"/>
      <c r="O168" s="223"/>
    </row>
    <row r="169" spans="2:15" x14ac:dyDescent="0.2">
      <c r="B169" s="242"/>
      <c r="C169" s="222"/>
      <c r="D169" s="242"/>
      <c r="O169" s="223"/>
    </row>
    <row r="170" spans="2:15" x14ac:dyDescent="0.2">
      <c r="B170" s="242"/>
      <c r="C170" s="222"/>
      <c r="D170" s="242"/>
      <c r="O170" s="223"/>
    </row>
    <row r="171" spans="2:15" x14ac:dyDescent="0.2">
      <c r="B171" s="242"/>
      <c r="C171" s="222"/>
      <c r="D171" s="242"/>
      <c r="O171" s="223"/>
    </row>
    <row r="172" spans="2:15" x14ac:dyDescent="0.2">
      <c r="B172" s="242"/>
      <c r="C172" s="222"/>
      <c r="D172" s="242"/>
      <c r="O172" s="223"/>
    </row>
    <row r="173" spans="2:15" x14ac:dyDescent="0.2">
      <c r="B173" s="242"/>
      <c r="C173" s="222"/>
      <c r="D173" s="242"/>
      <c r="O173" s="223"/>
    </row>
    <row r="174" spans="2:15" x14ac:dyDescent="0.2">
      <c r="B174" s="242"/>
      <c r="C174" s="222"/>
      <c r="D174" s="242"/>
      <c r="O174" s="223"/>
    </row>
    <row r="175" spans="2:15" x14ac:dyDescent="0.2">
      <c r="B175" s="242"/>
      <c r="C175" s="222"/>
      <c r="D175" s="242"/>
      <c r="O175" s="223"/>
    </row>
    <row r="176" spans="2:15" x14ac:dyDescent="0.2">
      <c r="B176" s="242"/>
      <c r="C176" s="222"/>
      <c r="D176" s="242"/>
      <c r="O176" s="223"/>
    </row>
    <row r="177" spans="2:15" x14ac:dyDescent="0.2">
      <c r="B177" s="242"/>
      <c r="C177" s="222"/>
      <c r="D177" s="242"/>
      <c r="O177" s="223"/>
    </row>
    <row r="178" spans="2:15" x14ac:dyDescent="0.2">
      <c r="B178" s="242"/>
      <c r="C178" s="222"/>
      <c r="D178" s="242"/>
      <c r="O178" s="223"/>
    </row>
    <row r="179" spans="2:15" x14ac:dyDescent="0.2">
      <c r="B179" s="242"/>
      <c r="C179" s="222"/>
      <c r="D179" s="242"/>
      <c r="O179" s="223"/>
    </row>
    <row r="180" spans="2:15" x14ac:dyDescent="0.2">
      <c r="B180" s="242"/>
      <c r="C180" s="222"/>
      <c r="D180" s="242"/>
      <c r="O180" s="223"/>
    </row>
    <row r="181" spans="2:15" x14ac:dyDescent="0.2">
      <c r="B181" s="242"/>
      <c r="C181" s="222"/>
      <c r="D181" s="242"/>
      <c r="O181" s="223"/>
    </row>
    <row r="182" spans="2:15" x14ac:dyDescent="0.2">
      <c r="B182" s="242"/>
      <c r="C182" s="222"/>
      <c r="D182" s="242"/>
      <c r="O182" s="223"/>
    </row>
    <row r="183" spans="2:15" x14ac:dyDescent="0.2">
      <c r="B183" s="242"/>
      <c r="C183" s="222"/>
      <c r="D183" s="242"/>
      <c r="O183" s="223"/>
    </row>
    <row r="184" spans="2:15" x14ac:dyDescent="0.2">
      <c r="B184" s="242"/>
      <c r="C184" s="222"/>
      <c r="D184" s="242"/>
      <c r="O184" s="223"/>
    </row>
    <row r="185" spans="2:15" x14ac:dyDescent="0.2">
      <c r="B185" s="242"/>
      <c r="C185" s="222"/>
      <c r="D185" s="242"/>
      <c r="O185" s="223"/>
    </row>
    <row r="186" spans="2:15" x14ac:dyDescent="0.2">
      <c r="B186" s="242"/>
      <c r="C186" s="222"/>
      <c r="D186" s="242"/>
      <c r="O186" s="223"/>
    </row>
    <row r="187" spans="2:15" x14ac:dyDescent="0.2">
      <c r="B187" s="242"/>
      <c r="C187" s="222"/>
      <c r="D187" s="242"/>
      <c r="O187" s="223"/>
    </row>
    <row r="188" spans="2:15" x14ac:dyDescent="0.2">
      <c r="B188" s="242"/>
      <c r="C188" s="222"/>
      <c r="D188" s="242"/>
      <c r="O188" s="223"/>
    </row>
    <row r="189" spans="2:15" x14ac:dyDescent="0.2">
      <c r="B189" s="242"/>
      <c r="C189" s="222"/>
      <c r="D189" s="242"/>
      <c r="O189" s="223"/>
    </row>
    <row r="190" spans="2:15" x14ac:dyDescent="0.2">
      <c r="B190" s="242"/>
      <c r="C190" s="222"/>
      <c r="D190" s="242"/>
      <c r="O190" s="223"/>
    </row>
    <row r="191" spans="2:15" x14ac:dyDescent="0.2">
      <c r="B191" s="242"/>
      <c r="C191" s="222"/>
      <c r="D191" s="242"/>
      <c r="O191" s="223"/>
    </row>
    <row r="192" spans="2:15" x14ac:dyDescent="0.2">
      <c r="B192" s="242"/>
      <c r="C192" s="222"/>
      <c r="D192" s="242"/>
      <c r="O192" s="223"/>
    </row>
    <row r="193" spans="2:15" x14ac:dyDescent="0.2">
      <c r="B193" s="242"/>
      <c r="C193" s="222"/>
      <c r="D193" s="242"/>
      <c r="O193" s="223"/>
    </row>
    <row r="194" spans="2:15" x14ac:dyDescent="0.2">
      <c r="B194" s="242"/>
      <c r="C194" s="222"/>
      <c r="D194" s="242"/>
      <c r="O194" s="223"/>
    </row>
    <row r="195" spans="2:15" x14ac:dyDescent="0.2">
      <c r="B195" s="242"/>
      <c r="C195" s="222"/>
      <c r="D195" s="242"/>
      <c r="O195" s="223"/>
    </row>
    <row r="196" spans="2:15" x14ac:dyDescent="0.2">
      <c r="B196" s="242"/>
      <c r="C196" s="222"/>
      <c r="D196" s="242"/>
      <c r="O196" s="223"/>
    </row>
    <row r="197" spans="2:15" x14ac:dyDescent="0.2">
      <c r="B197" s="242"/>
      <c r="C197" s="222"/>
      <c r="D197" s="242"/>
      <c r="O197" s="223"/>
    </row>
    <row r="198" spans="2:15" x14ac:dyDescent="0.2">
      <c r="B198" s="242"/>
      <c r="C198" s="222"/>
      <c r="D198" s="242"/>
      <c r="O198" s="223"/>
    </row>
    <row r="199" spans="2:15" x14ac:dyDescent="0.2">
      <c r="B199" s="242"/>
      <c r="C199" s="222"/>
      <c r="D199" s="242"/>
      <c r="O199" s="223"/>
    </row>
    <row r="200" spans="2:15" x14ac:dyDescent="0.2">
      <c r="B200" s="242"/>
      <c r="C200" s="222"/>
      <c r="D200" s="242"/>
      <c r="O200" s="223"/>
    </row>
    <row r="201" spans="2:15" x14ac:dyDescent="0.2">
      <c r="B201" s="242"/>
      <c r="C201" s="222"/>
      <c r="D201" s="242"/>
      <c r="O201" s="223"/>
    </row>
    <row r="202" spans="2:15" x14ac:dyDescent="0.2">
      <c r="B202" s="242"/>
      <c r="C202" s="222"/>
      <c r="D202" s="242"/>
      <c r="O202" s="223"/>
    </row>
    <row r="203" spans="2:15" x14ac:dyDescent="0.2">
      <c r="B203" s="242"/>
      <c r="C203" s="222"/>
      <c r="D203" s="242"/>
      <c r="O203" s="223"/>
    </row>
    <row r="204" spans="2:15" x14ac:dyDescent="0.2">
      <c r="B204" s="242"/>
      <c r="C204" s="222"/>
      <c r="D204" s="242"/>
      <c r="O204" s="223"/>
    </row>
    <row r="205" spans="2:15" x14ac:dyDescent="0.2">
      <c r="B205" s="242"/>
      <c r="C205" s="222"/>
      <c r="D205" s="242"/>
      <c r="O205" s="223"/>
    </row>
    <row r="206" spans="2:15" x14ac:dyDescent="0.2">
      <c r="B206" s="242"/>
      <c r="C206" s="222"/>
      <c r="D206" s="242"/>
      <c r="O206" s="223"/>
    </row>
    <row r="207" spans="2:15" x14ac:dyDescent="0.2">
      <c r="B207" s="242"/>
      <c r="C207" s="222"/>
      <c r="D207" s="242"/>
      <c r="O207" s="223"/>
    </row>
    <row r="208" spans="2:15" x14ac:dyDescent="0.2">
      <c r="B208" s="242"/>
      <c r="C208" s="222"/>
      <c r="D208" s="242"/>
      <c r="O208" s="223"/>
    </row>
    <row r="209" spans="2:15" x14ac:dyDescent="0.2">
      <c r="B209" s="242"/>
      <c r="C209" s="222"/>
      <c r="D209" s="242"/>
      <c r="O209" s="223"/>
    </row>
    <row r="210" spans="2:15" x14ac:dyDescent="0.2">
      <c r="B210" s="242"/>
      <c r="C210" s="222"/>
      <c r="D210" s="242"/>
      <c r="O210" s="223"/>
    </row>
    <row r="211" spans="2:15" x14ac:dyDescent="0.2">
      <c r="B211" s="242"/>
      <c r="C211" s="222"/>
      <c r="D211" s="242"/>
      <c r="O211" s="223"/>
    </row>
    <row r="212" spans="2:15" x14ac:dyDescent="0.2">
      <c r="B212" s="242"/>
      <c r="C212" s="222"/>
      <c r="D212" s="242"/>
      <c r="O212" s="223"/>
    </row>
    <row r="213" spans="2:15" x14ac:dyDescent="0.2">
      <c r="B213" s="242"/>
      <c r="C213" s="222"/>
      <c r="D213" s="242"/>
      <c r="O213" s="223"/>
    </row>
    <row r="214" spans="2:15" x14ac:dyDescent="0.2">
      <c r="B214" s="242"/>
      <c r="C214" s="222"/>
      <c r="D214" s="242"/>
      <c r="O214" s="223"/>
    </row>
    <row r="215" spans="2:15" x14ac:dyDescent="0.2">
      <c r="B215" s="242"/>
      <c r="C215" s="222"/>
      <c r="D215" s="242"/>
      <c r="O215" s="223"/>
    </row>
    <row r="216" spans="2:15" x14ac:dyDescent="0.2">
      <c r="B216" s="242"/>
      <c r="C216" s="222"/>
      <c r="D216" s="242"/>
      <c r="O216" s="223"/>
    </row>
    <row r="217" spans="2:15" x14ac:dyDescent="0.2">
      <c r="B217" s="242"/>
      <c r="C217" s="222"/>
      <c r="D217" s="242"/>
      <c r="O217" s="223"/>
    </row>
    <row r="218" spans="2:15" x14ac:dyDescent="0.2">
      <c r="B218" s="242"/>
      <c r="C218" s="222"/>
      <c r="D218" s="242"/>
      <c r="O218" s="223"/>
    </row>
    <row r="219" spans="2:15" x14ac:dyDescent="0.2">
      <c r="B219" s="242"/>
      <c r="C219" s="222"/>
      <c r="D219" s="242"/>
      <c r="O219" s="223"/>
    </row>
    <row r="220" spans="2:15" x14ac:dyDescent="0.2">
      <c r="B220" s="242"/>
      <c r="C220" s="222"/>
      <c r="D220" s="242"/>
      <c r="O220" s="223"/>
    </row>
    <row r="221" spans="2:15" x14ac:dyDescent="0.2">
      <c r="B221" s="242"/>
      <c r="C221" s="222"/>
      <c r="D221" s="242"/>
      <c r="O221" s="223"/>
    </row>
    <row r="222" spans="2:15" x14ac:dyDescent="0.2">
      <c r="B222" s="242"/>
      <c r="C222" s="222"/>
      <c r="D222" s="242"/>
      <c r="O222" s="223"/>
    </row>
    <row r="223" spans="2:15" x14ac:dyDescent="0.2">
      <c r="B223" s="242"/>
      <c r="C223" s="222"/>
      <c r="D223" s="242"/>
      <c r="O223" s="223"/>
    </row>
    <row r="224" spans="2:15" x14ac:dyDescent="0.2">
      <c r="B224" s="242"/>
      <c r="C224" s="222"/>
      <c r="D224" s="242"/>
      <c r="O224" s="223"/>
    </row>
    <row r="225" spans="2:15" x14ac:dyDescent="0.2">
      <c r="B225" s="242"/>
      <c r="C225" s="222"/>
      <c r="D225" s="242"/>
      <c r="O225" s="223"/>
    </row>
    <row r="226" spans="2:15" x14ac:dyDescent="0.2">
      <c r="B226" s="242"/>
      <c r="C226" s="222"/>
      <c r="D226" s="242"/>
      <c r="O226" s="223"/>
    </row>
    <row r="227" spans="2:15" x14ac:dyDescent="0.2">
      <c r="B227" s="242"/>
      <c r="C227" s="222"/>
      <c r="D227" s="242"/>
      <c r="O227" s="223"/>
    </row>
    <row r="228" spans="2:15" x14ac:dyDescent="0.2">
      <c r="B228" s="242"/>
      <c r="C228" s="222"/>
      <c r="D228" s="242"/>
      <c r="O228" s="223"/>
    </row>
    <row r="229" spans="2:15" x14ac:dyDescent="0.2">
      <c r="B229" s="242"/>
      <c r="C229" s="222"/>
      <c r="D229" s="242"/>
      <c r="O229" s="223"/>
    </row>
    <row r="230" spans="2:15" x14ac:dyDescent="0.2">
      <c r="B230" s="242"/>
      <c r="C230" s="222"/>
      <c r="D230" s="242"/>
      <c r="O230" s="223"/>
    </row>
    <row r="231" spans="2:15" x14ac:dyDescent="0.2">
      <c r="B231" s="242"/>
      <c r="C231" s="222"/>
      <c r="D231" s="242"/>
      <c r="O231" s="223"/>
    </row>
    <row r="232" spans="2:15" x14ac:dyDescent="0.2">
      <c r="B232" s="242"/>
      <c r="C232" s="222"/>
      <c r="D232" s="242"/>
      <c r="O232" s="223"/>
    </row>
    <row r="233" spans="2:15" x14ac:dyDescent="0.2">
      <c r="B233" s="242"/>
      <c r="C233" s="222"/>
      <c r="D233" s="242"/>
      <c r="O233" s="223"/>
    </row>
    <row r="234" spans="2:15" x14ac:dyDescent="0.2">
      <c r="B234" s="242"/>
      <c r="C234" s="222"/>
      <c r="D234" s="242"/>
      <c r="O234" s="223"/>
    </row>
    <row r="235" spans="2:15" x14ac:dyDescent="0.2">
      <c r="B235" s="242"/>
      <c r="C235" s="222"/>
      <c r="D235" s="242"/>
      <c r="O235" s="223"/>
    </row>
    <row r="236" spans="2:15" x14ac:dyDescent="0.2">
      <c r="B236" s="242"/>
      <c r="C236" s="222"/>
      <c r="D236" s="242"/>
      <c r="O236" s="223"/>
    </row>
    <row r="237" spans="2:15" x14ac:dyDescent="0.2">
      <c r="B237" s="242"/>
      <c r="C237" s="222"/>
      <c r="D237" s="242"/>
      <c r="O237" s="223"/>
    </row>
    <row r="238" spans="2:15" x14ac:dyDescent="0.2">
      <c r="B238" s="242"/>
      <c r="C238" s="222"/>
      <c r="D238" s="242"/>
      <c r="O238" s="223"/>
    </row>
    <row r="239" spans="2:15" x14ac:dyDescent="0.2">
      <c r="B239" s="242"/>
      <c r="C239" s="222"/>
      <c r="D239" s="242"/>
      <c r="O239" s="223"/>
    </row>
    <row r="240" spans="2:15" x14ac:dyDescent="0.2">
      <c r="B240" s="242"/>
      <c r="C240" s="222"/>
      <c r="D240" s="242"/>
      <c r="O240" s="223"/>
    </row>
    <row r="241" spans="2:15" x14ac:dyDescent="0.2">
      <c r="B241" s="242"/>
      <c r="C241" s="222"/>
      <c r="D241" s="242"/>
      <c r="O241" s="223"/>
    </row>
    <row r="242" spans="2:15" x14ac:dyDescent="0.2">
      <c r="B242" s="242"/>
      <c r="C242" s="222"/>
      <c r="D242" s="242"/>
      <c r="O242" s="223"/>
    </row>
    <row r="243" spans="2:15" x14ac:dyDescent="0.2">
      <c r="B243" s="242"/>
      <c r="C243" s="222"/>
      <c r="D243" s="242"/>
      <c r="O243" s="223"/>
    </row>
    <row r="244" spans="2:15" x14ac:dyDescent="0.2">
      <c r="B244" s="242"/>
      <c r="C244" s="222"/>
      <c r="D244" s="242"/>
      <c r="O244" s="223"/>
    </row>
    <row r="245" spans="2:15" x14ac:dyDescent="0.2">
      <c r="B245" s="242"/>
      <c r="C245" s="222"/>
      <c r="D245" s="242"/>
      <c r="O245" s="223"/>
    </row>
    <row r="246" spans="2:15" x14ac:dyDescent="0.2">
      <c r="B246" s="242"/>
      <c r="C246" s="222"/>
      <c r="D246" s="242"/>
      <c r="O246" s="223"/>
    </row>
    <row r="247" spans="2:15" x14ac:dyDescent="0.2">
      <c r="B247" s="242"/>
      <c r="C247" s="222"/>
      <c r="D247" s="242"/>
      <c r="O247" s="223"/>
    </row>
    <row r="248" spans="2:15" x14ac:dyDescent="0.2">
      <c r="B248" s="242"/>
      <c r="C248" s="222"/>
      <c r="D248" s="242"/>
      <c r="O248" s="223"/>
    </row>
    <row r="249" spans="2:15" x14ac:dyDescent="0.2">
      <c r="B249" s="242"/>
      <c r="C249" s="222"/>
      <c r="D249" s="242"/>
      <c r="O249" s="223"/>
    </row>
    <row r="250" spans="2:15" x14ac:dyDescent="0.2">
      <c r="B250" s="242"/>
      <c r="C250" s="222"/>
      <c r="D250" s="242"/>
      <c r="O250" s="223"/>
    </row>
    <row r="251" spans="2:15" x14ac:dyDescent="0.2">
      <c r="B251" s="242"/>
      <c r="C251" s="222"/>
      <c r="D251" s="242"/>
      <c r="O251" s="223"/>
    </row>
    <row r="252" spans="2:15" x14ac:dyDescent="0.2">
      <c r="B252" s="242"/>
      <c r="C252" s="222"/>
      <c r="D252" s="242"/>
      <c r="O252" s="223"/>
    </row>
    <row r="253" spans="2:15" x14ac:dyDescent="0.2">
      <c r="B253" s="242"/>
      <c r="C253" s="222"/>
      <c r="D253" s="242"/>
      <c r="O253" s="223"/>
    </row>
    <row r="254" spans="2:15" x14ac:dyDescent="0.2">
      <c r="B254" s="242"/>
      <c r="C254" s="222"/>
      <c r="D254" s="242"/>
      <c r="O254" s="223"/>
    </row>
    <row r="255" spans="2:15" x14ac:dyDescent="0.2">
      <c r="B255" s="242"/>
      <c r="C255" s="222"/>
      <c r="D255" s="242"/>
      <c r="O255" s="223"/>
    </row>
    <row r="256" spans="2:15" x14ac:dyDescent="0.2">
      <c r="B256" s="242"/>
      <c r="C256" s="222"/>
      <c r="D256" s="242"/>
      <c r="O256" s="223"/>
    </row>
    <row r="257" spans="2:15" x14ac:dyDescent="0.2">
      <c r="B257" s="242"/>
      <c r="C257" s="222"/>
      <c r="D257" s="242"/>
      <c r="O257" s="223"/>
    </row>
    <row r="258" spans="2:15" x14ac:dyDescent="0.2">
      <c r="B258" s="242"/>
      <c r="C258" s="222"/>
      <c r="D258" s="242"/>
      <c r="O258" s="223"/>
    </row>
    <row r="259" spans="2:15" x14ac:dyDescent="0.2">
      <c r="B259" s="242"/>
      <c r="C259" s="222"/>
      <c r="D259" s="242"/>
      <c r="O259" s="223"/>
    </row>
    <row r="260" spans="2:15" x14ac:dyDescent="0.2">
      <c r="B260" s="242"/>
      <c r="C260" s="222"/>
      <c r="D260" s="242"/>
      <c r="O260" s="223"/>
    </row>
    <row r="261" spans="2:15" x14ac:dyDescent="0.2">
      <c r="B261" s="242"/>
      <c r="C261" s="222"/>
      <c r="D261" s="242"/>
      <c r="O261" s="223"/>
    </row>
    <row r="262" spans="2:15" x14ac:dyDescent="0.2">
      <c r="B262" s="242"/>
      <c r="C262" s="222"/>
      <c r="D262" s="242"/>
      <c r="O262" s="223"/>
    </row>
    <row r="263" spans="2:15" x14ac:dyDescent="0.2">
      <c r="B263" s="242"/>
      <c r="C263" s="222"/>
      <c r="D263" s="242"/>
      <c r="O263" s="223"/>
    </row>
    <row r="264" spans="2:15" x14ac:dyDescent="0.2">
      <c r="B264" s="242"/>
      <c r="C264" s="222"/>
      <c r="D264" s="242"/>
      <c r="O264" s="223"/>
    </row>
    <row r="265" spans="2:15" x14ac:dyDescent="0.2">
      <c r="B265" s="242"/>
      <c r="C265" s="222"/>
      <c r="D265" s="242"/>
      <c r="O265" s="223"/>
    </row>
    <row r="266" spans="2:15" x14ac:dyDescent="0.2">
      <c r="B266" s="242"/>
      <c r="C266" s="222"/>
      <c r="D266" s="242"/>
      <c r="O266" s="223"/>
    </row>
    <row r="267" spans="2:15" x14ac:dyDescent="0.2">
      <c r="B267" s="242"/>
      <c r="C267" s="222"/>
      <c r="D267" s="242"/>
      <c r="O267" s="223"/>
    </row>
    <row r="268" spans="2:15" x14ac:dyDescent="0.2">
      <c r="B268" s="242"/>
      <c r="C268" s="222"/>
      <c r="D268" s="242"/>
      <c r="O268" s="223"/>
    </row>
    <row r="269" spans="2:15" x14ac:dyDescent="0.2">
      <c r="B269" s="242"/>
      <c r="C269" s="222"/>
      <c r="D269" s="242"/>
      <c r="O269" s="223"/>
    </row>
    <row r="270" spans="2:15" x14ac:dyDescent="0.2">
      <c r="B270" s="242"/>
      <c r="C270" s="222"/>
      <c r="D270" s="242"/>
      <c r="O270" s="223"/>
    </row>
    <row r="271" spans="2:15" x14ac:dyDescent="0.2">
      <c r="B271" s="242"/>
      <c r="C271" s="222"/>
      <c r="D271" s="242"/>
      <c r="O271" s="223"/>
    </row>
    <row r="272" spans="2:15" x14ac:dyDescent="0.2">
      <c r="B272" s="242"/>
      <c r="C272" s="222"/>
      <c r="D272" s="242"/>
      <c r="O272" s="223"/>
    </row>
    <row r="273" spans="2:15" x14ac:dyDescent="0.2">
      <c r="B273" s="242"/>
      <c r="C273" s="222"/>
      <c r="D273" s="242"/>
      <c r="O273" s="223"/>
    </row>
    <row r="274" spans="2:15" x14ac:dyDescent="0.2">
      <c r="B274" s="242"/>
      <c r="C274" s="222"/>
      <c r="D274" s="242"/>
      <c r="O274" s="223"/>
    </row>
    <row r="275" spans="2:15" x14ac:dyDescent="0.2">
      <c r="B275" s="242"/>
      <c r="C275" s="222"/>
      <c r="D275" s="242"/>
      <c r="O275" s="223"/>
    </row>
    <row r="276" spans="2:15" x14ac:dyDescent="0.2">
      <c r="B276" s="242"/>
      <c r="C276" s="222"/>
      <c r="D276" s="242"/>
      <c r="O276" s="223"/>
    </row>
    <row r="277" spans="2:15" x14ac:dyDescent="0.2">
      <c r="B277" s="242"/>
      <c r="C277" s="222"/>
      <c r="D277" s="242"/>
      <c r="O277" s="223"/>
    </row>
    <row r="278" spans="2:15" x14ac:dyDescent="0.2">
      <c r="B278" s="242"/>
      <c r="C278" s="222"/>
      <c r="D278" s="242"/>
      <c r="O278" s="223"/>
    </row>
    <row r="279" spans="2:15" x14ac:dyDescent="0.2">
      <c r="B279" s="242"/>
      <c r="C279" s="222"/>
      <c r="D279" s="242"/>
      <c r="O279" s="223"/>
    </row>
    <row r="280" spans="2:15" x14ac:dyDescent="0.2">
      <c r="B280" s="242"/>
      <c r="C280" s="222"/>
      <c r="D280" s="242"/>
      <c r="O280" s="223"/>
    </row>
    <row r="281" spans="2:15" x14ac:dyDescent="0.2">
      <c r="B281" s="242"/>
      <c r="C281" s="222"/>
      <c r="D281" s="242"/>
      <c r="O281" s="223"/>
    </row>
    <row r="282" spans="2:15" x14ac:dyDescent="0.2">
      <c r="B282" s="242"/>
      <c r="C282" s="222"/>
      <c r="D282" s="242"/>
      <c r="O282" s="223"/>
    </row>
    <row r="283" spans="2:15" x14ac:dyDescent="0.2">
      <c r="B283" s="242"/>
      <c r="C283" s="222"/>
      <c r="D283" s="242"/>
      <c r="O283" s="223"/>
    </row>
    <row r="284" spans="2:15" x14ac:dyDescent="0.2">
      <c r="B284" s="242"/>
      <c r="C284" s="222"/>
      <c r="D284" s="242"/>
      <c r="O284" s="223"/>
    </row>
    <row r="285" spans="2:15" x14ac:dyDescent="0.2">
      <c r="B285" s="242"/>
      <c r="C285" s="222"/>
      <c r="D285" s="242"/>
      <c r="O285" s="223"/>
    </row>
    <row r="286" spans="2:15" x14ac:dyDescent="0.2">
      <c r="B286" s="242"/>
      <c r="C286" s="222"/>
      <c r="D286" s="242"/>
      <c r="O286" s="223"/>
    </row>
    <row r="287" spans="2:15" x14ac:dyDescent="0.2">
      <c r="B287" s="242"/>
      <c r="C287" s="222"/>
      <c r="D287" s="242"/>
      <c r="O287" s="223"/>
    </row>
    <row r="288" spans="2:15" x14ac:dyDescent="0.2">
      <c r="B288" s="242"/>
      <c r="C288" s="222"/>
      <c r="D288" s="242"/>
      <c r="O288" s="223"/>
    </row>
    <row r="289" spans="2:15" x14ac:dyDescent="0.2">
      <c r="B289" s="242"/>
      <c r="C289" s="222"/>
      <c r="D289" s="242"/>
      <c r="O289" s="223"/>
    </row>
    <row r="290" spans="2:15" x14ac:dyDescent="0.2">
      <c r="B290" s="242"/>
      <c r="C290" s="222"/>
      <c r="D290" s="242"/>
      <c r="O290" s="223"/>
    </row>
    <row r="291" spans="2:15" x14ac:dyDescent="0.2">
      <c r="B291" s="242"/>
      <c r="C291" s="222"/>
      <c r="D291" s="242"/>
      <c r="O291" s="223"/>
    </row>
    <row r="292" spans="2:15" x14ac:dyDescent="0.2">
      <c r="B292" s="242"/>
      <c r="C292" s="222"/>
      <c r="D292" s="242"/>
      <c r="O292" s="223"/>
    </row>
    <row r="293" spans="2:15" x14ac:dyDescent="0.2">
      <c r="B293" s="242"/>
      <c r="C293" s="222"/>
      <c r="D293" s="242"/>
      <c r="O293" s="223"/>
    </row>
    <row r="294" spans="2:15" x14ac:dyDescent="0.2">
      <c r="B294" s="242"/>
      <c r="C294" s="222"/>
      <c r="D294" s="242"/>
      <c r="O294" s="223"/>
    </row>
    <row r="295" spans="2:15" x14ac:dyDescent="0.2">
      <c r="B295" s="242"/>
      <c r="C295" s="222"/>
      <c r="D295" s="242"/>
      <c r="O295" s="223"/>
    </row>
    <row r="296" spans="2:15" x14ac:dyDescent="0.2">
      <c r="B296" s="242"/>
      <c r="C296" s="222"/>
      <c r="D296" s="242"/>
      <c r="O296" s="223"/>
    </row>
    <row r="297" spans="2:15" x14ac:dyDescent="0.2">
      <c r="B297" s="242"/>
      <c r="C297" s="222"/>
      <c r="D297" s="242"/>
      <c r="O297" s="223"/>
    </row>
    <row r="298" spans="2:15" x14ac:dyDescent="0.2">
      <c r="B298" s="242"/>
      <c r="C298" s="222"/>
      <c r="D298" s="242"/>
      <c r="O298" s="223"/>
    </row>
    <row r="299" spans="2:15" x14ac:dyDescent="0.2">
      <c r="B299" s="242"/>
      <c r="C299" s="222"/>
      <c r="D299" s="242"/>
      <c r="O299" s="223"/>
    </row>
    <row r="300" spans="2:15" x14ac:dyDescent="0.2">
      <c r="B300" s="242"/>
      <c r="C300" s="222"/>
      <c r="D300" s="242"/>
      <c r="O300" s="223"/>
    </row>
    <row r="301" spans="2:15" x14ac:dyDescent="0.2">
      <c r="B301" s="242"/>
      <c r="C301" s="222"/>
      <c r="D301" s="242"/>
      <c r="O301" s="223"/>
    </row>
    <row r="302" spans="2:15" x14ac:dyDescent="0.2">
      <c r="B302" s="242"/>
      <c r="C302" s="222"/>
      <c r="D302" s="242"/>
      <c r="O302" s="223"/>
    </row>
    <row r="303" spans="2:15" x14ac:dyDescent="0.2">
      <c r="B303" s="242"/>
      <c r="C303" s="222"/>
      <c r="D303" s="242"/>
      <c r="O303" s="223"/>
    </row>
    <row r="304" spans="2:15" x14ac:dyDescent="0.2">
      <c r="B304" s="242"/>
      <c r="C304" s="222"/>
      <c r="D304" s="242"/>
      <c r="O304" s="223"/>
    </row>
    <row r="305" spans="2:15" x14ac:dyDescent="0.2">
      <c r="B305" s="242"/>
      <c r="C305" s="222"/>
      <c r="D305" s="242"/>
      <c r="O305" s="223"/>
    </row>
    <row r="306" spans="2:15" x14ac:dyDescent="0.2">
      <c r="B306" s="242"/>
      <c r="C306" s="222"/>
      <c r="D306" s="242"/>
      <c r="O306" s="223"/>
    </row>
    <row r="307" spans="2:15" x14ac:dyDescent="0.2">
      <c r="B307" s="242"/>
      <c r="C307" s="222"/>
      <c r="D307" s="242"/>
      <c r="O307" s="223"/>
    </row>
    <row r="308" spans="2:15" x14ac:dyDescent="0.2">
      <c r="B308" s="242"/>
      <c r="C308" s="222"/>
      <c r="D308" s="242"/>
      <c r="O308" s="223"/>
    </row>
    <row r="309" spans="2:15" x14ac:dyDescent="0.2">
      <c r="B309" s="242"/>
      <c r="C309" s="222"/>
      <c r="D309" s="242"/>
      <c r="O309" s="223"/>
    </row>
    <row r="310" spans="2:15" x14ac:dyDescent="0.2">
      <c r="B310" s="242"/>
      <c r="C310" s="222"/>
      <c r="D310" s="242"/>
      <c r="O310" s="223"/>
    </row>
    <row r="311" spans="2:15" x14ac:dyDescent="0.2">
      <c r="B311" s="242"/>
      <c r="C311" s="222"/>
      <c r="D311" s="242"/>
      <c r="O311" s="223"/>
    </row>
    <row r="312" spans="2:15" x14ac:dyDescent="0.2">
      <c r="B312" s="242"/>
      <c r="C312" s="222"/>
      <c r="D312" s="242"/>
      <c r="O312" s="223"/>
    </row>
    <row r="313" spans="2:15" x14ac:dyDescent="0.2">
      <c r="B313" s="242"/>
      <c r="C313" s="222"/>
      <c r="D313" s="242"/>
      <c r="O313" s="223"/>
    </row>
    <row r="314" spans="2:15" x14ac:dyDescent="0.2">
      <c r="B314" s="242"/>
      <c r="C314" s="222"/>
      <c r="D314" s="242"/>
      <c r="O314" s="223"/>
    </row>
    <row r="315" spans="2:15" x14ac:dyDescent="0.2">
      <c r="B315" s="242"/>
      <c r="C315" s="222"/>
      <c r="D315" s="242"/>
      <c r="O315" s="223"/>
    </row>
    <row r="316" spans="2:15" x14ac:dyDescent="0.2">
      <c r="B316" s="242"/>
      <c r="C316" s="222"/>
      <c r="D316" s="242"/>
      <c r="O316" s="223"/>
    </row>
    <row r="317" spans="2:15" x14ac:dyDescent="0.2">
      <c r="B317" s="242"/>
      <c r="C317" s="222"/>
      <c r="D317" s="242"/>
      <c r="O317" s="223"/>
    </row>
    <row r="318" spans="2:15" x14ac:dyDescent="0.2">
      <c r="B318" s="242"/>
      <c r="C318" s="222"/>
      <c r="D318" s="242"/>
      <c r="O318" s="223"/>
    </row>
    <row r="319" spans="2:15" x14ac:dyDescent="0.2">
      <c r="B319" s="242"/>
      <c r="C319" s="222"/>
      <c r="D319" s="242"/>
      <c r="O319" s="223"/>
    </row>
    <row r="320" spans="2:15" x14ac:dyDescent="0.2">
      <c r="B320" s="242"/>
      <c r="C320" s="222"/>
      <c r="D320" s="242"/>
      <c r="O320" s="223"/>
    </row>
    <row r="321" spans="2:15" x14ac:dyDescent="0.2">
      <c r="B321" s="242"/>
      <c r="C321" s="222"/>
      <c r="D321" s="242"/>
      <c r="O321" s="223"/>
    </row>
    <row r="322" spans="2:15" x14ac:dyDescent="0.2">
      <c r="B322" s="242"/>
      <c r="C322" s="222"/>
      <c r="D322" s="242"/>
      <c r="O322" s="223"/>
    </row>
    <row r="323" spans="2:15" x14ac:dyDescent="0.2">
      <c r="B323" s="242"/>
      <c r="C323" s="222"/>
      <c r="D323" s="242"/>
      <c r="O323" s="223"/>
    </row>
    <row r="324" spans="2:15" x14ac:dyDescent="0.2">
      <c r="B324" s="242"/>
      <c r="C324" s="222"/>
      <c r="D324" s="242"/>
      <c r="O324" s="223"/>
    </row>
    <row r="325" spans="2:15" x14ac:dyDescent="0.2">
      <c r="B325" s="242"/>
      <c r="C325" s="222"/>
      <c r="D325" s="242"/>
      <c r="O325" s="223"/>
    </row>
    <row r="326" spans="2:15" x14ac:dyDescent="0.2">
      <c r="B326" s="242"/>
      <c r="C326" s="222"/>
      <c r="D326" s="242"/>
      <c r="O326" s="223"/>
    </row>
    <row r="327" spans="2:15" x14ac:dyDescent="0.2">
      <c r="B327" s="242"/>
      <c r="C327" s="222"/>
      <c r="D327" s="242"/>
      <c r="O327" s="223"/>
    </row>
    <row r="328" spans="2:15" x14ac:dyDescent="0.2">
      <c r="B328" s="242"/>
      <c r="C328" s="222"/>
      <c r="D328" s="242"/>
      <c r="O328" s="223"/>
    </row>
    <row r="329" spans="2:15" x14ac:dyDescent="0.2">
      <c r="B329" s="242"/>
      <c r="C329" s="222"/>
      <c r="D329" s="242"/>
      <c r="O329" s="223"/>
    </row>
    <row r="330" spans="2:15" x14ac:dyDescent="0.2">
      <c r="B330" s="242"/>
      <c r="C330" s="222"/>
      <c r="D330" s="242"/>
      <c r="O330" s="223"/>
    </row>
    <row r="331" spans="2:15" x14ac:dyDescent="0.2">
      <c r="B331" s="242"/>
      <c r="C331" s="222"/>
      <c r="D331" s="242"/>
      <c r="O331" s="223"/>
    </row>
    <row r="332" spans="2:15" x14ac:dyDescent="0.2">
      <c r="B332" s="242"/>
      <c r="C332" s="222"/>
      <c r="D332" s="242"/>
      <c r="O332" s="223"/>
    </row>
    <row r="333" spans="2:15" x14ac:dyDescent="0.2">
      <c r="B333" s="242"/>
      <c r="C333" s="222"/>
      <c r="D333" s="242"/>
      <c r="O333" s="223"/>
    </row>
    <row r="334" spans="2:15" x14ac:dyDescent="0.2">
      <c r="B334" s="242"/>
      <c r="C334" s="222"/>
      <c r="D334" s="242"/>
      <c r="O334" s="223"/>
    </row>
    <row r="335" spans="2:15" x14ac:dyDescent="0.2">
      <c r="B335" s="242"/>
      <c r="C335" s="222"/>
      <c r="D335" s="242"/>
      <c r="O335" s="223"/>
    </row>
    <row r="336" spans="2:15" x14ac:dyDescent="0.2">
      <c r="B336" s="242"/>
      <c r="C336" s="222"/>
      <c r="D336" s="242"/>
      <c r="O336" s="223"/>
    </row>
    <row r="337" spans="2:15" x14ac:dyDescent="0.2">
      <c r="B337" s="242"/>
      <c r="C337" s="222"/>
      <c r="D337" s="242"/>
      <c r="O337" s="223"/>
    </row>
    <row r="338" spans="2:15" x14ac:dyDescent="0.2">
      <c r="B338" s="242"/>
      <c r="C338" s="222"/>
      <c r="D338" s="242"/>
      <c r="O338" s="223"/>
    </row>
    <row r="339" spans="2:15" x14ac:dyDescent="0.2">
      <c r="B339" s="242"/>
      <c r="C339" s="222"/>
      <c r="D339" s="242"/>
      <c r="O339" s="223"/>
    </row>
    <row r="340" spans="2:15" x14ac:dyDescent="0.2">
      <c r="B340" s="242"/>
      <c r="C340" s="222"/>
      <c r="D340" s="242"/>
      <c r="O340" s="223"/>
    </row>
    <row r="341" spans="2:15" x14ac:dyDescent="0.2">
      <c r="B341" s="242"/>
      <c r="C341" s="222"/>
      <c r="D341" s="242"/>
      <c r="O341" s="223"/>
    </row>
    <row r="342" spans="2:15" x14ac:dyDescent="0.2">
      <c r="B342" s="242"/>
      <c r="C342" s="222"/>
      <c r="D342" s="242"/>
      <c r="O342" s="223"/>
    </row>
    <row r="343" spans="2:15" x14ac:dyDescent="0.2">
      <c r="B343" s="242"/>
      <c r="C343" s="222"/>
      <c r="D343" s="242"/>
      <c r="O343" s="223"/>
    </row>
    <row r="344" spans="2:15" x14ac:dyDescent="0.2">
      <c r="B344" s="242"/>
      <c r="C344" s="222"/>
      <c r="D344" s="242"/>
      <c r="O344" s="223"/>
    </row>
    <row r="345" spans="2:15" x14ac:dyDescent="0.2">
      <c r="B345" s="242"/>
      <c r="C345" s="222"/>
      <c r="D345" s="242"/>
      <c r="O345" s="223"/>
    </row>
    <row r="346" spans="2:15" x14ac:dyDescent="0.2">
      <c r="B346" s="242"/>
      <c r="C346" s="222"/>
      <c r="D346" s="242"/>
      <c r="O346" s="223"/>
    </row>
    <row r="347" spans="2:15" x14ac:dyDescent="0.2">
      <c r="B347" s="242"/>
      <c r="C347" s="222"/>
      <c r="D347" s="242"/>
      <c r="O347" s="223"/>
    </row>
    <row r="348" spans="2:15" x14ac:dyDescent="0.2">
      <c r="B348" s="242"/>
      <c r="C348" s="222"/>
      <c r="D348" s="242"/>
      <c r="O348" s="223"/>
    </row>
    <row r="349" spans="2:15" x14ac:dyDescent="0.2">
      <c r="B349" s="242"/>
      <c r="C349" s="222"/>
      <c r="D349" s="242"/>
      <c r="O349" s="223"/>
    </row>
    <row r="350" spans="2:15" x14ac:dyDescent="0.2">
      <c r="B350" s="242"/>
      <c r="C350" s="222"/>
      <c r="D350" s="242"/>
      <c r="O350" s="223"/>
    </row>
    <row r="351" spans="2:15" x14ac:dyDescent="0.2">
      <c r="B351" s="242"/>
      <c r="C351" s="222"/>
      <c r="D351" s="242"/>
      <c r="O351" s="223"/>
    </row>
    <row r="352" spans="2:15" x14ac:dyDescent="0.2">
      <c r="B352" s="242"/>
      <c r="C352" s="222"/>
      <c r="D352" s="242"/>
      <c r="O352" s="223"/>
    </row>
    <row r="353" spans="2:15" x14ac:dyDescent="0.2">
      <c r="B353" s="242"/>
      <c r="C353" s="222"/>
      <c r="D353" s="242"/>
      <c r="O353" s="223"/>
    </row>
    <row r="354" spans="2:15" x14ac:dyDescent="0.2">
      <c r="B354" s="242"/>
      <c r="C354" s="222"/>
      <c r="D354" s="242"/>
      <c r="O354" s="223"/>
    </row>
    <row r="355" spans="2:15" x14ac:dyDescent="0.2">
      <c r="B355" s="242"/>
      <c r="C355" s="222"/>
      <c r="D355" s="242"/>
      <c r="O355" s="223"/>
    </row>
    <row r="356" spans="2:15" x14ac:dyDescent="0.2">
      <c r="B356" s="242"/>
      <c r="C356" s="222"/>
      <c r="D356" s="242"/>
      <c r="O356" s="223"/>
    </row>
    <row r="357" spans="2:15" x14ac:dyDescent="0.2">
      <c r="B357" s="242"/>
      <c r="C357" s="222"/>
      <c r="D357" s="242"/>
      <c r="O357" s="223"/>
    </row>
    <row r="358" spans="2:15" x14ac:dyDescent="0.2">
      <c r="B358" s="242"/>
      <c r="C358" s="222"/>
      <c r="D358" s="242"/>
      <c r="O358" s="223"/>
    </row>
    <row r="359" spans="2:15" x14ac:dyDescent="0.2">
      <c r="B359" s="242"/>
      <c r="C359" s="222"/>
      <c r="D359" s="242"/>
      <c r="O359" s="223"/>
    </row>
    <row r="360" spans="2:15" x14ac:dyDescent="0.2">
      <c r="B360" s="242"/>
      <c r="C360" s="222"/>
      <c r="D360" s="242"/>
      <c r="O360" s="223"/>
    </row>
    <row r="361" spans="2:15" x14ac:dyDescent="0.2">
      <c r="B361" s="242"/>
      <c r="C361" s="222"/>
      <c r="D361" s="242"/>
      <c r="O361" s="223"/>
    </row>
    <row r="362" spans="2:15" x14ac:dyDescent="0.2">
      <c r="B362" s="242"/>
      <c r="C362" s="222"/>
      <c r="D362" s="242"/>
      <c r="O362" s="223"/>
    </row>
    <row r="363" spans="2:15" x14ac:dyDescent="0.2">
      <c r="B363" s="242"/>
      <c r="C363" s="222"/>
      <c r="D363" s="242"/>
      <c r="O363" s="223"/>
    </row>
    <row r="364" spans="2:15" x14ac:dyDescent="0.2">
      <c r="B364" s="242"/>
      <c r="C364" s="222"/>
      <c r="D364" s="242"/>
      <c r="O364" s="223"/>
    </row>
    <row r="365" spans="2:15" x14ac:dyDescent="0.2">
      <c r="B365" s="242"/>
      <c r="C365" s="222"/>
      <c r="D365" s="242"/>
      <c r="O365" s="223"/>
    </row>
    <row r="366" spans="2:15" x14ac:dyDescent="0.2">
      <c r="B366" s="242"/>
      <c r="C366" s="222"/>
      <c r="D366" s="242"/>
      <c r="O366" s="223"/>
    </row>
    <row r="367" spans="2:15" x14ac:dyDescent="0.2">
      <c r="B367" s="242"/>
      <c r="C367" s="222"/>
      <c r="D367" s="242"/>
      <c r="O367" s="223"/>
    </row>
    <row r="368" spans="2:15" x14ac:dyDescent="0.2">
      <c r="B368" s="242"/>
      <c r="C368" s="222"/>
      <c r="D368" s="242"/>
      <c r="O368" s="223"/>
    </row>
    <row r="369" spans="2:15" x14ac:dyDescent="0.2">
      <c r="B369" s="242"/>
      <c r="C369" s="222"/>
      <c r="D369" s="242"/>
      <c r="O369" s="223"/>
    </row>
    <row r="370" spans="2:15" x14ac:dyDescent="0.2">
      <c r="B370" s="242"/>
      <c r="C370" s="222"/>
      <c r="D370" s="242"/>
      <c r="O370" s="223"/>
    </row>
    <row r="371" spans="2:15" x14ac:dyDescent="0.2">
      <c r="B371" s="242"/>
      <c r="C371" s="222"/>
      <c r="D371" s="242"/>
      <c r="O371" s="223"/>
    </row>
    <row r="372" spans="2:15" x14ac:dyDescent="0.2">
      <c r="B372" s="242"/>
      <c r="C372" s="222"/>
      <c r="D372" s="242"/>
      <c r="O372" s="223"/>
    </row>
    <row r="373" spans="2:15" x14ac:dyDescent="0.2">
      <c r="B373" s="242"/>
      <c r="C373" s="222"/>
      <c r="D373" s="242"/>
      <c r="O373" s="223"/>
    </row>
    <row r="374" spans="2:15" x14ac:dyDescent="0.2">
      <c r="B374" s="242"/>
      <c r="C374" s="222"/>
      <c r="D374" s="242"/>
      <c r="O374" s="223"/>
    </row>
    <row r="375" spans="2:15" x14ac:dyDescent="0.2">
      <c r="B375" s="242"/>
      <c r="C375" s="222"/>
      <c r="D375" s="242"/>
      <c r="O375" s="223"/>
    </row>
    <row r="376" spans="2:15" x14ac:dyDescent="0.2">
      <c r="B376" s="242"/>
      <c r="C376" s="222"/>
      <c r="D376" s="242"/>
      <c r="O376" s="223"/>
    </row>
    <row r="377" spans="2:15" x14ac:dyDescent="0.2">
      <c r="B377" s="242"/>
      <c r="C377" s="222"/>
      <c r="D377" s="242"/>
      <c r="O377" s="223"/>
    </row>
    <row r="378" spans="2:15" x14ac:dyDescent="0.2">
      <c r="B378" s="242"/>
      <c r="C378" s="222"/>
      <c r="D378" s="242"/>
      <c r="O378" s="223"/>
    </row>
    <row r="379" spans="2:15" x14ac:dyDescent="0.2">
      <c r="B379" s="242"/>
      <c r="C379" s="222"/>
      <c r="D379" s="242"/>
      <c r="O379" s="223"/>
    </row>
    <row r="380" spans="2:15" x14ac:dyDescent="0.2">
      <c r="B380" s="242"/>
      <c r="C380" s="222"/>
      <c r="D380" s="242"/>
      <c r="O380" s="223"/>
    </row>
    <row r="381" spans="2:15" x14ac:dyDescent="0.2">
      <c r="B381" s="242"/>
      <c r="C381" s="222"/>
      <c r="D381" s="242"/>
      <c r="O381" s="223"/>
    </row>
    <row r="382" spans="2:15" x14ac:dyDescent="0.2">
      <c r="B382" s="242"/>
      <c r="C382" s="222"/>
      <c r="D382" s="242"/>
      <c r="O382" s="223"/>
    </row>
    <row r="383" spans="2:15" x14ac:dyDescent="0.2">
      <c r="B383" s="242"/>
      <c r="C383" s="222"/>
      <c r="D383" s="242"/>
      <c r="O383" s="223"/>
    </row>
    <row r="384" spans="2:15" x14ac:dyDescent="0.2">
      <c r="B384" s="242"/>
      <c r="C384" s="222"/>
      <c r="D384" s="242"/>
      <c r="O384" s="223"/>
    </row>
    <row r="385" spans="2:15" x14ac:dyDescent="0.2">
      <c r="B385" s="242"/>
      <c r="C385" s="222"/>
      <c r="D385" s="242"/>
      <c r="O385" s="223"/>
    </row>
    <row r="386" spans="2:15" x14ac:dyDescent="0.2">
      <c r="B386" s="242"/>
      <c r="C386" s="222"/>
      <c r="D386" s="242"/>
      <c r="O386" s="223"/>
    </row>
    <row r="387" spans="2:15" x14ac:dyDescent="0.2">
      <c r="B387" s="242"/>
      <c r="C387" s="222"/>
      <c r="D387" s="242"/>
      <c r="O387" s="223"/>
    </row>
    <row r="388" spans="2:15" x14ac:dyDescent="0.2">
      <c r="B388" s="242"/>
      <c r="C388" s="222"/>
      <c r="D388" s="242"/>
      <c r="O388" s="223"/>
    </row>
    <row r="389" spans="2:15" x14ac:dyDescent="0.2">
      <c r="B389" s="242"/>
      <c r="C389" s="222"/>
      <c r="D389" s="242"/>
      <c r="O389" s="223"/>
    </row>
    <row r="390" spans="2:15" x14ac:dyDescent="0.2">
      <c r="B390" s="242"/>
      <c r="C390" s="222"/>
      <c r="D390" s="242"/>
      <c r="O390" s="223"/>
    </row>
    <row r="391" spans="2:15" x14ac:dyDescent="0.2">
      <c r="B391" s="242"/>
      <c r="C391" s="222"/>
      <c r="D391" s="242"/>
      <c r="O391" s="223"/>
    </row>
    <row r="392" spans="2:15" x14ac:dyDescent="0.2">
      <c r="B392" s="242"/>
      <c r="C392" s="222"/>
      <c r="D392" s="242"/>
      <c r="O392" s="223"/>
    </row>
    <row r="393" spans="2:15" x14ac:dyDescent="0.2">
      <c r="B393" s="242"/>
      <c r="C393" s="222"/>
      <c r="D393" s="242"/>
      <c r="O393" s="223"/>
    </row>
    <row r="394" spans="2:15" x14ac:dyDescent="0.2">
      <c r="B394" s="242"/>
      <c r="C394" s="222"/>
      <c r="D394" s="242"/>
      <c r="O394" s="223"/>
    </row>
    <row r="395" spans="2:15" x14ac:dyDescent="0.2">
      <c r="B395" s="242"/>
      <c r="C395" s="222"/>
      <c r="D395" s="242"/>
      <c r="O395" s="223"/>
    </row>
    <row r="396" spans="2:15" x14ac:dyDescent="0.2">
      <c r="B396" s="242"/>
      <c r="C396" s="222"/>
      <c r="D396" s="242"/>
      <c r="O396" s="223"/>
    </row>
    <row r="397" spans="2:15" x14ac:dyDescent="0.2">
      <c r="B397" s="242"/>
      <c r="C397" s="222"/>
      <c r="D397" s="242"/>
      <c r="O397" s="223"/>
    </row>
    <row r="398" spans="2:15" x14ac:dyDescent="0.2">
      <c r="B398" s="242"/>
      <c r="C398" s="222"/>
      <c r="D398" s="242"/>
      <c r="O398" s="223"/>
    </row>
    <row r="399" spans="2:15" x14ac:dyDescent="0.2">
      <c r="B399" s="242"/>
      <c r="C399" s="222"/>
      <c r="D399" s="242"/>
      <c r="O399" s="223"/>
    </row>
    <row r="400" spans="2:15" x14ac:dyDescent="0.2">
      <c r="B400" s="242"/>
      <c r="C400" s="222"/>
      <c r="D400" s="242"/>
      <c r="O400" s="223"/>
    </row>
    <row r="401" spans="2:15" x14ac:dyDescent="0.2">
      <c r="B401" s="242"/>
      <c r="C401" s="222"/>
      <c r="D401" s="242"/>
      <c r="O401" s="223"/>
    </row>
    <row r="402" spans="2:15" x14ac:dyDescent="0.2">
      <c r="B402" s="242"/>
      <c r="C402" s="222"/>
      <c r="D402" s="242"/>
      <c r="O402" s="223"/>
    </row>
    <row r="403" spans="2:15" x14ac:dyDescent="0.2">
      <c r="B403" s="242"/>
      <c r="C403" s="222"/>
      <c r="D403" s="242"/>
      <c r="O403" s="223"/>
    </row>
    <row r="404" spans="2:15" x14ac:dyDescent="0.2">
      <c r="B404" s="242"/>
      <c r="C404" s="222"/>
      <c r="D404" s="242"/>
      <c r="O404" s="223"/>
    </row>
    <row r="405" spans="2:15" x14ac:dyDescent="0.2">
      <c r="B405" s="242"/>
      <c r="C405" s="222"/>
      <c r="D405" s="242"/>
      <c r="O405" s="223"/>
    </row>
    <row r="406" spans="2:15" x14ac:dyDescent="0.2">
      <c r="B406" s="242"/>
      <c r="C406" s="222"/>
      <c r="D406" s="242"/>
      <c r="O406" s="223"/>
    </row>
    <row r="407" spans="2:15" x14ac:dyDescent="0.2">
      <c r="B407" s="242"/>
      <c r="C407" s="222"/>
      <c r="D407" s="242"/>
      <c r="O407" s="223"/>
    </row>
    <row r="408" spans="2:15" x14ac:dyDescent="0.2">
      <c r="B408" s="242"/>
      <c r="C408" s="222"/>
      <c r="D408" s="242"/>
      <c r="O408" s="223"/>
    </row>
    <row r="409" spans="2:15" x14ac:dyDescent="0.2">
      <c r="B409" s="242"/>
      <c r="C409" s="222"/>
      <c r="D409" s="242"/>
      <c r="O409" s="223"/>
    </row>
    <row r="410" spans="2:15" x14ac:dyDescent="0.2">
      <c r="B410" s="242"/>
      <c r="C410" s="222"/>
      <c r="D410" s="242"/>
      <c r="O410" s="223"/>
    </row>
    <row r="411" spans="2:15" x14ac:dyDescent="0.2">
      <c r="B411" s="242"/>
      <c r="C411" s="222"/>
      <c r="D411" s="242"/>
      <c r="O411" s="223"/>
    </row>
    <row r="412" spans="2:15" x14ac:dyDescent="0.2">
      <c r="B412" s="242"/>
      <c r="C412" s="222"/>
      <c r="D412" s="242"/>
      <c r="O412" s="223"/>
    </row>
    <row r="413" spans="2:15" x14ac:dyDescent="0.2">
      <c r="B413" s="242"/>
      <c r="C413" s="222"/>
      <c r="D413" s="242"/>
      <c r="O413" s="223"/>
    </row>
    <row r="414" spans="2:15" x14ac:dyDescent="0.2">
      <c r="B414" s="242"/>
      <c r="C414" s="222"/>
      <c r="D414" s="242"/>
      <c r="O414" s="223"/>
    </row>
    <row r="415" spans="2:15" x14ac:dyDescent="0.2">
      <c r="B415" s="242"/>
      <c r="C415" s="222"/>
      <c r="D415" s="242"/>
      <c r="O415" s="223"/>
    </row>
    <row r="416" spans="2:15" x14ac:dyDescent="0.2">
      <c r="B416" s="242"/>
      <c r="C416" s="222"/>
      <c r="D416" s="242"/>
      <c r="O416" s="223"/>
    </row>
    <row r="417" spans="2:15" x14ac:dyDescent="0.2">
      <c r="B417" s="242"/>
      <c r="C417" s="222"/>
      <c r="D417" s="242"/>
      <c r="O417" s="223"/>
    </row>
    <row r="418" spans="2:15" x14ac:dyDescent="0.2">
      <c r="B418" s="242"/>
      <c r="C418" s="222"/>
      <c r="D418" s="242"/>
      <c r="O418" s="223"/>
    </row>
    <row r="419" spans="2:15" x14ac:dyDescent="0.2">
      <c r="B419" s="242"/>
      <c r="C419" s="222"/>
      <c r="D419" s="242"/>
      <c r="O419" s="223"/>
    </row>
    <row r="420" spans="2:15" x14ac:dyDescent="0.2">
      <c r="B420" s="242"/>
      <c r="C420" s="222"/>
      <c r="D420" s="242"/>
      <c r="O420" s="223"/>
    </row>
    <row r="421" spans="2:15" x14ac:dyDescent="0.2">
      <c r="B421" s="242"/>
      <c r="C421" s="222"/>
      <c r="D421" s="242"/>
      <c r="O421" s="223"/>
    </row>
    <row r="422" spans="2:15" x14ac:dyDescent="0.2">
      <c r="B422" s="242"/>
      <c r="C422" s="222"/>
      <c r="D422" s="242"/>
      <c r="O422" s="223"/>
    </row>
    <row r="423" spans="2:15" x14ac:dyDescent="0.2">
      <c r="B423" s="242"/>
      <c r="C423" s="222"/>
      <c r="D423" s="242"/>
      <c r="O423" s="223"/>
    </row>
    <row r="424" spans="2:15" x14ac:dyDescent="0.2">
      <c r="B424" s="242"/>
      <c r="C424" s="222"/>
      <c r="D424" s="242"/>
      <c r="O424" s="223"/>
    </row>
    <row r="425" spans="2:15" x14ac:dyDescent="0.2">
      <c r="B425" s="242"/>
      <c r="C425" s="222"/>
      <c r="D425" s="242"/>
      <c r="O425" s="223"/>
    </row>
    <row r="426" spans="2:15" x14ac:dyDescent="0.2">
      <c r="B426" s="242"/>
      <c r="C426" s="222"/>
      <c r="D426" s="242"/>
      <c r="O426" s="223"/>
    </row>
    <row r="427" spans="2:15" x14ac:dyDescent="0.2">
      <c r="B427" s="242"/>
      <c r="C427" s="222"/>
      <c r="D427" s="242"/>
      <c r="O427" s="223"/>
    </row>
    <row r="428" spans="2:15" x14ac:dyDescent="0.2">
      <c r="B428" s="242"/>
      <c r="C428" s="222"/>
      <c r="D428" s="242"/>
      <c r="O428" s="223"/>
    </row>
    <row r="429" spans="2:15" x14ac:dyDescent="0.2">
      <c r="B429" s="242"/>
      <c r="C429" s="222"/>
      <c r="D429" s="242"/>
      <c r="O429" s="223"/>
    </row>
    <row r="430" spans="2:15" x14ac:dyDescent="0.2">
      <c r="B430" s="242"/>
      <c r="C430" s="222"/>
      <c r="D430" s="242"/>
      <c r="O430" s="223"/>
    </row>
    <row r="431" spans="2:15" x14ac:dyDescent="0.2">
      <c r="B431" s="242"/>
      <c r="C431" s="222"/>
      <c r="D431" s="242"/>
      <c r="O431" s="223"/>
    </row>
    <row r="432" spans="2:15" x14ac:dyDescent="0.2">
      <c r="B432" s="242"/>
      <c r="C432" s="222"/>
      <c r="D432" s="242"/>
      <c r="O432" s="223"/>
    </row>
    <row r="433" spans="2:15" x14ac:dyDescent="0.2">
      <c r="B433" s="242"/>
      <c r="C433" s="222"/>
      <c r="D433" s="242"/>
      <c r="O433" s="223"/>
    </row>
    <row r="434" spans="2:15" x14ac:dyDescent="0.2">
      <c r="B434" s="242"/>
      <c r="C434" s="222"/>
      <c r="D434" s="242"/>
      <c r="O434" s="223"/>
    </row>
    <row r="435" spans="2:15" x14ac:dyDescent="0.2">
      <c r="B435" s="242"/>
      <c r="C435" s="222"/>
      <c r="D435" s="242"/>
      <c r="O435" s="223"/>
    </row>
    <row r="436" spans="2:15" x14ac:dyDescent="0.2">
      <c r="B436" s="242"/>
      <c r="C436" s="222"/>
      <c r="D436" s="242"/>
      <c r="O436" s="223"/>
    </row>
    <row r="437" spans="2:15" x14ac:dyDescent="0.2">
      <c r="B437" s="242"/>
      <c r="C437" s="222"/>
      <c r="D437" s="242"/>
      <c r="O437" s="223"/>
    </row>
    <row r="438" spans="2:15" x14ac:dyDescent="0.2">
      <c r="B438" s="242"/>
      <c r="C438" s="222"/>
      <c r="D438" s="242"/>
      <c r="O438" s="223"/>
    </row>
    <row r="439" spans="2:15" x14ac:dyDescent="0.2">
      <c r="B439" s="242"/>
      <c r="C439" s="222"/>
      <c r="D439" s="242"/>
      <c r="O439" s="223"/>
    </row>
    <row r="440" spans="2:15" x14ac:dyDescent="0.2">
      <c r="B440" s="242"/>
      <c r="C440" s="222"/>
      <c r="D440" s="242"/>
      <c r="O440" s="223"/>
    </row>
    <row r="441" spans="2:15" x14ac:dyDescent="0.2">
      <c r="B441" s="242"/>
      <c r="C441" s="222"/>
      <c r="D441" s="242"/>
      <c r="O441" s="223"/>
    </row>
    <row r="442" spans="2:15" x14ac:dyDescent="0.2">
      <c r="B442" s="242"/>
      <c r="C442" s="222"/>
      <c r="D442" s="242"/>
      <c r="O442" s="223"/>
    </row>
    <row r="443" spans="2:15" x14ac:dyDescent="0.2">
      <c r="B443" s="242"/>
      <c r="C443" s="222"/>
      <c r="D443" s="242"/>
      <c r="O443" s="223"/>
    </row>
    <row r="444" spans="2:15" x14ac:dyDescent="0.2">
      <c r="B444" s="242"/>
      <c r="C444" s="222"/>
      <c r="D444" s="242"/>
      <c r="O444" s="223"/>
    </row>
    <row r="445" spans="2:15" x14ac:dyDescent="0.2">
      <c r="B445" s="242"/>
      <c r="C445" s="222"/>
      <c r="D445" s="242"/>
      <c r="O445" s="223"/>
    </row>
    <row r="446" spans="2:15" x14ac:dyDescent="0.2">
      <c r="B446" s="242"/>
      <c r="C446" s="222"/>
      <c r="D446" s="242"/>
      <c r="O446" s="223"/>
    </row>
    <row r="447" spans="2:15" x14ac:dyDescent="0.2">
      <c r="B447" s="242"/>
      <c r="C447" s="222"/>
      <c r="D447" s="242"/>
      <c r="O447" s="223"/>
    </row>
    <row r="448" spans="2:15" x14ac:dyDescent="0.2">
      <c r="B448" s="242"/>
      <c r="C448" s="222"/>
      <c r="D448" s="242"/>
      <c r="O448" s="223"/>
    </row>
    <row r="449" spans="2:15" x14ac:dyDescent="0.2">
      <c r="B449" s="242"/>
      <c r="C449" s="222"/>
      <c r="D449" s="242"/>
      <c r="O449" s="223"/>
    </row>
    <row r="450" spans="2:15" x14ac:dyDescent="0.2">
      <c r="B450" s="242"/>
      <c r="C450" s="222"/>
      <c r="D450" s="242"/>
      <c r="O450" s="223"/>
    </row>
    <row r="451" spans="2:15" x14ac:dyDescent="0.2">
      <c r="B451" s="242"/>
      <c r="C451" s="222"/>
      <c r="D451" s="242"/>
      <c r="O451" s="223"/>
    </row>
    <row r="452" spans="2:15" x14ac:dyDescent="0.2">
      <c r="B452" s="242"/>
      <c r="C452" s="222"/>
      <c r="D452" s="242"/>
      <c r="O452" s="223"/>
    </row>
    <row r="453" spans="2:15" x14ac:dyDescent="0.2">
      <c r="B453" s="242"/>
      <c r="C453" s="222"/>
      <c r="D453" s="242"/>
      <c r="O453" s="223"/>
    </row>
    <row r="454" spans="2:15" x14ac:dyDescent="0.2">
      <c r="B454" s="242"/>
      <c r="C454" s="222"/>
      <c r="D454" s="242"/>
      <c r="O454" s="223"/>
    </row>
    <row r="455" spans="2:15" x14ac:dyDescent="0.2">
      <c r="B455" s="242"/>
      <c r="C455" s="222"/>
      <c r="D455" s="242"/>
      <c r="O455" s="223"/>
    </row>
    <row r="456" spans="2:15" x14ac:dyDescent="0.2">
      <c r="B456" s="242"/>
      <c r="C456" s="222"/>
      <c r="D456" s="242"/>
      <c r="O456" s="223"/>
    </row>
    <row r="457" spans="2:15" x14ac:dyDescent="0.2">
      <c r="B457" s="242"/>
      <c r="C457" s="222"/>
      <c r="D457" s="242"/>
      <c r="O457" s="223"/>
    </row>
    <row r="458" spans="2:15" x14ac:dyDescent="0.2">
      <c r="B458" s="242"/>
      <c r="C458" s="222"/>
      <c r="D458" s="242"/>
      <c r="O458" s="223"/>
    </row>
    <row r="459" spans="2:15" x14ac:dyDescent="0.2">
      <c r="B459" s="242"/>
      <c r="C459" s="222"/>
      <c r="D459" s="242"/>
      <c r="O459" s="223"/>
    </row>
    <row r="460" spans="2:15" x14ac:dyDescent="0.2">
      <c r="B460" s="242"/>
      <c r="C460" s="222"/>
      <c r="D460" s="242"/>
      <c r="O460" s="223"/>
    </row>
    <row r="461" spans="2:15" x14ac:dyDescent="0.2">
      <c r="B461" s="242"/>
      <c r="C461" s="222"/>
      <c r="D461" s="242"/>
      <c r="O461" s="223"/>
    </row>
    <row r="462" spans="2:15" x14ac:dyDescent="0.2">
      <c r="B462" s="242"/>
      <c r="C462" s="222"/>
      <c r="D462" s="242"/>
      <c r="O462" s="223"/>
    </row>
    <row r="463" spans="2:15" x14ac:dyDescent="0.2">
      <c r="B463" s="242"/>
      <c r="C463" s="222"/>
      <c r="D463" s="242"/>
      <c r="O463" s="223"/>
    </row>
    <row r="464" spans="2:15" x14ac:dyDescent="0.2">
      <c r="B464" s="242"/>
      <c r="C464" s="222"/>
      <c r="D464" s="242"/>
      <c r="O464" s="223"/>
    </row>
    <row r="465" spans="2:15" x14ac:dyDescent="0.2">
      <c r="B465" s="242"/>
      <c r="C465" s="222"/>
      <c r="D465" s="242"/>
      <c r="O465" s="223"/>
    </row>
    <row r="466" spans="2:15" x14ac:dyDescent="0.2">
      <c r="B466" s="242"/>
      <c r="C466" s="222"/>
      <c r="D466" s="242"/>
      <c r="O466" s="223"/>
    </row>
    <row r="467" spans="2:15" x14ac:dyDescent="0.2">
      <c r="B467" s="242"/>
      <c r="C467" s="222"/>
      <c r="D467" s="242"/>
      <c r="O467" s="223"/>
    </row>
    <row r="468" spans="2:15" x14ac:dyDescent="0.2">
      <c r="B468" s="242"/>
      <c r="C468" s="222"/>
      <c r="D468" s="242"/>
      <c r="O468" s="223"/>
    </row>
    <row r="469" spans="2:15" x14ac:dyDescent="0.2">
      <c r="B469" s="242"/>
      <c r="C469" s="222"/>
      <c r="D469" s="242"/>
      <c r="O469" s="223"/>
    </row>
    <row r="470" spans="2:15" x14ac:dyDescent="0.2">
      <c r="B470" s="242"/>
      <c r="C470" s="222"/>
      <c r="D470" s="242"/>
      <c r="O470" s="223"/>
    </row>
    <row r="471" spans="2:15" x14ac:dyDescent="0.2">
      <c r="B471" s="242"/>
      <c r="C471" s="222"/>
      <c r="D471" s="242"/>
      <c r="O471" s="223"/>
    </row>
    <row r="472" spans="2:15" x14ac:dyDescent="0.2">
      <c r="B472" s="242"/>
      <c r="C472" s="222"/>
      <c r="D472" s="242"/>
      <c r="O472" s="223"/>
    </row>
    <row r="473" spans="2:15" x14ac:dyDescent="0.2">
      <c r="B473" s="242"/>
      <c r="C473" s="222"/>
      <c r="D473" s="242"/>
      <c r="O473" s="223"/>
    </row>
    <row r="474" spans="2:15" x14ac:dyDescent="0.2">
      <c r="B474" s="242"/>
      <c r="C474" s="222"/>
      <c r="D474" s="242"/>
      <c r="O474" s="223"/>
    </row>
    <row r="475" spans="2:15" x14ac:dyDescent="0.2">
      <c r="B475" s="242"/>
      <c r="C475" s="222"/>
      <c r="D475" s="242"/>
      <c r="O475" s="223"/>
    </row>
    <row r="476" spans="2:15" x14ac:dyDescent="0.2">
      <c r="B476" s="242"/>
      <c r="C476" s="222"/>
      <c r="D476" s="242"/>
      <c r="O476" s="223"/>
    </row>
    <row r="477" spans="2:15" x14ac:dyDescent="0.2">
      <c r="B477" s="242"/>
      <c r="C477" s="222"/>
      <c r="D477" s="242"/>
      <c r="O477" s="223"/>
    </row>
    <row r="478" spans="2:15" x14ac:dyDescent="0.2">
      <c r="B478" s="242"/>
      <c r="C478" s="222"/>
      <c r="D478" s="242"/>
      <c r="O478" s="223"/>
    </row>
    <row r="479" spans="2:15" x14ac:dyDescent="0.2">
      <c r="B479" s="242"/>
      <c r="C479" s="222"/>
      <c r="D479" s="242"/>
      <c r="O479" s="223"/>
    </row>
    <row r="480" spans="2:15" x14ac:dyDescent="0.2">
      <c r="B480" s="242"/>
      <c r="C480" s="222"/>
      <c r="D480" s="242"/>
      <c r="O480" s="223"/>
    </row>
    <row r="481" spans="2:15" x14ac:dyDescent="0.2">
      <c r="B481" s="242"/>
      <c r="C481" s="222"/>
      <c r="D481" s="242"/>
      <c r="O481" s="223"/>
    </row>
    <row r="482" spans="2:15" x14ac:dyDescent="0.2">
      <c r="B482" s="242"/>
      <c r="C482" s="222"/>
      <c r="D482" s="242"/>
      <c r="O482" s="223"/>
    </row>
    <row r="483" spans="2:15" x14ac:dyDescent="0.2">
      <c r="B483" s="242"/>
      <c r="C483" s="222"/>
      <c r="D483" s="242"/>
      <c r="O483" s="223"/>
    </row>
    <row r="484" spans="2:15" x14ac:dyDescent="0.2">
      <c r="B484" s="242"/>
      <c r="C484" s="222"/>
      <c r="D484" s="242"/>
      <c r="O484" s="223"/>
    </row>
    <row r="485" spans="2:15" x14ac:dyDescent="0.2">
      <c r="B485" s="242"/>
      <c r="C485" s="222"/>
      <c r="D485" s="242"/>
      <c r="O485" s="223"/>
    </row>
    <row r="486" spans="2:15" x14ac:dyDescent="0.2">
      <c r="B486" s="242"/>
      <c r="C486" s="222"/>
      <c r="D486" s="242"/>
      <c r="O486" s="223"/>
    </row>
    <row r="487" spans="2:15" x14ac:dyDescent="0.2">
      <c r="B487" s="242"/>
      <c r="C487" s="222"/>
      <c r="D487" s="242"/>
      <c r="O487" s="223"/>
    </row>
    <row r="488" spans="2:15" x14ac:dyDescent="0.2">
      <c r="B488" s="242"/>
      <c r="C488" s="222"/>
      <c r="D488" s="242"/>
      <c r="O488" s="223"/>
    </row>
    <row r="489" spans="2:15" x14ac:dyDescent="0.2">
      <c r="B489" s="242"/>
      <c r="C489" s="222"/>
      <c r="D489" s="242"/>
      <c r="O489" s="223"/>
    </row>
    <row r="490" spans="2:15" x14ac:dyDescent="0.2">
      <c r="B490" s="242"/>
      <c r="C490" s="222"/>
      <c r="D490" s="242"/>
      <c r="O490" s="223"/>
    </row>
    <row r="491" spans="2:15" x14ac:dyDescent="0.2">
      <c r="B491" s="242"/>
      <c r="C491" s="222"/>
      <c r="D491" s="242"/>
      <c r="O491" s="223"/>
    </row>
    <row r="492" spans="2:15" x14ac:dyDescent="0.2">
      <c r="B492" s="242"/>
      <c r="C492" s="222"/>
      <c r="D492" s="242"/>
      <c r="O492" s="223"/>
    </row>
    <row r="493" spans="2:15" x14ac:dyDescent="0.2">
      <c r="B493" s="242"/>
      <c r="C493" s="222"/>
      <c r="D493" s="242"/>
      <c r="O493" s="223"/>
    </row>
    <row r="494" spans="2:15" x14ac:dyDescent="0.2">
      <c r="B494" s="242"/>
      <c r="C494" s="222"/>
      <c r="D494" s="242"/>
      <c r="O494" s="223"/>
    </row>
    <row r="495" spans="2:15" x14ac:dyDescent="0.2">
      <c r="B495" s="242"/>
      <c r="C495" s="222"/>
      <c r="D495" s="242"/>
      <c r="O495" s="223"/>
    </row>
    <row r="496" spans="2:15" x14ac:dyDescent="0.2">
      <c r="B496" s="242"/>
      <c r="C496" s="222"/>
      <c r="D496" s="242"/>
      <c r="O496" s="223"/>
    </row>
    <row r="497" spans="2:15" x14ac:dyDescent="0.2">
      <c r="B497" s="242"/>
      <c r="C497" s="222"/>
      <c r="D497" s="242"/>
      <c r="O497" s="223"/>
    </row>
    <row r="498" spans="2:15" x14ac:dyDescent="0.2">
      <c r="B498" s="242"/>
      <c r="C498" s="222"/>
      <c r="D498" s="242"/>
      <c r="O498" s="223"/>
    </row>
    <row r="499" spans="2:15" x14ac:dyDescent="0.2">
      <c r="B499" s="242"/>
      <c r="C499" s="222"/>
      <c r="D499" s="242"/>
      <c r="O499" s="223"/>
    </row>
    <row r="500" spans="2:15" x14ac:dyDescent="0.2">
      <c r="B500" s="242"/>
      <c r="C500" s="222"/>
      <c r="D500" s="242"/>
      <c r="O500" s="223"/>
    </row>
    <row r="501" spans="2:15" x14ac:dyDescent="0.2">
      <c r="B501" s="242"/>
      <c r="C501" s="222"/>
      <c r="D501" s="242"/>
      <c r="O501" s="223"/>
    </row>
    <row r="502" spans="2:15" x14ac:dyDescent="0.2">
      <c r="B502" s="242"/>
      <c r="C502" s="222"/>
      <c r="D502" s="242"/>
      <c r="O502" s="223"/>
    </row>
    <row r="503" spans="2:15" x14ac:dyDescent="0.2">
      <c r="B503" s="242"/>
      <c r="C503" s="222"/>
      <c r="D503" s="242"/>
      <c r="O503" s="223"/>
    </row>
    <row r="504" spans="2:15" x14ac:dyDescent="0.2">
      <c r="B504" s="242"/>
      <c r="C504" s="222"/>
      <c r="D504" s="242"/>
      <c r="O504" s="223"/>
    </row>
    <row r="505" spans="2:15" x14ac:dyDescent="0.2">
      <c r="B505" s="242"/>
      <c r="C505" s="222"/>
      <c r="D505" s="242"/>
      <c r="O505" s="223"/>
    </row>
    <row r="506" spans="2:15" x14ac:dyDescent="0.2">
      <c r="B506" s="242"/>
      <c r="C506" s="222"/>
      <c r="D506" s="242"/>
      <c r="O506" s="223"/>
    </row>
    <row r="507" spans="2:15" x14ac:dyDescent="0.2">
      <c r="B507" s="242"/>
      <c r="C507" s="222"/>
      <c r="D507" s="242"/>
      <c r="O507" s="223"/>
    </row>
    <row r="508" spans="2:15" x14ac:dyDescent="0.2">
      <c r="B508" s="242"/>
      <c r="C508" s="222"/>
      <c r="D508" s="242"/>
      <c r="O508" s="223"/>
    </row>
    <row r="509" spans="2:15" x14ac:dyDescent="0.2">
      <c r="B509" s="242"/>
      <c r="C509" s="222"/>
      <c r="D509" s="242"/>
      <c r="O509" s="223"/>
    </row>
    <row r="510" spans="2:15" x14ac:dyDescent="0.2">
      <c r="B510" s="242"/>
      <c r="C510" s="222"/>
      <c r="D510" s="242"/>
      <c r="O510" s="223"/>
    </row>
    <row r="511" spans="2:15" x14ac:dyDescent="0.2">
      <c r="B511" s="242"/>
      <c r="C511" s="222"/>
      <c r="D511" s="242"/>
      <c r="O511" s="223"/>
    </row>
    <row r="512" spans="2:15" x14ac:dyDescent="0.2">
      <c r="B512" s="242"/>
      <c r="C512" s="222"/>
      <c r="D512" s="242"/>
      <c r="O512" s="223"/>
    </row>
    <row r="513" spans="2:15" x14ac:dyDescent="0.2">
      <c r="B513" s="242"/>
      <c r="C513" s="222"/>
      <c r="D513" s="242"/>
      <c r="O513" s="223"/>
    </row>
    <row r="514" spans="2:15" x14ac:dyDescent="0.2">
      <c r="B514" s="242"/>
      <c r="C514" s="222"/>
      <c r="D514" s="242"/>
      <c r="O514" s="223"/>
    </row>
    <row r="515" spans="2:15" x14ac:dyDescent="0.2">
      <c r="B515" s="242"/>
      <c r="C515" s="222"/>
      <c r="D515" s="242"/>
      <c r="O515" s="223"/>
    </row>
    <row r="516" spans="2:15" x14ac:dyDescent="0.2">
      <c r="B516" s="242"/>
      <c r="C516" s="222"/>
      <c r="D516" s="242"/>
      <c r="O516" s="223"/>
    </row>
    <row r="517" spans="2:15" x14ac:dyDescent="0.2">
      <c r="B517" s="242"/>
      <c r="C517" s="222"/>
      <c r="D517" s="242"/>
      <c r="O517" s="223"/>
    </row>
    <row r="518" spans="2:15" x14ac:dyDescent="0.2">
      <c r="B518" s="242"/>
      <c r="C518" s="222"/>
      <c r="D518" s="242"/>
      <c r="O518" s="223"/>
    </row>
    <row r="519" spans="2:15" x14ac:dyDescent="0.2">
      <c r="B519" s="242"/>
      <c r="C519" s="222"/>
      <c r="D519" s="242"/>
      <c r="O519" s="223"/>
    </row>
    <row r="520" spans="2:15" x14ac:dyDescent="0.2">
      <c r="B520" s="242"/>
      <c r="C520" s="222"/>
      <c r="D520" s="242"/>
      <c r="O520" s="223"/>
    </row>
    <row r="521" spans="2:15" x14ac:dyDescent="0.2">
      <c r="B521" s="242"/>
      <c r="C521" s="222"/>
      <c r="D521" s="242"/>
      <c r="O521" s="223"/>
    </row>
    <row r="522" spans="2:15" x14ac:dyDescent="0.2">
      <c r="B522" s="242"/>
      <c r="C522" s="222"/>
      <c r="D522" s="242"/>
      <c r="O522" s="223"/>
    </row>
    <row r="523" spans="2:15" x14ac:dyDescent="0.2">
      <c r="B523" s="242"/>
      <c r="C523" s="222"/>
      <c r="D523" s="242"/>
      <c r="O523" s="223"/>
    </row>
    <row r="524" spans="2:15" x14ac:dyDescent="0.2">
      <c r="B524" s="242"/>
      <c r="C524" s="222"/>
      <c r="D524" s="242"/>
      <c r="O524" s="223"/>
    </row>
    <row r="525" spans="2:15" x14ac:dyDescent="0.2">
      <c r="B525" s="242"/>
      <c r="C525" s="222"/>
      <c r="D525" s="242"/>
      <c r="O525" s="223"/>
    </row>
    <row r="526" spans="2:15" x14ac:dyDescent="0.2">
      <c r="B526" s="242"/>
      <c r="C526" s="222"/>
      <c r="D526" s="242"/>
      <c r="O526" s="223"/>
    </row>
    <row r="527" spans="2:15" x14ac:dyDescent="0.2">
      <c r="B527" s="242"/>
      <c r="C527" s="222"/>
      <c r="D527" s="242"/>
      <c r="O527" s="223"/>
    </row>
    <row r="528" spans="2:15" x14ac:dyDescent="0.2">
      <c r="B528" s="242"/>
      <c r="C528" s="222"/>
      <c r="D528" s="242"/>
      <c r="O528" s="223"/>
    </row>
    <row r="529" spans="2:15" x14ac:dyDescent="0.2">
      <c r="B529" s="242"/>
      <c r="C529" s="222"/>
      <c r="D529" s="242"/>
      <c r="O529" s="223"/>
    </row>
    <row r="530" spans="2:15" x14ac:dyDescent="0.2">
      <c r="B530" s="242"/>
      <c r="C530" s="222"/>
      <c r="D530" s="242"/>
      <c r="O530" s="223"/>
    </row>
    <row r="531" spans="2:15" x14ac:dyDescent="0.2">
      <c r="B531" s="242"/>
      <c r="C531" s="222"/>
      <c r="D531" s="242"/>
      <c r="O531" s="223"/>
    </row>
    <row r="532" spans="2:15" x14ac:dyDescent="0.2">
      <c r="B532" s="242"/>
      <c r="C532" s="222"/>
      <c r="D532" s="242"/>
      <c r="O532" s="223"/>
    </row>
    <row r="533" spans="2:15" x14ac:dyDescent="0.2">
      <c r="B533" s="242"/>
      <c r="C533" s="222"/>
      <c r="D533" s="242"/>
      <c r="O533" s="223"/>
    </row>
    <row r="534" spans="2:15" x14ac:dyDescent="0.2">
      <c r="B534" s="242"/>
      <c r="C534" s="222"/>
      <c r="D534" s="242"/>
      <c r="O534" s="223"/>
    </row>
    <row r="535" spans="2:15" x14ac:dyDescent="0.2">
      <c r="B535" s="242"/>
      <c r="C535" s="222"/>
      <c r="D535" s="242"/>
      <c r="O535" s="223"/>
    </row>
    <row r="536" spans="2:15" x14ac:dyDescent="0.2">
      <c r="B536" s="242"/>
      <c r="C536" s="222"/>
      <c r="D536" s="242"/>
      <c r="O536" s="223"/>
    </row>
    <row r="537" spans="2:15" x14ac:dyDescent="0.2">
      <c r="B537" s="242"/>
      <c r="C537" s="222"/>
      <c r="D537" s="242"/>
      <c r="O537" s="223"/>
    </row>
    <row r="538" spans="2:15" x14ac:dyDescent="0.2">
      <c r="B538" s="242"/>
      <c r="C538" s="222"/>
      <c r="D538" s="242"/>
      <c r="O538" s="223"/>
    </row>
    <row r="539" spans="2:15" x14ac:dyDescent="0.2">
      <c r="B539" s="242"/>
      <c r="C539" s="222"/>
      <c r="D539" s="242"/>
      <c r="O539" s="223"/>
    </row>
    <row r="540" spans="2:15" x14ac:dyDescent="0.2">
      <c r="B540" s="242"/>
      <c r="C540" s="222"/>
      <c r="D540" s="242"/>
      <c r="O540" s="223"/>
    </row>
    <row r="541" spans="2:15" x14ac:dyDescent="0.2">
      <c r="B541" s="242"/>
      <c r="C541" s="222"/>
      <c r="D541" s="242"/>
      <c r="O541" s="223"/>
    </row>
    <row r="542" spans="2:15" x14ac:dyDescent="0.2">
      <c r="B542" s="242"/>
      <c r="C542" s="222"/>
      <c r="D542" s="242"/>
      <c r="O542" s="223"/>
    </row>
    <row r="543" spans="2:15" x14ac:dyDescent="0.2">
      <c r="B543" s="242"/>
      <c r="C543" s="222"/>
      <c r="D543" s="242"/>
      <c r="O543" s="223"/>
    </row>
    <row r="544" spans="2:15" x14ac:dyDescent="0.2">
      <c r="B544" s="242"/>
      <c r="C544" s="222"/>
      <c r="D544" s="242"/>
      <c r="O544" s="223"/>
    </row>
    <row r="545" spans="2:15" x14ac:dyDescent="0.2">
      <c r="B545" s="242"/>
      <c r="C545" s="222"/>
      <c r="D545" s="242"/>
      <c r="O545" s="223"/>
    </row>
    <row r="546" spans="2:15" x14ac:dyDescent="0.2">
      <c r="B546" s="242"/>
      <c r="C546" s="222"/>
      <c r="D546" s="242"/>
      <c r="O546" s="223"/>
    </row>
    <row r="547" spans="2:15" x14ac:dyDescent="0.2">
      <c r="B547" s="242"/>
      <c r="C547" s="222"/>
      <c r="D547" s="242"/>
      <c r="O547" s="223"/>
    </row>
    <row r="548" spans="2:15" x14ac:dyDescent="0.2">
      <c r="B548" s="242"/>
      <c r="C548" s="222"/>
      <c r="D548" s="242"/>
      <c r="O548" s="223"/>
    </row>
    <row r="549" spans="2:15" x14ac:dyDescent="0.2">
      <c r="B549" s="242"/>
      <c r="C549" s="222"/>
      <c r="D549" s="242"/>
      <c r="O549" s="223"/>
    </row>
    <row r="550" spans="2:15" x14ac:dyDescent="0.2">
      <c r="B550" s="242"/>
      <c r="C550" s="222"/>
      <c r="D550" s="242"/>
      <c r="O550" s="223"/>
    </row>
    <row r="551" spans="2:15" x14ac:dyDescent="0.2">
      <c r="B551" s="242"/>
      <c r="C551" s="222"/>
      <c r="D551" s="242"/>
      <c r="O551" s="223"/>
    </row>
    <row r="552" spans="2:15" x14ac:dyDescent="0.2">
      <c r="B552" s="242"/>
      <c r="C552" s="222"/>
      <c r="D552" s="242"/>
      <c r="O552" s="223"/>
    </row>
    <row r="553" spans="2:15" x14ac:dyDescent="0.2">
      <c r="B553" s="242"/>
      <c r="C553" s="222"/>
      <c r="D553" s="242"/>
      <c r="O553" s="223"/>
    </row>
    <row r="554" spans="2:15" x14ac:dyDescent="0.2">
      <c r="B554" s="242"/>
      <c r="C554" s="222"/>
      <c r="D554" s="242"/>
      <c r="O554" s="223"/>
    </row>
    <row r="555" spans="2:15" x14ac:dyDescent="0.2">
      <c r="B555" s="242"/>
      <c r="C555" s="222"/>
      <c r="D555" s="242"/>
      <c r="O555" s="223"/>
    </row>
    <row r="556" spans="2:15" x14ac:dyDescent="0.2">
      <c r="B556" s="242"/>
      <c r="C556" s="222"/>
      <c r="D556" s="242"/>
      <c r="O556" s="223"/>
    </row>
    <row r="557" spans="2:15" x14ac:dyDescent="0.2">
      <c r="B557" s="242"/>
      <c r="C557" s="222"/>
      <c r="D557" s="242"/>
      <c r="O557" s="223"/>
    </row>
    <row r="558" spans="2:15" x14ac:dyDescent="0.2">
      <c r="B558" s="242"/>
      <c r="C558" s="222"/>
      <c r="D558" s="242"/>
      <c r="O558" s="223"/>
    </row>
    <row r="559" spans="2:15" x14ac:dyDescent="0.2">
      <c r="B559" s="242"/>
      <c r="C559" s="222"/>
      <c r="D559" s="242"/>
      <c r="O559" s="223"/>
    </row>
    <row r="560" spans="2:15" x14ac:dyDescent="0.2">
      <c r="B560" s="242"/>
      <c r="C560" s="222"/>
      <c r="D560" s="242"/>
      <c r="O560" s="223"/>
    </row>
    <row r="561" spans="2:15" x14ac:dyDescent="0.2">
      <c r="B561" s="242"/>
      <c r="C561" s="222"/>
      <c r="D561" s="242"/>
      <c r="O561" s="223"/>
    </row>
    <row r="562" spans="2:15" x14ac:dyDescent="0.2">
      <c r="B562" s="242"/>
      <c r="C562" s="222"/>
      <c r="D562" s="242"/>
      <c r="O562" s="223"/>
    </row>
    <row r="563" spans="2:15" x14ac:dyDescent="0.2">
      <c r="B563" s="242"/>
      <c r="C563" s="222"/>
      <c r="D563" s="242"/>
      <c r="O563" s="223"/>
    </row>
    <row r="564" spans="2:15" x14ac:dyDescent="0.2">
      <c r="B564" s="242"/>
      <c r="C564" s="222"/>
      <c r="D564" s="242"/>
      <c r="O564" s="223"/>
    </row>
    <row r="565" spans="2:15" x14ac:dyDescent="0.2">
      <c r="B565" s="242"/>
      <c r="C565" s="222"/>
      <c r="D565" s="242"/>
      <c r="O565" s="223"/>
    </row>
    <row r="566" spans="2:15" x14ac:dyDescent="0.2">
      <c r="B566" s="242"/>
      <c r="C566" s="222"/>
      <c r="D566" s="242"/>
      <c r="O566" s="223"/>
    </row>
    <row r="567" spans="2:15" x14ac:dyDescent="0.2">
      <c r="B567" s="242"/>
      <c r="C567" s="222"/>
      <c r="D567" s="242"/>
      <c r="O567" s="223"/>
    </row>
    <row r="568" spans="2:15" x14ac:dyDescent="0.2">
      <c r="B568" s="242"/>
      <c r="C568" s="222"/>
      <c r="D568" s="242"/>
      <c r="O568" s="223"/>
    </row>
    <row r="569" spans="2:15" x14ac:dyDescent="0.2">
      <c r="B569" s="242"/>
      <c r="C569" s="222"/>
      <c r="D569" s="242"/>
      <c r="O569" s="223"/>
    </row>
    <row r="570" spans="2:15" x14ac:dyDescent="0.2">
      <c r="B570" s="242"/>
      <c r="C570" s="222"/>
      <c r="D570" s="242"/>
      <c r="O570" s="223"/>
    </row>
    <row r="571" spans="2:15" x14ac:dyDescent="0.2">
      <c r="B571" s="242"/>
      <c r="C571" s="222"/>
      <c r="D571" s="242"/>
      <c r="O571" s="223"/>
    </row>
    <row r="572" spans="2:15" x14ac:dyDescent="0.2">
      <c r="B572" s="242"/>
      <c r="C572" s="222"/>
      <c r="D572" s="242"/>
      <c r="O572" s="223"/>
    </row>
    <row r="573" spans="2:15" x14ac:dyDescent="0.2">
      <c r="B573" s="242"/>
      <c r="C573" s="222"/>
      <c r="D573" s="242"/>
      <c r="O573" s="223"/>
    </row>
    <row r="574" spans="2:15" x14ac:dyDescent="0.2">
      <c r="B574" s="242"/>
      <c r="C574" s="222"/>
      <c r="D574" s="242"/>
      <c r="O574" s="223"/>
    </row>
    <row r="575" spans="2:15" x14ac:dyDescent="0.2">
      <c r="B575" s="242"/>
      <c r="C575" s="222"/>
      <c r="D575" s="242"/>
      <c r="O575" s="223"/>
    </row>
    <row r="576" spans="2:15" x14ac:dyDescent="0.2">
      <c r="B576" s="242"/>
      <c r="C576" s="222"/>
      <c r="D576" s="242"/>
      <c r="O576" s="223"/>
    </row>
    <row r="577" spans="2:15" x14ac:dyDescent="0.2">
      <c r="B577" s="242"/>
      <c r="C577" s="222"/>
      <c r="D577" s="242"/>
      <c r="O577" s="223"/>
    </row>
    <row r="578" spans="2:15" x14ac:dyDescent="0.2">
      <c r="B578" s="242"/>
      <c r="C578" s="222"/>
      <c r="D578" s="242"/>
      <c r="O578" s="223"/>
    </row>
    <row r="579" spans="2:15" x14ac:dyDescent="0.2">
      <c r="B579" s="242"/>
      <c r="C579" s="222"/>
      <c r="D579" s="242"/>
      <c r="O579" s="223"/>
    </row>
    <row r="580" spans="2:15" x14ac:dyDescent="0.2">
      <c r="B580" s="242"/>
      <c r="C580" s="222"/>
      <c r="D580" s="242"/>
      <c r="O580" s="223"/>
    </row>
    <row r="581" spans="2:15" x14ac:dyDescent="0.2">
      <c r="B581" s="242"/>
      <c r="C581" s="222"/>
      <c r="D581" s="242"/>
      <c r="O581" s="223"/>
    </row>
    <row r="582" spans="2:15" x14ac:dyDescent="0.2">
      <c r="B582" s="242"/>
      <c r="C582" s="222"/>
      <c r="D582" s="242"/>
      <c r="O582" s="223"/>
    </row>
    <row r="583" spans="2:15" x14ac:dyDescent="0.2">
      <c r="B583" s="242"/>
      <c r="C583" s="222"/>
      <c r="D583" s="242"/>
      <c r="O583" s="223"/>
    </row>
    <row r="584" spans="2:15" x14ac:dyDescent="0.2">
      <c r="B584" s="242"/>
      <c r="C584" s="222"/>
      <c r="D584" s="242"/>
      <c r="O584" s="223"/>
    </row>
    <row r="585" spans="2:15" x14ac:dyDescent="0.2">
      <c r="B585" s="242"/>
      <c r="C585" s="222"/>
      <c r="D585" s="242"/>
      <c r="O585" s="223"/>
    </row>
    <row r="586" spans="2:15" x14ac:dyDescent="0.2">
      <c r="B586" s="242"/>
      <c r="C586" s="222"/>
      <c r="D586" s="242"/>
      <c r="O586" s="223"/>
    </row>
    <row r="587" spans="2:15" x14ac:dyDescent="0.2">
      <c r="B587" s="242"/>
      <c r="C587" s="222"/>
      <c r="D587" s="242"/>
      <c r="O587" s="223"/>
    </row>
    <row r="588" spans="2:15" x14ac:dyDescent="0.2">
      <c r="B588" s="242"/>
      <c r="C588" s="222"/>
      <c r="D588" s="242"/>
      <c r="O588" s="223"/>
    </row>
    <row r="589" spans="2:15" x14ac:dyDescent="0.2">
      <c r="B589" s="242"/>
      <c r="C589" s="222"/>
      <c r="D589" s="242"/>
      <c r="O589" s="223"/>
    </row>
    <row r="590" spans="2:15" x14ac:dyDescent="0.2">
      <c r="B590" s="242"/>
      <c r="C590" s="222"/>
      <c r="D590" s="242"/>
      <c r="O590" s="223"/>
    </row>
    <row r="591" spans="2:15" x14ac:dyDescent="0.2">
      <c r="B591" s="242"/>
      <c r="C591" s="222"/>
      <c r="D591" s="242"/>
      <c r="O591" s="223"/>
    </row>
    <row r="592" spans="2:15" x14ac:dyDescent="0.2">
      <c r="B592" s="242"/>
      <c r="C592" s="222"/>
      <c r="D592" s="242"/>
      <c r="O592" s="223"/>
    </row>
    <row r="593" spans="2:15" x14ac:dyDescent="0.2">
      <c r="B593" s="242"/>
      <c r="C593" s="222"/>
      <c r="D593" s="242"/>
      <c r="O593" s="223"/>
    </row>
    <row r="594" spans="2:15" x14ac:dyDescent="0.2">
      <c r="B594" s="242"/>
      <c r="C594" s="222"/>
      <c r="D594" s="242"/>
      <c r="O594" s="223"/>
    </row>
    <row r="595" spans="2:15" x14ac:dyDescent="0.2">
      <c r="B595" s="242"/>
      <c r="C595" s="222"/>
      <c r="D595" s="242"/>
      <c r="O595" s="223"/>
    </row>
    <row r="596" spans="2:15" x14ac:dyDescent="0.2">
      <c r="B596" s="242"/>
      <c r="C596" s="222"/>
      <c r="D596" s="242"/>
      <c r="O596" s="223"/>
    </row>
    <row r="597" spans="2:15" x14ac:dyDescent="0.2">
      <c r="B597" s="242"/>
      <c r="C597" s="222"/>
      <c r="D597" s="242"/>
      <c r="O597" s="223"/>
    </row>
    <row r="598" spans="2:15" x14ac:dyDescent="0.2">
      <c r="B598" s="242"/>
      <c r="C598" s="222"/>
      <c r="D598" s="242"/>
      <c r="O598" s="223"/>
    </row>
    <row r="599" spans="2:15" x14ac:dyDescent="0.2">
      <c r="B599" s="242"/>
      <c r="C599" s="222"/>
      <c r="D599" s="242"/>
      <c r="O599" s="223"/>
    </row>
    <row r="600" spans="2:15" x14ac:dyDescent="0.2">
      <c r="B600" s="242"/>
      <c r="C600" s="222"/>
      <c r="D600" s="242"/>
      <c r="O600" s="223"/>
    </row>
    <row r="601" spans="2:15" x14ac:dyDescent="0.2">
      <c r="B601" s="242"/>
      <c r="C601" s="222"/>
      <c r="D601" s="242"/>
      <c r="O601" s="223"/>
    </row>
    <row r="602" spans="2:15" x14ac:dyDescent="0.2">
      <c r="B602" s="242"/>
      <c r="C602" s="222"/>
      <c r="D602" s="242"/>
      <c r="O602" s="223"/>
    </row>
    <row r="603" spans="2:15" x14ac:dyDescent="0.2">
      <c r="B603" s="242"/>
      <c r="C603" s="222"/>
      <c r="D603" s="242"/>
      <c r="O603" s="223"/>
    </row>
    <row r="604" spans="2:15" x14ac:dyDescent="0.2">
      <c r="B604" s="242"/>
      <c r="C604" s="222"/>
      <c r="D604" s="242"/>
      <c r="O604" s="223"/>
    </row>
  </sheetData>
  <phoneticPr fontId="0" type="noConversion"/>
  <conditionalFormatting sqref="B605:AG65388 B2:AG2 F4 B25:F25 B40:D604 E40:F43 F26:F39 W40:AG604 A2:A65388 V13:V29 G13:R29 F16:F24 AG3:AG39 W3:AE39 G30:V43 G4:V12 B4:C9 B11:C14 B10:F10 E13:F14 AF10">
    <cfRule type="expression" dxfId="236" priority="1340" stopIfTrue="1">
      <formula>AND(ROW(A2)=$CA$1,COLUMN(A2)=$CA$2)</formula>
    </cfRule>
    <cfRule type="expression" dxfId="235" priority="1341" stopIfTrue="1">
      <formula>OR(AND(ROW(A2)=$CA$1,COLUMN(A2)&lt;$CA$2),AND(ROW(A2)&lt;$CA$1,COLUMN(A2)=$CA$2))</formula>
    </cfRule>
  </conditionalFormatting>
  <conditionalFormatting sqref="G3:V3">
    <cfRule type="expression" dxfId="234" priority="229" stopIfTrue="1">
      <formula>AND(ROW(G3)=$CA$1,COLUMN(G3)=$CA$2)</formula>
    </cfRule>
    <cfRule type="expression" dxfId="233" priority="230" stopIfTrue="1">
      <formula>OR(AND(ROW(G3)=$CA$1,COLUMN(G3)&lt;$CA$2),AND(ROW(G3)&lt;$CA$1,COLUMN(G3)=$CA$2))</formula>
    </cfRule>
  </conditionalFormatting>
  <conditionalFormatting sqref="D4">
    <cfRule type="expression" dxfId="232" priority="209" stopIfTrue="1">
      <formula>AND(ROW(D4)=$CA$1,COLUMN(D4)=$CA$2)</formula>
    </cfRule>
    <cfRule type="expression" dxfId="231" priority="210" stopIfTrue="1">
      <formula>OR(AND(ROW(D4)=$CA$1,COLUMN(D4)&lt;$CA$2),AND(ROW(D4)&lt;$CA$1,COLUMN(D4)=$CA$2))</formula>
    </cfRule>
  </conditionalFormatting>
  <conditionalFormatting sqref="E44:V604">
    <cfRule type="expression" dxfId="230" priority="207" stopIfTrue="1">
      <formula>AND(ROW(E44)=$CA$1,COLUMN(E44)=$CA$2)</formula>
    </cfRule>
    <cfRule type="expression" dxfId="229" priority="208" stopIfTrue="1">
      <formula>OR(AND(ROW(E44)=$CA$1,COLUMN(E44)&lt;$CA$2),AND(ROW(E44)&lt;$CA$1,COLUMN(E44)=$CA$2))</formula>
    </cfRule>
  </conditionalFormatting>
  <conditionalFormatting sqref="B3:C3">
    <cfRule type="expression" dxfId="228" priority="199" stopIfTrue="1">
      <formula>AND(ROW(B3)=$CA$1,COLUMN(B3)=$CA$2)</formula>
    </cfRule>
    <cfRule type="expression" dxfId="227" priority="200" stopIfTrue="1">
      <formula>OR(AND(ROW(B3)=$CA$1,COLUMN(B3)&lt;$CA$2),AND(ROW(B3)&lt;$CA$1,COLUMN(B3)=$CA$2))</formula>
    </cfRule>
  </conditionalFormatting>
  <conditionalFormatting sqref="D3">
    <cfRule type="expression" dxfId="226" priority="197" stopIfTrue="1">
      <formula>AND(ROW(D3)=$CA$1,COLUMN(D3)=$CA$2)</formula>
    </cfRule>
    <cfRule type="expression" dxfId="225" priority="198" stopIfTrue="1">
      <formula>OR(AND(ROW(D3)=$CA$1,COLUMN(D3)&lt;$CA$2),AND(ROW(D3)&lt;$CA$1,COLUMN(D3)=$CA$2))</formula>
    </cfRule>
  </conditionalFormatting>
  <conditionalFormatting sqref="F3">
    <cfRule type="expression" dxfId="224" priority="193" stopIfTrue="1">
      <formula>AND(ROW(F3)=$CA$1,COLUMN(F3)=$CA$2)</formula>
    </cfRule>
    <cfRule type="expression" dxfId="223" priority="194" stopIfTrue="1">
      <formula>OR(AND(ROW(F3)=$CA$1,COLUMN(F3)&lt;$CA$2),AND(ROW(F3)&lt;$CA$1,COLUMN(F3)=$CA$2))</formula>
    </cfRule>
  </conditionalFormatting>
  <conditionalFormatting sqref="F5">
    <cfRule type="expression" dxfId="222" priority="191" stopIfTrue="1">
      <formula>AND(ROW(F5)=$CA$1,COLUMN(F5)=$CA$2)</formula>
    </cfRule>
    <cfRule type="expression" dxfId="221" priority="192" stopIfTrue="1">
      <formula>OR(AND(ROW(F5)=$CA$1,COLUMN(F5)&lt;$CA$2),AND(ROW(F5)&lt;$CA$1,COLUMN(F5)=$CA$2))</formula>
    </cfRule>
  </conditionalFormatting>
  <conditionalFormatting sqref="D5">
    <cfRule type="expression" dxfId="220" priority="189" stopIfTrue="1">
      <formula>AND(ROW(D5)=$CA$1,COLUMN(D5)=$CA$2)</formula>
    </cfRule>
    <cfRule type="expression" dxfId="219" priority="190" stopIfTrue="1">
      <formula>OR(AND(ROW(D5)=$CA$1,COLUMN(D5)&lt;$CA$2),AND(ROW(D5)&lt;$CA$1,COLUMN(D5)=$CA$2))</formula>
    </cfRule>
  </conditionalFormatting>
  <conditionalFormatting sqref="F6">
    <cfRule type="expression" dxfId="218" priority="187" stopIfTrue="1">
      <formula>AND(ROW(F6)=$CA$1,COLUMN(F6)=$CA$2)</formula>
    </cfRule>
    <cfRule type="expression" dxfId="217" priority="188" stopIfTrue="1">
      <formula>OR(AND(ROW(F6)=$CA$1,COLUMN(F6)&lt;$CA$2),AND(ROW(F6)&lt;$CA$1,COLUMN(F6)=$CA$2))</formula>
    </cfRule>
  </conditionalFormatting>
  <conditionalFormatting sqref="D6">
    <cfRule type="expression" dxfId="216" priority="185" stopIfTrue="1">
      <formula>AND(ROW(D6)=$CA$1,COLUMN(D6)=$CA$2)</formula>
    </cfRule>
    <cfRule type="expression" dxfId="215" priority="186" stopIfTrue="1">
      <formula>OR(AND(ROW(D6)=$CA$1,COLUMN(D6)&lt;$CA$2),AND(ROW(D6)&lt;$CA$1,COLUMN(D6)=$CA$2))</formula>
    </cfRule>
  </conditionalFormatting>
  <conditionalFormatting sqref="F7">
    <cfRule type="expression" dxfId="214" priority="183" stopIfTrue="1">
      <formula>AND(ROW(F7)=$CA$1,COLUMN(F7)=$CA$2)</formula>
    </cfRule>
    <cfRule type="expression" dxfId="213" priority="184" stopIfTrue="1">
      <formula>OR(AND(ROW(F7)=$CA$1,COLUMN(F7)&lt;$CA$2),AND(ROW(F7)&lt;$CA$1,COLUMN(F7)=$CA$2))</formula>
    </cfRule>
  </conditionalFormatting>
  <conditionalFormatting sqref="D7">
    <cfRule type="expression" dxfId="212" priority="181" stopIfTrue="1">
      <formula>AND(ROW(D7)=$CA$1,COLUMN(D7)=$CA$2)</formula>
    </cfRule>
    <cfRule type="expression" dxfId="211" priority="182" stopIfTrue="1">
      <formula>OR(AND(ROW(D7)=$CA$1,COLUMN(D7)&lt;$CA$2),AND(ROW(D7)&lt;$CA$1,COLUMN(D7)=$CA$2))</formula>
    </cfRule>
  </conditionalFormatting>
  <conditionalFormatting sqref="F8:F9">
    <cfRule type="expression" dxfId="210" priority="179" stopIfTrue="1">
      <formula>AND(ROW(F8)=$CA$1,COLUMN(F8)=$CA$2)</formula>
    </cfRule>
    <cfRule type="expression" dxfId="209" priority="180" stopIfTrue="1">
      <formula>OR(AND(ROW(F8)=$CA$1,COLUMN(F8)&lt;$CA$2),AND(ROW(F8)&lt;$CA$1,COLUMN(F8)=$CA$2))</formula>
    </cfRule>
  </conditionalFormatting>
  <conditionalFormatting sqref="D8:D9">
    <cfRule type="expression" dxfId="208" priority="177" stopIfTrue="1">
      <formula>AND(ROW(D8)=$CA$1,COLUMN(D8)=$CA$2)</formula>
    </cfRule>
    <cfRule type="expression" dxfId="207" priority="178" stopIfTrue="1">
      <formula>OR(AND(ROW(D8)=$CA$1,COLUMN(D8)&lt;$CA$2),AND(ROW(D8)&lt;$CA$1,COLUMN(D8)=$CA$2))</formula>
    </cfRule>
  </conditionalFormatting>
  <conditionalFormatting sqref="F11">
    <cfRule type="expression" dxfId="206" priority="175" stopIfTrue="1">
      <formula>AND(ROW(F11)=$CA$1,COLUMN(F11)=$CA$2)</formula>
    </cfRule>
    <cfRule type="expression" dxfId="205" priority="176" stopIfTrue="1">
      <formula>OR(AND(ROW(F11)=$CA$1,COLUMN(F11)&lt;$CA$2),AND(ROW(F11)&lt;$CA$1,COLUMN(F11)=$CA$2))</formula>
    </cfRule>
  </conditionalFormatting>
  <conditionalFormatting sqref="F12">
    <cfRule type="expression" dxfId="204" priority="173" stopIfTrue="1">
      <formula>AND(ROW(F12)=$CA$1,COLUMN(F12)=$CA$2)</formula>
    </cfRule>
    <cfRule type="expression" dxfId="203" priority="174" stopIfTrue="1">
      <formula>OR(AND(ROW(F12)=$CA$1,COLUMN(F12)&lt;$CA$2),AND(ROW(F12)&lt;$CA$1,COLUMN(F12)=$CA$2))</formula>
    </cfRule>
  </conditionalFormatting>
  <conditionalFormatting sqref="D12">
    <cfRule type="expression" dxfId="202" priority="171" stopIfTrue="1">
      <formula>AND(ROW(D12)=$CA$1,COLUMN(D12)=$CA$2)</formula>
    </cfRule>
    <cfRule type="expression" dxfId="201" priority="172" stopIfTrue="1">
      <formula>OR(AND(ROW(D12)=$CA$1,COLUMN(D12)&lt;$CA$2),AND(ROW(D12)&lt;$CA$1,COLUMN(D12)=$CA$2))</formula>
    </cfRule>
  </conditionalFormatting>
  <conditionalFormatting sqref="D13">
    <cfRule type="expression" dxfId="200" priority="169" stopIfTrue="1">
      <formula>AND(ROW(D13)=$CA$1,COLUMN(D13)=$CA$2)</formula>
    </cfRule>
    <cfRule type="expression" dxfId="199" priority="170" stopIfTrue="1">
      <formula>OR(AND(ROW(D13)=$CA$1,COLUMN(D13)&lt;$CA$2),AND(ROW(D13)&lt;$CA$1,COLUMN(D13)=$CA$2))</formula>
    </cfRule>
  </conditionalFormatting>
  <conditionalFormatting sqref="E4">
    <cfRule type="expression" dxfId="198" priority="167" stopIfTrue="1">
      <formula>AND(ROW(E4)=$CA$1,COLUMN(E4)=$CA$2)</formula>
    </cfRule>
    <cfRule type="expression" dxfId="197" priority="168" stopIfTrue="1">
      <formula>OR(AND(ROW(E4)=$CA$1,COLUMN(E4)&lt;$CA$2),AND(ROW(E4)&lt;$CA$1,COLUMN(E4)=$CA$2))</formula>
    </cfRule>
  </conditionalFormatting>
  <conditionalFormatting sqref="E3">
    <cfRule type="expression" dxfId="196" priority="165" stopIfTrue="1">
      <formula>AND(ROW(E3)=$CA$1,COLUMN(E3)=$CA$2)</formula>
    </cfRule>
    <cfRule type="expression" dxfId="195" priority="166" stopIfTrue="1">
      <formula>OR(AND(ROW(E3)=$CA$1,COLUMN(E3)&lt;$CA$2),AND(ROW(E3)&lt;$CA$1,COLUMN(E3)=$CA$2))</formula>
    </cfRule>
  </conditionalFormatting>
  <conditionalFormatting sqref="E5">
    <cfRule type="expression" dxfId="194" priority="163" stopIfTrue="1">
      <formula>AND(ROW(E5)=$CA$1,COLUMN(E5)=$CA$2)</formula>
    </cfRule>
    <cfRule type="expression" dxfId="193" priority="164" stopIfTrue="1">
      <formula>OR(AND(ROW(E5)=$CA$1,COLUMN(E5)&lt;$CA$2),AND(ROW(E5)&lt;$CA$1,COLUMN(E5)=$CA$2))</formula>
    </cfRule>
  </conditionalFormatting>
  <conditionalFormatting sqref="E6">
    <cfRule type="expression" dxfId="192" priority="161" stopIfTrue="1">
      <formula>AND(ROW(E6)=$CA$1,COLUMN(E6)=$CA$2)</formula>
    </cfRule>
    <cfRule type="expression" dxfId="191" priority="162" stopIfTrue="1">
      <formula>OR(AND(ROW(E6)=$CA$1,COLUMN(E6)&lt;$CA$2),AND(ROW(E6)&lt;$CA$1,COLUMN(E6)=$CA$2))</formula>
    </cfRule>
  </conditionalFormatting>
  <conditionalFormatting sqref="E7">
    <cfRule type="expression" dxfId="190" priority="159" stopIfTrue="1">
      <formula>AND(ROW(E7)=$CA$1,COLUMN(E7)=$CA$2)</formula>
    </cfRule>
    <cfRule type="expression" dxfId="189" priority="160" stopIfTrue="1">
      <formula>OR(AND(ROW(E7)=$CA$1,COLUMN(E7)&lt;$CA$2),AND(ROW(E7)&lt;$CA$1,COLUMN(E7)=$CA$2))</formula>
    </cfRule>
  </conditionalFormatting>
  <conditionalFormatting sqref="E8:E9">
    <cfRule type="expression" dxfId="188" priority="157" stopIfTrue="1">
      <formula>AND(ROW(E8)=$CA$1,COLUMN(E8)=$CA$2)</formula>
    </cfRule>
    <cfRule type="expression" dxfId="187" priority="158" stopIfTrue="1">
      <formula>OR(AND(ROW(E8)=$CA$1,COLUMN(E8)&lt;$CA$2),AND(ROW(E8)&lt;$CA$1,COLUMN(E8)=$CA$2))</formula>
    </cfRule>
  </conditionalFormatting>
  <conditionalFormatting sqref="E11">
    <cfRule type="expression" dxfId="186" priority="155" stopIfTrue="1">
      <formula>AND(ROW(E11)=$CA$1,COLUMN(E11)=$CA$2)</formula>
    </cfRule>
    <cfRule type="expression" dxfId="185" priority="156" stopIfTrue="1">
      <formula>OR(AND(ROW(E11)=$CA$1,COLUMN(E11)&lt;$CA$2),AND(ROW(E11)&lt;$CA$1,COLUMN(E11)=$CA$2))</formula>
    </cfRule>
  </conditionalFormatting>
  <conditionalFormatting sqref="E12">
    <cfRule type="expression" dxfId="184" priority="153" stopIfTrue="1">
      <formula>AND(ROW(E12)=$CA$1,COLUMN(E12)=$CA$2)</formula>
    </cfRule>
    <cfRule type="expression" dxfId="183" priority="154" stopIfTrue="1">
      <formula>OR(AND(ROW(E12)=$CA$1,COLUMN(E12)&lt;$CA$2),AND(ROW(E12)&lt;$CA$1,COLUMN(E12)=$CA$2))</formula>
    </cfRule>
  </conditionalFormatting>
  <conditionalFormatting sqref="D14">
    <cfRule type="expression" dxfId="182" priority="151" stopIfTrue="1">
      <formula>AND(ROW(D14)=$CA$1,COLUMN(D14)=$CA$2)</formula>
    </cfRule>
    <cfRule type="expression" dxfId="181" priority="152" stopIfTrue="1">
      <formula>OR(AND(ROW(D14)=$CA$1,COLUMN(D14)&lt;$CA$2),AND(ROW(D14)&lt;$CA$1,COLUMN(D14)=$CA$2))</formula>
    </cfRule>
  </conditionalFormatting>
  <conditionalFormatting sqref="B16:C16">
    <cfRule type="expression" dxfId="180" priority="149" stopIfTrue="1">
      <formula>AND(ROW(B16)=$CA$1,COLUMN(B16)=$CA$2)</formula>
    </cfRule>
    <cfRule type="expression" dxfId="179" priority="150" stopIfTrue="1">
      <formula>OR(AND(ROW(B16)=$CA$1,COLUMN(B16)&lt;$CA$2),AND(ROW(B16)&lt;$CA$1,COLUMN(B16)=$CA$2))</formula>
    </cfRule>
  </conditionalFormatting>
  <conditionalFormatting sqref="D16">
    <cfRule type="expression" dxfId="178" priority="147" stopIfTrue="1">
      <formula>AND(ROW(D16)=$CA$1,COLUMN(D16)=$CA$2)</formula>
    </cfRule>
    <cfRule type="expression" dxfId="177" priority="148" stopIfTrue="1">
      <formula>OR(AND(ROW(D16)=$CA$1,COLUMN(D16)&lt;$CA$2),AND(ROW(D16)&lt;$CA$1,COLUMN(D16)=$CA$2))</formula>
    </cfRule>
  </conditionalFormatting>
  <conditionalFormatting sqref="E16">
    <cfRule type="expression" dxfId="176" priority="145" stopIfTrue="1">
      <formula>AND(ROW(E16)=$CA$1,COLUMN(E16)=$CA$2)</formula>
    </cfRule>
    <cfRule type="expression" dxfId="175" priority="146" stopIfTrue="1">
      <formula>OR(AND(ROW(E16)=$CA$1,COLUMN(E16)&lt;$CA$2),AND(ROW(E16)&lt;$CA$1,COLUMN(E16)=$CA$2))</formula>
    </cfRule>
  </conditionalFormatting>
  <conditionalFormatting sqref="B17:C17">
    <cfRule type="expression" dxfId="174" priority="143" stopIfTrue="1">
      <formula>AND(ROW(B17)=$CA$1,COLUMN(B17)=$CA$2)</formula>
    </cfRule>
    <cfRule type="expression" dxfId="173" priority="144" stopIfTrue="1">
      <formula>OR(AND(ROW(B17)=$CA$1,COLUMN(B17)&lt;$CA$2),AND(ROW(B17)&lt;$CA$1,COLUMN(B17)=$CA$2))</formula>
    </cfRule>
  </conditionalFormatting>
  <conditionalFormatting sqref="D17">
    <cfRule type="expression" dxfId="172" priority="141" stopIfTrue="1">
      <formula>AND(ROW(D17)=$CA$1,COLUMN(D17)=$CA$2)</formula>
    </cfRule>
    <cfRule type="expression" dxfId="171" priority="142" stopIfTrue="1">
      <formula>OR(AND(ROW(D17)=$CA$1,COLUMN(D17)&lt;$CA$2),AND(ROW(D17)&lt;$CA$1,COLUMN(D17)=$CA$2))</formula>
    </cfRule>
  </conditionalFormatting>
  <conditionalFormatting sqref="E17">
    <cfRule type="expression" dxfId="170" priority="139" stopIfTrue="1">
      <formula>AND(ROW(E17)=$CA$1,COLUMN(E17)=$CA$2)</formula>
    </cfRule>
    <cfRule type="expression" dxfId="169" priority="140" stopIfTrue="1">
      <formula>OR(AND(ROW(E17)=$CA$1,COLUMN(E17)&lt;$CA$2),AND(ROW(E17)&lt;$CA$1,COLUMN(E17)=$CA$2))</formula>
    </cfRule>
  </conditionalFormatting>
  <conditionalFormatting sqref="B18:C18">
    <cfRule type="expression" dxfId="168" priority="137" stopIfTrue="1">
      <formula>AND(ROW(B18)=$CA$1,COLUMN(B18)=$CA$2)</formula>
    </cfRule>
    <cfRule type="expression" dxfId="167" priority="138" stopIfTrue="1">
      <formula>OR(AND(ROW(B18)=$CA$1,COLUMN(B18)&lt;$CA$2),AND(ROW(B18)&lt;$CA$1,COLUMN(B18)=$CA$2))</formula>
    </cfRule>
  </conditionalFormatting>
  <conditionalFormatting sqref="E18">
    <cfRule type="expression" dxfId="166" priority="135" stopIfTrue="1">
      <formula>AND(ROW(E18)=$CA$1,COLUMN(E18)=$CA$2)</formula>
    </cfRule>
    <cfRule type="expression" dxfId="165" priority="136" stopIfTrue="1">
      <formula>OR(AND(ROW(E18)=$CA$1,COLUMN(E18)&lt;$CA$2),AND(ROW(E18)&lt;$CA$1,COLUMN(E18)=$CA$2))</formula>
    </cfRule>
  </conditionalFormatting>
  <conditionalFormatting sqref="B19:C19">
    <cfRule type="expression" dxfId="164" priority="133" stopIfTrue="1">
      <formula>AND(ROW(B19)=$CA$1,COLUMN(B19)=$CA$2)</formula>
    </cfRule>
    <cfRule type="expression" dxfId="163" priority="134" stopIfTrue="1">
      <formula>OR(AND(ROW(B19)=$CA$1,COLUMN(B19)&lt;$CA$2),AND(ROW(B19)&lt;$CA$1,COLUMN(B19)=$CA$2))</formula>
    </cfRule>
  </conditionalFormatting>
  <conditionalFormatting sqref="D19">
    <cfRule type="expression" dxfId="162" priority="131" stopIfTrue="1">
      <formula>AND(ROW(D19)=$CA$1,COLUMN(D19)=$CA$2)</formula>
    </cfRule>
    <cfRule type="expression" dxfId="161" priority="132" stopIfTrue="1">
      <formula>OR(AND(ROW(D19)=$CA$1,COLUMN(D19)&lt;$CA$2),AND(ROW(D19)&lt;$CA$1,COLUMN(D19)=$CA$2))</formula>
    </cfRule>
  </conditionalFormatting>
  <conditionalFormatting sqref="E19">
    <cfRule type="expression" dxfId="160" priority="129" stopIfTrue="1">
      <formula>AND(ROW(E19)=$CA$1,COLUMN(E19)=$CA$2)</formula>
    </cfRule>
    <cfRule type="expression" dxfId="159" priority="130" stopIfTrue="1">
      <formula>OR(AND(ROW(E19)=$CA$1,COLUMN(E19)&lt;$CA$2),AND(ROW(E19)&lt;$CA$1,COLUMN(E19)=$CA$2))</formula>
    </cfRule>
  </conditionalFormatting>
  <conditionalFormatting sqref="B20:D21">
    <cfRule type="expression" dxfId="158" priority="127" stopIfTrue="1">
      <formula>AND(ROW(B20)=$CA$1,COLUMN(B20)=$CA$2)</formula>
    </cfRule>
    <cfRule type="expression" dxfId="157" priority="128" stopIfTrue="1">
      <formula>OR(AND(ROW(B20)=$CA$1,COLUMN(B20)&lt;$CA$2),AND(ROW(B20)&lt;$CA$1,COLUMN(B20)=$CA$2))</formula>
    </cfRule>
  </conditionalFormatting>
  <conditionalFormatting sqref="E20:E21">
    <cfRule type="expression" dxfId="156" priority="125" stopIfTrue="1">
      <formula>AND(ROW(E20)=$CA$1,COLUMN(E20)=$CA$2)</formula>
    </cfRule>
    <cfRule type="expression" dxfId="155" priority="126" stopIfTrue="1">
      <formula>OR(AND(ROW(E20)=$CA$1,COLUMN(E20)&lt;$CA$2),AND(ROW(E20)&lt;$CA$1,COLUMN(E20)=$CA$2))</formula>
    </cfRule>
  </conditionalFormatting>
  <conditionalFormatting sqref="B22:D22">
    <cfRule type="expression" dxfId="154" priority="123" stopIfTrue="1">
      <formula>AND(ROW(B22)=$CA$1,COLUMN(B22)=$CA$2)</formula>
    </cfRule>
    <cfRule type="expression" dxfId="153" priority="124" stopIfTrue="1">
      <formula>OR(AND(ROW(B22)=$CA$1,COLUMN(B22)&lt;$CA$2),AND(ROW(B22)&lt;$CA$1,COLUMN(B22)=$CA$2))</formula>
    </cfRule>
  </conditionalFormatting>
  <conditionalFormatting sqref="E22">
    <cfRule type="expression" dxfId="152" priority="121" stopIfTrue="1">
      <formula>AND(ROW(E22)=$CA$1,COLUMN(E22)=$CA$2)</formula>
    </cfRule>
    <cfRule type="expression" dxfId="151" priority="122" stopIfTrue="1">
      <formula>OR(AND(ROW(E22)=$CA$1,COLUMN(E22)&lt;$CA$2),AND(ROW(E22)&lt;$CA$1,COLUMN(E22)=$CA$2))</formula>
    </cfRule>
  </conditionalFormatting>
  <conditionalFormatting sqref="B23:D23">
    <cfRule type="expression" dxfId="150" priority="119" stopIfTrue="1">
      <formula>AND(ROW(B23)=$CA$1,COLUMN(B23)=$CA$2)</formula>
    </cfRule>
    <cfRule type="expression" dxfId="149" priority="120" stopIfTrue="1">
      <formula>OR(AND(ROW(B23)=$CA$1,COLUMN(B23)&lt;$CA$2),AND(ROW(B23)&lt;$CA$1,COLUMN(B23)=$CA$2))</formula>
    </cfRule>
  </conditionalFormatting>
  <conditionalFormatting sqref="E23">
    <cfRule type="expression" dxfId="148" priority="117" stopIfTrue="1">
      <formula>AND(ROW(E23)=$CA$1,COLUMN(E23)=$CA$2)</formula>
    </cfRule>
    <cfRule type="expression" dxfId="147" priority="118" stopIfTrue="1">
      <formula>OR(AND(ROW(E23)=$CA$1,COLUMN(E23)&lt;$CA$2),AND(ROW(E23)&lt;$CA$1,COLUMN(E23)=$CA$2))</formula>
    </cfRule>
  </conditionalFormatting>
  <conditionalFormatting sqref="B24:D24">
    <cfRule type="expression" dxfId="146" priority="115" stopIfTrue="1">
      <formula>AND(ROW(B24)=$CA$1,COLUMN(B24)=$CA$2)</formula>
    </cfRule>
    <cfRule type="expression" dxfId="145" priority="116" stopIfTrue="1">
      <formula>OR(AND(ROW(B24)=$CA$1,COLUMN(B24)&lt;$CA$2),AND(ROW(B24)&lt;$CA$1,COLUMN(B24)=$CA$2))</formula>
    </cfRule>
  </conditionalFormatting>
  <conditionalFormatting sqref="E24">
    <cfRule type="expression" dxfId="144" priority="113" stopIfTrue="1">
      <formula>AND(ROW(E24)=$CA$1,COLUMN(E24)=$CA$2)</formula>
    </cfRule>
    <cfRule type="expression" dxfId="143" priority="114" stopIfTrue="1">
      <formula>OR(AND(ROW(E24)=$CA$1,COLUMN(E24)&lt;$CA$2),AND(ROW(E24)&lt;$CA$1,COLUMN(E24)=$CA$2))</formula>
    </cfRule>
  </conditionalFormatting>
  <conditionalFormatting sqref="B26:D26">
    <cfRule type="expression" dxfId="142" priority="111" stopIfTrue="1">
      <formula>AND(ROW(B26)=$CA$1,COLUMN(B26)=$CA$2)</formula>
    </cfRule>
    <cfRule type="expression" dxfId="141" priority="112" stopIfTrue="1">
      <formula>OR(AND(ROW(B26)=$CA$1,COLUMN(B26)&lt;$CA$2),AND(ROW(B26)&lt;$CA$1,COLUMN(B26)=$CA$2))</formula>
    </cfRule>
  </conditionalFormatting>
  <conditionalFormatting sqref="E26">
    <cfRule type="expression" dxfId="140" priority="109" stopIfTrue="1">
      <formula>AND(ROW(E26)=$CA$1,COLUMN(E26)=$CA$2)</formula>
    </cfRule>
    <cfRule type="expression" dxfId="139" priority="110" stopIfTrue="1">
      <formula>OR(AND(ROW(E26)=$CA$1,COLUMN(E26)&lt;$CA$2),AND(ROW(E26)&lt;$CA$1,COLUMN(E26)=$CA$2))</formula>
    </cfRule>
  </conditionalFormatting>
  <conditionalFormatting sqref="B27:D29">
    <cfRule type="expression" dxfId="138" priority="107" stopIfTrue="1">
      <formula>AND(ROW(B27)=$CA$1,COLUMN(B27)=$CA$2)</formula>
    </cfRule>
    <cfRule type="expression" dxfId="137" priority="108" stopIfTrue="1">
      <formula>OR(AND(ROW(B27)=$CA$1,COLUMN(B27)&lt;$CA$2),AND(ROW(B27)&lt;$CA$1,COLUMN(B27)=$CA$2))</formula>
    </cfRule>
  </conditionalFormatting>
  <conditionalFormatting sqref="E27:E29">
    <cfRule type="expression" dxfId="136" priority="105" stopIfTrue="1">
      <formula>AND(ROW(E27)=$CA$1,COLUMN(E27)=$CA$2)</formula>
    </cfRule>
    <cfRule type="expression" dxfId="135" priority="106" stopIfTrue="1">
      <formula>OR(AND(ROW(E27)=$CA$1,COLUMN(E27)&lt;$CA$2),AND(ROW(E27)&lt;$CA$1,COLUMN(E27)=$CA$2))</formula>
    </cfRule>
  </conditionalFormatting>
  <conditionalFormatting sqref="B30:D30">
    <cfRule type="expression" dxfId="134" priority="103" stopIfTrue="1">
      <formula>AND(ROW(B30)=$CA$1,COLUMN(B30)=$CA$2)</formula>
    </cfRule>
    <cfRule type="expression" dxfId="133" priority="104" stopIfTrue="1">
      <formula>OR(AND(ROW(B30)=$CA$1,COLUMN(B30)&lt;$CA$2),AND(ROW(B30)&lt;$CA$1,COLUMN(B30)=$CA$2))</formula>
    </cfRule>
  </conditionalFormatting>
  <conditionalFormatting sqref="E30">
    <cfRule type="expression" dxfId="132" priority="101" stopIfTrue="1">
      <formula>AND(ROW(E30)=$CA$1,COLUMN(E30)=$CA$2)</formula>
    </cfRule>
    <cfRule type="expression" dxfId="131" priority="102" stopIfTrue="1">
      <formula>OR(AND(ROW(E30)=$CA$1,COLUMN(E30)&lt;$CA$2),AND(ROW(E30)&lt;$CA$1,COLUMN(E30)=$CA$2))</formula>
    </cfRule>
  </conditionalFormatting>
  <conditionalFormatting sqref="B31:D31">
    <cfRule type="expression" dxfId="130" priority="99" stopIfTrue="1">
      <formula>AND(ROW(B31)=$CA$1,COLUMN(B31)=$CA$2)</formula>
    </cfRule>
    <cfRule type="expression" dxfId="129" priority="100" stopIfTrue="1">
      <formula>OR(AND(ROW(B31)=$CA$1,COLUMN(B31)&lt;$CA$2),AND(ROW(B31)&lt;$CA$1,COLUMN(B31)=$CA$2))</formula>
    </cfRule>
  </conditionalFormatting>
  <conditionalFormatting sqref="E31">
    <cfRule type="expression" dxfId="128" priority="97" stopIfTrue="1">
      <formula>AND(ROW(E31)=$CA$1,COLUMN(E31)=$CA$2)</formula>
    </cfRule>
    <cfRule type="expression" dxfId="127" priority="98" stopIfTrue="1">
      <formula>OR(AND(ROW(E31)=$CA$1,COLUMN(E31)&lt;$CA$2),AND(ROW(E31)&lt;$CA$1,COLUMN(E31)=$CA$2))</formula>
    </cfRule>
  </conditionalFormatting>
  <conditionalFormatting sqref="B32:D32">
    <cfRule type="expression" dxfId="126" priority="95" stopIfTrue="1">
      <formula>AND(ROW(B32)=$CA$1,COLUMN(B32)=$CA$2)</formula>
    </cfRule>
    <cfRule type="expression" dxfId="125" priority="96" stopIfTrue="1">
      <formula>OR(AND(ROW(B32)=$CA$1,COLUMN(B32)&lt;$CA$2),AND(ROW(B32)&lt;$CA$1,COLUMN(B32)=$CA$2))</formula>
    </cfRule>
  </conditionalFormatting>
  <conditionalFormatting sqref="E32">
    <cfRule type="expression" dxfId="124" priority="93" stopIfTrue="1">
      <formula>AND(ROW(E32)=$CA$1,COLUMN(E32)=$CA$2)</formula>
    </cfRule>
    <cfRule type="expression" dxfId="123" priority="94" stopIfTrue="1">
      <formula>OR(AND(ROW(E32)=$CA$1,COLUMN(E32)&lt;$CA$2),AND(ROW(E32)&lt;$CA$1,COLUMN(E32)=$CA$2))</formula>
    </cfRule>
  </conditionalFormatting>
  <conditionalFormatting sqref="B33:D33">
    <cfRule type="expression" dxfId="122" priority="91" stopIfTrue="1">
      <formula>AND(ROW(B33)=$CA$1,COLUMN(B33)=$CA$2)</formula>
    </cfRule>
    <cfRule type="expression" dxfId="121" priority="92" stopIfTrue="1">
      <formula>OR(AND(ROW(B33)=$CA$1,COLUMN(B33)&lt;$CA$2),AND(ROW(B33)&lt;$CA$1,COLUMN(B33)=$CA$2))</formula>
    </cfRule>
  </conditionalFormatting>
  <conditionalFormatting sqref="E33">
    <cfRule type="expression" dxfId="120" priority="89" stopIfTrue="1">
      <formula>AND(ROW(E33)=$CA$1,COLUMN(E33)=$CA$2)</formula>
    </cfRule>
    <cfRule type="expression" dxfId="119" priority="90" stopIfTrue="1">
      <formula>OR(AND(ROW(E33)=$CA$1,COLUMN(E33)&lt;$CA$2),AND(ROW(E33)&lt;$CA$1,COLUMN(E33)=$CA$2))</formula>
    </cfRule>
  </conditionalFormatting>
  <conditionalFormatting sqref="B34:D34">
    <cfRule type="expression" dxfId="118" priority="87" stopIfTrue="1">
      <formula>AND(ROW(B34)=$CA$1,COLUMN(B34)=$CA$2)</formula>
    </cfRule>
    <cfRule type="expression" dxfId="117" priority="88" stopIfTrue="1">
      <formula>OR(AND(ROW(B34)=$CA$1,COLUMN(B34)&lt;$CA$2),AND(ROW(B34)&lt;$CA$1,COLUMN(B34)=$CA$2))</formula>
    </cfRule>
  </conditionalFormatting>
  <conditionalFormatting sqref="E34">
    <cfRule type="expression" dxfId="116" priority="85" stopIfTrue="1">
      <formula>AND(ROW(E34)=$CA$1,COLUMN(E34)=$CA$2)</formula>
    </cfRule>
    <cfRule type="expression" dxfId="115" priority="86" stopIfTrue="1">
      <formula>OR(AND(ROW(E34)=$CA$1,COLUMN(E34)&lt;$CA$2),AND(ROW(E34)&lt;$CA$1,COLUMN(E34)=$CA$2))</formula>
    </cfRule>
  </conditionalFormatting>
  <conditionalFormatting sqref="B35:D35">
    <cfRule type="expression" dxfId="114" priority="83" stopIfTrue="1">
      <formula>AND(ROW(B35)=$CA$1,COLUMN(B35)=$CA$2)</formula>
    </cfRule>
    <cfRule type="expression" dxfId="113" priority="84" stopIfTrue="1">
      <formula>OR(AND(ROW(B35)=$CA$1,COLUMN(B35)&lt;$CA$2),AND(ROW(B35)&lt;$CA$1,COLUMN(B35)=$CA$2))</formula>
    </cfRule>
  </conditionalFormatting>
  <conditionalFormatting sqref="E35">
    <cfRule type="expression" dxfId="112" priority="81" stopIfTrue="1">
      <formula>AND(ROW(E35)=$CA$1,COLUMN(E35)=$CA$2)</formula>
    </cfRule>
    <cfRule type="expression" dxfId="111" priority="82" stopIfTrue="1">
      <formula>OR(AND(ROW(E35)=$CA$1,COLUMN(E35)&lt;$CA$2),AND(ROW(E35)&lt;$CA$1,COLUMN(E35)=$CA$2))</formula>
    </cfRule>
  </conditionalFormatting>
  <conditionalFormatting sqref="B36:D36">
    <cfRule type="expression" dxfId="110" priority="79" stopIfTrue="1">
      <formula>AND(ROW(B36)=$CA$1,COLUMN(B36)=$CA$2)</formula>
    </cfRule>
    <cfRule type="expression" dxfId="109" priority="80" stopIfTrue="1">
      <formula>OR(AND(ROW(B36)=$CA$1,COLUMN(B36)&lt;$CA$2),AND(ROW(B36)&lt;$CA$1,COLUMN(B36)=$CA$2))</formula>
    </cfRule>
  </conditionalFormatting>
  <conditionalFormatting sqref="E36">
    <cfRule type="expression" dxfId="108" priority="77" stopIfTrue="1">
      <formula>AND(ROW(E36)=$CA$1,COLUMN(E36)=$CA$2)</formula>
    </cfRule>
    <cfRule type="expression" dxfId="107" priority="78" stopIfTrue="1">
      <formula>OR(AND(ROW(E36)=$CA$1,COLUMN(E36)&lt;$CA$2),AND(ROW(E36)&lt;$CA$1,COLUMN(E36)=$CA$2))</formula>
    </cfRule>
  </conditionalFormatting>
  <conditionalFormatting sqref="B37:D37">
    <cfRule type="expression" dxfId="106" priority="75" stopIfTrue="1">
      <formula>AND(ROW(B37)=$CA$1,COLUMN(B37)=$CA$2)</formula>
    </cfRule>
    <cfRule type="expression" dxfId="105" priority="76" stopIfTrue="1">
      <formula>OR(AND(ROW(B37)=$CA$1,COLUMN(B37)&lt;$CA$2),AND(ROW(B37)&lt;$CA$1,COLUMN(B37)=$CA$2))</formula>
    </cfRule>
  </conditionalFormatting>
  <conditionalFormatting sqref="E37">
    <cfRule type="expression" dxfId="104" priority="73" stopIfTrue="1">
      <formula>AND(ROW(E37)=$CA$1,COLUMN(E37)=$CA$2)</formula>
    </cfRule>
    <cfRule type="expression" dxfId="103" priority="74" stopIfTrue="1">
      <formula>OR(AND(ROW(E37)=$CA$1,COLUMN(E37)&lt;$CA$2),AND(ROW(E37)&lt;$CA$1,COLUMN(E37)=$CA$2))</formula>
    </cfRule>
  </conditionalFormatting>
  <conditionalFormatting sqref="B38:D38">
    <cfRule type="expression" dxfId="102" priority="71" stopIfTrue="1">
      <formula>AND(ROW(B38)=$CA$1,COLUMN(B38)=$CA$2)</formula>
    </cfRule>
    <cfRule type="expression" dxfId="101" priority="72" stopIfTrue="1">
      <formula>OR(AND(ROW(B38)=$CA$1,COLUMN(B38)&lt;$CA$2),AND(ROW(B38)&lt;$CA$1,COLUMN(B38)=$CA$2))</formula>
    </cfRule>
  </conditionalFormatting>
  <conditionalFormatting sqref="E38">
    <cfRule type="expression" dxfId="100" priority="69" stopIfTrue="1">
      <formula>AND(ROW(E38)=$CA$1,COLUMN(E38)=$CA$2)</formula>
    </cfRule>
    <cfRule type="expression" dxfId="99" priority="70" stopIfTrue="1">
      <formula>OR(AND(ROW(E38)=$CA$1,COLUMN(E38)&lt;$CA$2),AND(ROW(E38)&lt;$CA$1,COLUMN(E38)=$CA$2))</formula>
    </cfRule>
  </conditionalFormatting>
  <conditionalFormatting sqref="B39:D39">
    <cfRule type="expression" dxfId="98" priority="67" stopIfTrue="1">
      <formula>AND(ROW(B39)=$CA$1,COLUMN(B39)=$CA$2)</formula>
    </cfRule>
    <cfRule type="expression" dxfId="97" priority="68" stopIfTrue="1">
      <formula>OR(AND(ROW(B39)=$CA$1,COLUMN(B39)&lt;$CA$2),AND(ROW(B39)&lt;$CA$1,COLUMN(B39)=$CA$2))</formula>
    </cfRule>
  </conditionalFormatting>
  <conditionalFormatting sqref="E39">
    <cfRule type="expression" dxfId="96" priority="65" stopIfTrue="1">
      <formula>AND(ROW(E39)=$CA$1,COLUMN(E39)=$CA$2)</formula>
    </cfRule>
    <cfRule type="expression" dxfId="95" priority="66" stopIfTrue="1">
      <formula>OR(AND(ROW(E39)=$CA$1,COLUMN(E39)&lt;$CA$2),AND(ROW(E39)&lt;$CA$1,COLUMN(E39)=$CA$2))</formula>
    </cfRule>
  </conditionalFormatting>
  <conditionalFormatting sqref="D15">
    <cfRule type="expression" dxfId="94" priority="61" stopIfTrue="1">
      <formula>AND(ROW(D15)=$CA$1,COLUMN(D15)=$CA$2)</formula>
    </cfRule>
    <cfRule type="expression" dxfId="93" priority="62" stopIfTrue="1">
      <formula>OR(AND(ROW(D15)=$CA$1,COLUMN(D15)&lt;$CA$2),AND(ROW(D15)&lt;$CA$1,COLUMN(D15)=$CA$2))</formula>
    </cfRule>
  </conditionalFormatting>
  <conditionalFormatting sqref="AF25">
    <cfRule type="expression" dxfId="92" priority="59" stopIfTrue="1">
      <formula>AND(ROW(AF25)=$CA$1,COLUMN(AF25)=$CA$2)</formula>
    </cfRule>
    <cfRule type="expression" dxfId="91" priority="60" stopIfTrue="1">
      <formula>OR(AND(ROW(AF25)=$CA$1,COLUMN(AF25)&lt;$CA$2),AND(ROW(AF25)&lt;$CA$1,COLUMN(AF25)=$CA$2))</formula>
    </cfRule>
  </conditionalFormatting>
  <conditionalFormatting sqref="AF4">
    <cfRule type="expression" dxfId="90" priority="57" stopIfTrue="1">
      <formula>AND(ROW(AF4)=$CA$1,COLUMN(AF4)=$CA$2)</formula>
    </cfRule>
    <cfRule type="expression" dxfId="89" priority="58" stopIfTrue="1">
      <formula>OR(AND(ROW(AF4)=$CA$1,COLUMN(AF4)&lt;$CA$2),AND(ROW(AF4)&lt;$CA$1,COLUMN(AF4)=$CA$2))</formula>
    </cfRule>
  </conditionalFormatting>
  <conditionalFormatting sqref="AF3">
    <cfRule type="expression" dxfId="88" priority="55" stopIfTrue="1">
      <formula>AND(ROW(AF3)=$CA$1,COLUMN(AF3)=$CA$2)</formula>
    </cfRule>
    <cfRule type="expression" dxfId="87" priority="56" stopIfTrue="1">
      <formula>OR(AND(ROW(AF3)=$CA$1,COLUMN(AF3)&lt;$CA$2),AND(ROW(AF3)&lt;$CA$1,COLUMN(AF3)=$CA$2))</formula>
    </cfRule>
  </conditionalFormatting>
  <conditionalFormatting sqref="AF5">
    <cfRule type="expression" dxfId="86" priority="53" stopIfTrue="1">
      <formula>AND(ROW(AF5)=$CA$1,COLUMN(AF5)=$CA$2)</formula>
    </cfRule>
    <cfRule type="expression" dxfId="85" priority="54" stopIfTrue="1">
      <formula>OR(AND(ROW(AF5)=$CA$1,COLUMN(AF5)&lt;$CA$2),AND(ROW(AF5)&lt;$CA$1,COLUMN(AF5)=$CA$2))</formula>
    </cfRule>
  </conditionalFormatting>
  <conditionalFormatting sqref="AF6">
    <cfRule type="expression" dxfId="84" priority="51" stopIfTrue="1">
      <formula>AND(ROW(AF6)=$CA$1,COLUMN(AF6)=$CA$2)</formula>
    </cfRule>
    <cfRule type="expression" dxfId="83" priority="52" stopIfTrue="1">
      <formula>OR(AND(ROW(AF6)=$CA$1,COLUMN(AF6)&lt;$CA$2),AND(ROW(AF6)&lt;$CA$1,COLUMN(AF6)=$CA$2))</formula>
    </cfRule>
  </conditionalFormatting>
  <conditionalFormatting sqref="AF7">
    <cfRule type="expression" dxfId="82" priority="49" stopIfTrue="1">
      <formula>AND(ROW(AF7)=$CA$1,COLUMN(AF7)=$CA$2)</formula>
    </cfRule>
    <cfRule type="expression" dxfId="81" priority="50" stopIfTrue="1">
      <formula>OR(AND(ROW(AF7)=$CA$1,COLUMN(AF7)&lt;$CA$2),AND(ROW(AF7)&lt;$CA$1,COLUMN(AF7)=$CA$2))</formula>
    </cfRule>
  </conditionalFormatting>
  <conditionalFormatting sqref="AF8:AF9">
    <cfRule type="expression" dxfId="80" priority="47" stopIfTrue="1">
      <formula>AND(ROW(AF8)=$CA$1,COLUMN(AF8)=$CA$2)</formula>
    </cfRule>
    <cfRule type="expression" dxfId="79" priority="48" stopIfTrue="1">
      <formula>OR(AND(ROW(AF8)=$CA$1,COLUMN(AF8)&lt;$CA$2),AND(ROW(AF8)&lt;$CA$1,COLUMN(AF8)=$CA$2))</formula>
    </cfRule>
  </conditionalFormatting>
  <conditionalFormatting sqref="AF12">
    <cfRule type="expression" dxfId="78" priority="45" stopIfTrue="1">
      <formula>AND(ROW(AF12)=$CA$1,COLUMN(AF12)=$CA$2)</formula>
    </cfRule>
    <cfRule type="expression" dxfId="77" priority="46" stopIfTrue="1">
      <formula>OR(AND(ROW(AF12)=$CA$1,COLUMN(AF12)&lt;$CA$2),AND(ROW(AF12)&lt;$CA$1,COLUMN(AF12)=$CA$2))</formula>
    </cfRule>
  </conditionalFormatting>
  <conditionalFormatting sqref="AF13">
    <cfRule type="expression" dxfId="76" priority="43" stopIfTrue="1">
      <formula>AND(ROW(AF13)=$CA$1,COLUMN(AF13)=$CA$2)</formula>
    </cfRule>
    <cfRule type="expression" dxfId="75" priority="44" stopIfTrue="1">
      <formula>OR(AND(ROW(AF13)=$CA$1,COLUMN(AF13)&lt;$CA$2),AND(ROW(AF13)&lt;$CA$1,COLUMN(AF13)=$CA$2))</formula>
    </cfRule>
  </conditionalFormatting>
  <conditionalFormatting sqref="AF14">
    <cfRule type="expression" dxfId="74" priority="41" stopIfTrue="1">
      <formula>AND(ROW(AF14)=$CA$1,COLUMN(AF14)=$CA$2)</formula>
    </cfRule>
    <cfRule type="expression" dxfId="73" priority="42" stopIfTrue="1">
      <formula>OR(AND(ROW(AF14)=$CA$1,COLUMN(AF14)&lt;$CA$2),AND(ROW(AF14)&lt;$CA$1,COLUMN(AF14)=$CA$2))</formula>
    </cfRule>
  </conditionalFormatting>
  <conditionalFormatting sqref="AF16">
    <cfRule type="expression" dxfId="72" priority="39" stopIfTrue="1">
      <formula>AND(ROW(AF16)=$CA$1,COLUMN(AF16)=$CA$2)</formula>
    </cfRule>
    <cfRule type="expression" dxfId="71" priority="40" stopIfTrue="1">
      <formula>OR(AND(ROW(AF16)=$CA$1,COLUMN(AF16)&lt;$CA$2),AND(ROW(AF16)&lt;$CA$1,COLUMN(AF16)=$CA$2))</formula>
    </cfRule>
  </conditionalFormatting>
  <conditionalFormatting sqref="AF17">
    <cfRule type="expression" dxfId="70" priority="37" stopIfTrue="1">
      <formula>AND(ROW(AF17)=$CA$1,COLUMN(AF17)=$CA$2)</formula>
    </cfRule>
    <cfRule type="expression" dxfId="69" priority="38" stopIfTrue="1">
      <formula>OR(AND(ROW(AF17)=$CA$1,COLUMN(AF17)&lt;$CA$2),AND(ROW(AF17)&lt;$CA$1,COLUMN(AF17)=$CA$2))</formula>
    </cfRule>
  </conditionalFormatting>
  <conditionalFormatting sqref="AF19">
    <cfRule type="expression" dxfId="68" priority="35" stopIfTrue="1">
      <formula>AND(ROW(AF19)=$CA$1,COLUMN(AF19)=$CA$2)</formula>
    </cfRule>
    <cfRule type="expression" dxfId="67" priority="36" stopIfTrue="1">
      <formula>OR(AND(ROW(AF19)=$CA$1,COLUMN(AF19)&lt;$CA$2),AND(ROW(AF19)&lt;$CA$1,COLUMN(AF19)=$CA$2))</formula>
    </cfRule>
  </conditionalFormatting>
  <conditionalFormatting sqref="AF20:AF21">
    <cfRule type="expression" dxfId="66" priority="33" stopIfTrue="1">
      <formula>AND(ROW(AF20)=$CA$1,COLUMN(AF20)=$CA$2)</formula>
    </cfRule>
    <cfRule type="expression" dxfId="65" priority="34" stopIfTrue="1">
      <formula>OR(AND(ROW(AF20)=$CA$1,COLUMN(AF20)&lt;$CA$2),AND(ROW(AF20)&lt;$CA$1,COLUMN(AF20)=$CA$2))</formula>
    </cfRule>
  </conditionalFormatting>
  <conditionalFormatting sqref="AF22">
    <cfRule type="expression" dxfId="64" priority="31" stopIfTrue="1">
      <formula>AND(ROW(AF22)=$CA$1,COLUMN(AF22)=$CA$2)</formula>
    </cfRule>
    <cfRule type="expression" dxfId="63" priority="32" stopIfTrue="1">
      <formula>OR(AND(ROW(AF22)=$CA$1,COLUMN(AF22)&lt;$CA$2),AND(ROW(AF22)&lt;$CA$1,COLUMN(AF22)=$CA$2))</formula>
    </cfRule>
  </conditionalFormatting>
  <conditionalFormatting sqref="AF23">
    <cfRule type="expression" dxfId="62" priority="29" stopIfTrue="1">
      <formula>AND(ROW(AF23)=$CA$1,COLUMN(AF23)=$CA$2)</formula>
    </cfRule>
    <cfRule type="expression" dxfId="61" priority="30" stopIfTrue="1">
      <formula>OR(AND(ROW(AF23)=$CA$1,COLUMN(AF23)&lt;$CA$2),AND(ROW(AF23)&lt;$CA$1,COLUMN(AF23)=$CA$2))</formula>
    </cfRule>
  </conditionalFormatting>
  <conditionalFormatting sqref="AF24">
    <cfRule type="expression" dxfId="60" priority="27" stopIfTrue="1">
      <formula>AND(ROW(AF24)=$CA$1,COLUMN(AF24)=$CA$2)</formula>
    </cfRule>
    <cfRule type="expression" dxfId="59" priority="28" stopIfTrue="1">
      <formula>OR(AND(ROW(AF24)=$CA$1,COLUMN(AF24)&lt;$CA$2),AND(ROW(AF24)&lt;$CA$1,COLUMN(AF24)=$CA$2))</formula>
    </cfRule>
  </conditionalFormatting>
  <conditionalFormatting sqref="AF26">
    <cfRule type="expression" dxfId="58" priority="25" stopIfTrue="1">
      <formula>AND(ROW(AF26)=$CA$1,COLUMN(AF26)=$CA$2)</formula>
    </cfRule>
    <cfRule type="expression" dxfId="57" priority="26" stopIfTrue="1">
      <formula>OR(AND(ROW(AF26)=$CA$1,COLUMN(AF26)&lt;$CA$2),AND(ROW(AF26)&lt;$CA$1,COLUMN(AF26)=$CA$2))</formula>
    </cfRule>
  </conditionalFormatting>
  <conditionalFormatting sqref="AF27:AF29">
    <cfRule type="expression" dxfId="56" priority="23" stopIfTrue="1">
      <formula>AND(ROW(AF27)=$CA$1,COLUMN(AF27)=$CA$2)</formula>
    </cfRule>
    <cfRule type="expression" dxfId="55" priority="24" stopIfTrue="1">
      <formula>OR(AND(ROW(AF27)=$CA$1,COLUMN(AF27)&lt;$CA$2),AND(ROW(AF27)&lt;$CA$1,COLUMN(AF27)=$CA$2))</formula>
    </cfRule>
  </conditionalFormatting>
  <conditionalFormatting sqref="AF30">
    <cfRule type="expression" dxfId="54" priority="21" stopIfTrue="1">
      <formula>AND(ROW(AF30)=$CA$1,COLUMN(AF30)=$CA$2)</formula>
    </cfRule>
    <cfRule type="expression" dxfId="53" priority="22" stopIfTrue="1">
      <formula>OR(AND(ROW(AF30)=$CA$1,COLUMN(AF30)&lt;$CA$2),AND(ROW(AF30)&lt;$CA$1,COLUMN(AF30)=$CA$2))</formula>
    </cfRule>
  </conditionalFormatting>
  <conditionalFormatting sqref="AF31">
    <cfRule type="expression" dxfId="52" priority="19" stopIfTrue="1">
      <formula>AND(ROW(AF31)=$CA$1,COLUMN(AF31)=$CA$2)</formula>
    </cfRule>
    <cfRule type="expression" dxfId="51" priority="20" stopIfTrue="1">
      <formula>OR(AND(ROW(AF31)=$CA$1,COLUMN(AF31)&lt;$CA$2),AND(ROW(AF31)&lt;$CA$1,COLUMN(AF31)=$CA$2))</formula>
    </cfRule>
  </conditionalFormatting>
  <conditionalFormatting sqref="AF32">
    <cfRule type="expression" dxfId="50" priority="17" stopIfTrue="1">
      <formula>AND(ROW(AF32)=$CA$1,COLUMN(AF32)=$CA$2)</formula>
    </cfRule>
    <cfRule type="expression" dxfId="49" priority="18" stopIfTrue="1">
      <formula>OR(AND(ROW(AF32)=$CA$1,COLUMN(AF32)&lt;$CA$2),AND(ROW(AF32)&lt;$CA$1,COLUMN(AF32)=$CA$2))</formula>
    </cfRule>
  </conditionalFormatting>
  <conditionalFormatting sqref="AF33">
    <cfRule type="expression" dxfId="48" priority="15" stopIfTrue="1">
      <formula>AND(ROW(AF33)=$CA$1,COLUMN(AF33)=$CA$2)</formula>
    </cfRule>
    <cfRule type="expression" dxfId="47" priority="16" stopIfTrue="1">
      <formula>OR(AND(ROW(AF33)=$CA$1,COLUMN(AF33)&lt;$CA$2),AND(ROW(AF33)&lt;$CA$1,COLUMN(AF33)=$CA$2))</formula>
    </cfRule>
  </conditionalFormatting>
  <conditionalFormatting sqref="AF34">
    <cfRule type="expression" dxfId="46" priority="13" stopIfTrue="1">
      <formula>AND(ROW(AF34)=$CA$1,COLUMN(AF34)=$CA$2)</formula>
    </cfRule>
    <cfRule type="expression" dxfId="45" priority="14" stopIfTrue="1">
      <formula>OR(AND(ROW(AF34)=$CA$1,COLUMN(AF34)&lt;$CA$2),AND(ROW(AF34)&lt;$CA$1,COLUMN(AF34)=$CA$2))</formula>
    </cfRule>
  </conditionalFormatting>
  <conditionalFormatting sqref="AF35">
    <cfRule type="expression" dxfId="44" priority="11" stopIfTrue="1">
      <formula>AND(ROW(AF35)=$CA$1,COLUMN(AF35)=$CA$2)</formula>
    </cfRule>
    <cfRule type="expression" dxfId="43" priority="12" stopIfTrue="1">
      <formula>OR(AND(ROW(AF35)=$CA$1,COLUMN(AF35)&lt;$CA$2),AND(ROW(AF35)&lt;$CA$1,COLUMN(AF35)=$CA$2))</formula>
    </cfRule>
  </conditionalFormatting>
  <conditionalFormatting sqref="AF36">
    <cfRule type="expression" dxfId="42" priority="9" stopIfTrue="1">
      <formula>AND(ROW(AF36)=$CA$1,COLUMN(AF36)=$CA$2)</formula>
    </cfRule>
    <cfRule type="expression" dxfId="41" priority="10" stopIfTrue="1">
      <formula>OR(AND(ROW(AF36)=$CA$1,COLUMN(AF36)&lt;$CA$2),AND(ROW(AF36)&lt;$CA$1,COLUMN(AF36)=$CA$2))</formula>
    </cfRule>
  </conditionalFormatting>
  <conditionalFormatting sqref="AF37">
    <cfRule type="expression" dxfId="40" priority="7" stopIfTrue="1">
      <formula>AND(ROW(AF37)=$CA$1,COLUMN(AF37)=$CA$2)</formula>
    </cfRule>
    <cfRule type="expression" dxfId="39" priority="8" stopIfTrue="1">
      <formula>OR(AND(ROW(AF37)=$CA$1,COLUMN(AF37)&lt;$CA$2),AND(ROW(AF37)&lt;$CA$1,COLUMN(AF37)=$CA$2))</formula>
    </cfRule>
  </conditionalFormatting>
  <conditionalFormatting sqref="AF38">
    <cfRule type="expression" dxfId="38" priority="5" stopIfTrue="1">
      <formula>AND(ROW(AF38)=$CA$1,COLUMN(AF38)=$CA$2)</formula>
    </cfRule>
    <cfRule type="expression" dxfId="37" priority="6" stopIfTrue="1">
      <formula>OR(AND(ROW(AF38)=$CA$1,COLUMN(AF38)&lt;$CA$2),AND(ROW(AF38)&lt;$CA$1,COLUMN(AF38)=$CA$2))</formula>
    </cfRule>
  </conditionalFormatting>
  <conditionalFormatting sqref="AF39">
    <cfRule type="expression" dxfId="36" priority="3" stopIfTrue="1">
      <formula>AND(ROW(AF39)=$CA$1,COLUMN(AF39)=$CA$2)</formula>
    </cfRule>
    <cfRule type="expression" dxfId="35" priority="4" stopIfTrue="1">
      <formula>OR(AND(ROW(AF39)=$CA$1,COLUMN(AF39)&lt;$CA$2),AND(ROW(AF39)&lt;$CA$1,COLUMN(AF39)=$CA$2))</formula>
    </cfRule>
  </conditionalFormatting>
  <conditionalFormatting sqref="AF15">
    <cfRule type="expression" dxfId="34" priority="1" stopIfTrue="1">
      <formula>AND(ROW(AF15)=$CA$1,COLUMN(AF15)=$CA$2)</formula>
    </cfRule>
    <cfRule type="expression" dxfId="33" priority="2" stopIfTrue="1">
      <formula>OR(AND(ROW(AF15)=$CA$1,COLUMN(AF15)&lt;$CA$2),AND(ROW(AF15)&lt;$CA$1,COLUMN(AF15)=$CA$2))</formula>
    </cfRule>
  </conditionalFormatting>
  <dataValidations disablePrompts="1" xWindow="1294" yWindow="391" count="3">
    <dataValidation type="custom" errorStyle="warning" allowBlank="1" showInputMessage="1" showErrorMessage="1" error="-Must be a multiple of 2.5 unless a record attempt" sqref="V81:V65388 P81:P65388 P72:V80 S4:U12 P21:R21 S30:U33 Q22:R33 P22:P71 J3:J65388 V3:V71 Q4:R20 P3:P20">
      <formula1>AND(MOD(J3,2.5)=0)</formula1>
    </dataValidation>
    <dataValidation type="list" allowBlank="1" showInputMessage="1" showErrorMessage="1" promptTitle="Division" prompt="Select from menu" sqref="D1:D10 AF12:AF17 AF19:AF39 AF3:AF10 D12:D17 D19:D1048576">
      <formula1>INDIRECT($AW$1)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S14:U29">
      <formula1>INDIRECT($L$1)</formula1>
    </dataValidation>
  </dataValidations>
  <pageMargins left="0.5" right="0.5" top="0.5" bottom="0.5" header="0.5" footer="0.5"/>
  <pageSetup paperSize="5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8"/>
  <sheetViews>
    <sheetView topLeftCell="A34" workbookViewId="0">
      <selection activeCell="B70" sqref="B70:B71"/>
    </sheetView>
  </sheetViews>
  <sheetFormatPr defaultColWidth="8.85546875" defaultRowHeight="12.75" x14ac:dyDescent="0.2"/>
  <sheetData>
    <row r="1" spans="1:2" x14ac:dyDescent="0.2">
      <c r="A1" s="246" t="s">
        <v>75</v>
      </c>
      <c r="B1" s="246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T10"/>
  <sheetViews>
    <sheetView zoomScale="115" zoomScaleNormal="115" zoomScalePageLayoutView="115" workbookViewId="0">
      <pane xSplit="9" ySplit="9" topLeftCell="J10" activePane="bottomRight" state="frozen"/>
      <selection activeCell="A2" sqref="A2"/>
      <selection pane="topRight" activeCell="J2" sqref="J2"/>
      <selection pane="bottomLeft" activeCell="A10" sqref="A10"/>
      <selection pane="bottomRight" activeCell="A10" sqref="A10"/>
    </sheetView>
  </sheetViews>
  <sheetFormatPr defaultColWidth="9.140625" defaultRowHeight="12.75" x14ac:dyDescent="0.2"/>
  <cols>
    <col min="1" max="1" width="13.42578125" style="33" hidden="1" customWidth="1"/>
    <col min="2" max="2" width="3.42578125" style="32" customWidth="1"/>
    <col min="3" max="3" width="18.42578125" style="32" customWidth="1"/>
    <col min="4" max="4" width="6" style="32" customWidth="1"/>
    <col min="5" max="5" width="15.140625" style="32" customWidth="1"/>
    <col min="6" max="6" width="6" style="32" customWidth="1"/>
    <col min="7" max="7" width="6.140625" style="32" customWidth="1"/>
    <col min="8" max="8" width="7.7109375" style="32" customWidth="1"/>
    <col min="9" max="9" width="4.42578125" style="32" customWidth="1"/>
    <col min="10" max="10" width="6.140625" style="40" customWidth="1"/>
    <col min="11" max="11" width="9" style="32" customWidth="1"/>
    <col min="12" max="12" width="7.140625" style="32" customWidth="1"/>
    <col min="13" max="13" width="7" style="32" customWidth="1"/>
    <col min="14" max="14" width="7.140625" style="32" hidden="1" customWidth="1"/>
    <col min="15" max="15" width="7.140625" style="32" customWidth="1"/>
    <col min="16" max="16" width="4.7109375" style="206" customWidth="1"/>
    <col min="17" max="19" width="7.140625" style="32" customWidth="1"/>
    <col min="20" max="20" width="7.140625" style="32" hidden="1" customWidth="1"/>
    <col min="21" max="25" width="7.140625" style="32" customWidth="1"/>
    <col min="26" max="26" width="7.140625" style="32" hidden="1" customWidth="1"/>
    <col min="27" max="27" width="7.140625" style="32" customWidth="1"/>
    <col min="28" max="28" width="8.7109375" style="32" customWidth="1"/>
    <col min="29" max="30" width="7.85546875" style="32" customWidth="1"/>
    <col min="31" max="31" width="5.140625" style="32" customWidth="1"/>
    <col min="32" max="32" width="11.140625" style="32" customWidth="1"/>
    <col min="33" max="33" width="4.85546875" style="33" customWidth="1"/>
    <col min="34" max="34" width="11.85546875" style="65" customWidth="1"/>
    <col min="35" max="35" width="10.7109375" style="1" customWidth="1"/>
    <col min="36" max="36" width="6.42578125" style="40" hidden="1" customWidth="1"/>
    <col min="37" max="38" width="9.140625" style="33" hidden="1" customWidth="1"/>
    <col min="39" max="39" width="8.28515625" style="32" hidden="1" customWidth="1"/>
    <col min="40" max="40" width="8" style="32" hidden="1" customWidth="1"/>
    <col min="41" max="42" width="7.140625" style="32" hidden="1" customWidth="1"/>
    <col min="43" max="43" width="7.42578125" style="32" hidden="1" customWidth="1"/>
    <col min="44" max="44" width="18.42578125" style="167" hidden="1" customWidth="1"/>
    <col min="45" max="45" width="7.140625" style="32" hidden="1" customWidth="1"/>
    <col min="46" max="47" width="8.140625" style="32" hidden="1" customWidth="1"/>
    <col min="48" max="48" width="9.140625" style="33" customWidth="1"/>
    <col min="49" max="49" width="9.140625" style="163" customWidth="1"/>
    <col min="50" max="50" width="9.140625" style="33" customWidth="1"/>
    <col min="51" max="51" width="18.42578125" style="167" customWidth="1"/>
    <col min="52" max="52" width="9.140625" style="29" customWidth="1"/>
    <col min="53" max="53" width="12.85546875" style="29" customWidth="1"/>
    <col min="54" max="65" width="9.140625" style="29" customWidth="1"/>
    <col min="66" max="66" width="9.140625" style="41" customWidth="1"/>
    <col min="67" max="105" width="9.140625" style="33" customWidth="1"/>
    <col min="106" max="16384" width="9.140625" style="33"/>
  </cols>
  <sheetData>
    <row r="1" spans="1:176" s="20" customFormat="1" ht="24.75" hidden="1" customHeight="1" thickBot="1" x14ac:dyDescent="0.25">
      <c r="A1" s="18">
        <f ca="1">COUNTIF(INDIRECT(AG1),RIGHT(B8,1))</f>
        <v>0</v>
      </c>
      <c r="B1" s="367" t="s">
        <v>166</v>
      </c>
      <c r="C1" s="372"/>
      <c r="D1" s="372"/>
      <c r="E1" s="368"/>
      <c r="F1" s="367" t="s">
        <v>29</v>
      </c>
      <c r="G1" s="368"/>
      <c r="H1" s="367" t="s">
        <v>41</v>
      </c>
      <c r="I1" s="368"/>
      <c r="J1" s="42">
        <f ca="1">IF(ISERROR(A2),1,0)</f>
        <v>1</v>
      </c>
      <c r="K1" s="19">
        <v>0</v>
      </c>
      <c r="L1" s="19"/>
      <c r="M1" s="19"/>
      <c r="N1" s="19"/>
      <c r="O1" s="19"/>
      <c r="P1" s="20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00" t="str">
        <f>CONCATENATE("$b$9:$b$",$AF$7)</f>
        <v>$b$9:$b$10</v>
      </c>
      <c r="AH1" s="19"/>
      <c r="AI1" s="107" t="str">
        <f>CONCATENATE("Setup!O7:O",COUNTA(Setup!O:O)+4)</f>
        <v>Setup!O7:O247</v>
      </c>
      <c r="AJ1" s="19"/>
      <c r="AM1" s="19"/>
      <c r="AN1" s="19"/>
      <c r="AQ1" s="19"/>
      <c r="AR1" s="164"/>
      <c r="AS1" s="19"/>
      <c r="AT1" s="19"/>
      <c r="AU1" s="19"/>
      <c r="AW1" s="159"/>
      <c r="AY1" s="164"/>
      <c r="AZ1" s="108" t="s">
        <v>68</v>
      </c>
      <c r="BA1" s="107" t="str">
        <f>VLOOKUP($AZ$1,$AZ$2:$BM$6,2,FALSE)</f>
        <v>$BB$1:$BM$1</v>
      </c>
      <c r="BB1" s="107" t="str">
        <f>VLOOKUP($AZ$1,$AZ$2:$BM$6,3,FALSE)</f>
        <v xml:space="preserve"> Squat  1</v>
      </c>
      <c r="BC1" s="107" t="str">
        <f>VLOOKUP($AZ$1,$AZ$2:$BM$6,4,FALSE)</f>
        <v xml:space="preserve"> Squat  2</v>
      </c>
      <c r="BD1" s="107" t="str">
        <f>VLOOKUP($AZ$1,$AZ$2:$BM$6,5,FALSE)</f>
        <v xml:space="preserve"> Squat  3</v>
      </c>
      <c r="BE1" s="107" t="str">
        <f>VLOOKUP($AZ$1,$AZ$2:$BM$6,6,FALSE)</f>
        <v xml:space="preserve"> Squat  4</v>
      </c>
      <c r="BF1" s="107" t="str">
        <f>VLOOKUP($AZ$1,$AZ$2:$BM$6,7,FALSE)</f>
        <v>Bench 1</v>
      </c>
      <c r="BG1" s="107" t="str">
        <f>VLOOKUP($AZ$1,$AZ$2:$BM$6,8,FALSE)</f>
        <v>Bench 2</v>
      </c>
      <c r="BH1" s="107" t="str">
        <f>VLOOKUP($AZ$1,$AZ$2:$BM$6,9,FALSE)</f>
        <v>Bench 3</v>
      </c>
      <c r="BI1" s="107" t="str">
        <f>VLOOKUP($AZ$1,$AZ$2:$BM$6,10,FALSE)</f>
        <v>Bench 4</v>
      </c>
      <c r="BJ1" s="107" t="str">
        <f>VLOOKUP($AZ$1,$AZ$2:$BM$6,11,FALSE)</f>
        <v>Deadlift 1</v>
      </c>
      <c r="BK1" s="107" t="str">
        <f>VLOOKUP($AZ$1,$AZ$2:$BM$6,12,FALSE)</f>
        <v>Deadlift 2</v>
      </c>
      <c r="BL1" s="107" t="str">
        <f>VLOOKUP($AZ$1,$AZ$2:$BM$6,13,FALSE)</f>
        <v>Deadlift 3</v>
      </c>
      <c r="BM1" s="107" t="str">
        <f>VLOOKUP($AZ$1,$AZ$2:$BM$6,14,FALSE)</f>
        <v>Deadlift 4</v>
      </c>
      <c r="BN1" s="21"/>
      <c r="BP1" s="24" t="s">
        <v>32</v>
      </c>
      <c r="BQ1" s="24">
        <f>IF(BP1=RIGHT($B$8,1),0,BQ8+1)</f>
        <v>0</v>
      </c>
    </row>
    <row r="2" spans="1:176" s="28" customFormat="1" ht="40.5" customHeight="1" thickBot="1" x14ac:dyDescent="0.25">
      <c r="A2" s="22" t="e">
        <f ca="1">CONCATENATE(CHOOSE(MATCH(B3,K8:Z8,0),"K","L","M","N","O","P","Q","R","S","T","U","V","W","X","Y","Z"),MATCH(B2,INDIRECT(A7),0)+9,)</f>
        <v>#N/A</v>
      </c>
      <c r="B2" s="381" t="s">
        <v>354</v>
      </c>
      <c r="C2" s="382"/>
      <c r="D2" s="382"/>
      <c r="E2" s="383"/>
      <c r="F2" s="369" t="e">
        <f ca="1">INDIRECT(CONCATENATE("E",A4))</f>
        <v>#N/A</v>
      </c>
      <c r="G2" s="370"/>
      <c r="H2" s="216" t="e">
        <f ca="1">IF(INDIRECT(CONCATENATE("G",A4))="SHW","SHW",ROUND(INDIRECT(CONCATENATE("G",A4)),1))</f>
        <v>#N/A</v>
      </c>
      <c r="I2" s="81" t="e">
        <f ca="1">IF(H2="SHW","",IF(G8="WtCls (Kg)","Kg","Lb"))</f>
        <v>#N/A</v>
      </c>
      <c r="J2" s="227">
        <v>0</v>
      </c>
      <c r="K2" s="23"/>
      <c r="L2" s="23"/>
      <c r="M2" s="23"/>
      <c r="N2" s="24"/>
      <c r="O2" s="25"/>
      <c r="P2" s="20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373"/>
      <c r="AF2" s="98"/>
      <c r="AG2" s="98"/>
      <c r="AH2" s="99"/>
      <c r="AI2" s="27"/>
      <c r="AJ2" s="24"/>
      <c r="AK2" s="27"/>
      <c r="AL2" s="27"/>
      <c r="AM2" s="24"/>
      <c r="AN2" s="24"/>
      <c r="AQ2" s="24"/>
      <c r="AR2" s="165"/>
      <c r="AS2" s="24"/>
      <c r="AT2" s="24"/>
      <c r="AU2" s="24"/>
      <c r="AV2" s="27"/>
      <c r="AW2" s="160"/>
      <c r="AX2" s="27"/>
      <c r="AY2" s="165"/>
      <c r="AZ2" s="111" t="s">
        <v>15</v>
      </c>
      <c r="BA2" s="111" t="s">
        <v>69</v>
      </c>
      <c r="BB2" s="104" t="s">
        <v>12</v>
      </c>
      <c r="BC2" s="104" t="s">
        <v>13</v>
      </c>
      <c r="BD2" s="104" t="s">
        <v>14</v>
      </c>
      <c r="BE2" s="104" t="s">
        <v>111</v>
      </c>
      <c r="BF2" s="112"/>
      <c r="BG2" s="104"/>
      <c r="BH2" s="104"/>
      <c r="BI2" s="104"/>
      <c r="BJ2" s="104"/>
      <c r="BK2" s="104"/>
      <c r="BL2" s="104"/>
      <c r="BM2" s="104"/>
      <c r="BN2" s="27"/>
      <c r="BO2" s="27"/>
      <c r="BP2" s="24" t="s">
        <v>33</v>
      </c>
      <c r="BQ2" s="24">
        <f>IF(BP2=RIGHT($B$8,1),0,BQ1+1)</f>
        <v>1</v>
      </c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</row>
    <row r="3" spans="1:176" ht="25.5" customHeight="1" thickBot="1" x14ac:dyDescent="0.25">
      <c r="A3" s="31">
        <f>MATCH(B3,K8:Z8,0)+10</f>
        <v>11</v>
      </c>
      <c r="B3" s="377" t="s">
        <v>22</v>
      </c>
      <c r="C3" s="378"/>
      <c r="D3" s="375" t="e">
        <f ca="1">INDIRECT(A2)</f>
        <v>#N/A</v>
      </c>
      <c r="E3" s="376"/>
      <c r="F3" s="376"/>
      <c r="G3" s="96" t="str">
        <f>Setup!H4</f>
        <v>Kg</v>
      </c>
      <c r="H3" s="82" t="e">
        <f ca="1">ABS(D3)</f>
        <v>#N/A</v>
      </c>
      <c r="I3" s="214" t="e">
        <f ca="1">-1*H3</f>
        <v>#N/A</v>
      </c>
      <c r="J3" s="227">
        <v>0</v>
      </c>
      <c r="K3" s="24"/>
      <c r="L3" s="24"/>
      <c r="M3" s="24"/>
      <c r="N3" s="24"/>
      <c r="O3" s="25"/>
      <c r="P3" s="20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74"/>
      <c r="AF3" s="99"/>
      <c r="AG3" s="98"/>
      <c r="AH3" s="99"/>
      <c r="AI3" s="64"/>
      <c r="AJ3" s="24"/>
      <c r="AK3" s="27"/>
      <c r="AL3" s="27"/>
      <c r="AM3" s="24"/>
      <c r="AN3" s="24"/>
      <c r="AQ3" s="24"/>
      <c r="AR3" s="165"/>
      <c r="AS3" s="24"/>
      <c r="AT3" s="24"/>
      <c r="AU3" s="24"/>
      <c r="AV3" s="27"/>
      <c r="AW3" s="160"/>
      <c r="AX3" s="27"/>
      <c r="AY3" s="165"/>
      <c r="AZ3" s="111" t="s">
        <v>21</v>
      </c>
      <c r="BA3" s="111" t="s">
        <v>69</v>
      </c>
      <c r="BB3" s="104" t="s">
        <v>17</v>
      </c>
      <c r="BC3" s="104" t="s">
        <v>18</v>
      </c>
      <c r="BD3" s="104" t="s">
        <v>19</v>
      </c>
      <c r="BE3" s="104" t="s">
        <v>20</v>
      </c>
      <c r="BF3" s="104"/>
      <c r="BG3" s="104"/>
      <c r="BH3" s="104"/>
      <c r="BI3" s="104"/>
      <c r="BJ3" s="104"/>
      <c r="BK3" s="104"/>
      <c r="BL3" s="104"/>
      <c r="BM3" s="104"/>
      <c r="BN3" s="104"/>
      <c r="BO3" s="27"/>
      <c r="BP3" s="24" t="s">
        <v>34</v>
      </c>
      <c r="BQ3" s="24">
        <f t="shared" ref="BQ3:BQ8" si="0">IF(BP3=RIGHT($B$8,1),0,BQ2+1)</f>
        <v>2</v>
      </c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</row>
    <row r="4" spans="1:176" s="35" customFormat="1" ht="25.5" customHeight="1" thickBot="1" x14ac:dyDescent="0.25">
      <c r="A4" s="34" t="e">
        <f ca="1">MATCH(B2,INDIRECT(A7),0)+9</f>
        <v>#N/A</v>
      </c>
      <c r="B4" s="379" t="e">
        <f ca="1">IF(LEFT(B3,1)="D","",CONCATENATE("Rack - ",IF(LEFT(B3,2)=" S",INDIRECT(CONCATENATE("J",A4)),INDIRECT(CONCATENATE("P",A4)))))</f>
        <v>#N/A</v>
      </c>
      <c r="C4" s="380"/>
      <c r="D4" s="371" t="e">
        <f ca="1">IF(G4="Lb",2.2046*D3,D3/2.2046)</f>
        <v>#N/A</v>
      </c>
      <c r="E4" s="371"/>
      <c r="F4" s="371"/>
      <c r="G4" s="211" t="str">
        <f>IF(G3="Kg","Lb","Kg")</f>
        <v>Lb</v>
      </c>
      <c r="H4" s="212" t="s">
        <v>355</v>
      </c>
      <c r="I4" s="215"/>
      <c r="J4" s="227">
        <v>0</v>
      </c>
      <c r="K4" s="24"/>
      <c r="L4" s="24"/>
      <c r="M4" s="24"/>
      <c r="N4" s="24"/>
      <c r="O4" s="24"/>
      <c r="P4" s="20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74"/>
      <c r="AF4" s="98"/>
      <c r="AG4" s="98"/>
      <c r="AH4" s="99"/>
      <c r="AI4" s="27"/>
      <c r="AJ4" s="24"/>
      <c r="AK4" s="27"/>
      <c r="AL4" s="27"/>
      <c r="AM4" s="24"/>
      <c r="AN4" s="24"/>
      <c r="AQ4" s="24"/>
      <c r="AR4" s="165"/>
      <c r="AS4" s="24"/>
      <c r="AT4" s="24"/>
      <c r="AU4" s="24"/>
      <c r="AV4" s="27"/>
      <c r="AW4" s="160"/>
      <c r="AX4" s="27"/>
      <c r="AY4" s="165"/>
      <c r="AZ4" s="111" t="s">
        <v>11</v>
      </c>
      <c r="BA4" s="111" t="s">
        <v>69</v>
      </c>
      <c r="BB4" s="104" t="s">
        <v>22</v>
      </c>
      <c r="BC4" s="104" t="s">
        <v>23</v>
      </c>
      <c r="BD4" s="104" t="s">
        <v>24</v>
      </c>
      <c r="BE4" s="104" t="s">
        <v>25</v>
      </c>
      <c r="BF4" s="104"/>
      <c r="BG4" s="104"/>
      <c r="BH4" s="104"/>
      <c r="BI4" s="104"/>
      <c r="BJ4" s="104"/>
      <c r="BK4" s="104"/>
      <c r="BL4" s="104"/>
      <c r="BM4" s="104"/>
      <c r="BN4" s="27"/>
      <c r="BO4" s="27"/>
      <c r="BP4" s="113" t="s">
        <v>35</v>
      </c>
      <c r="BQ4" s="24">
        <f t="shared" si="0"/>
        <v>3</v>
      </c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</row>
    <row r="5" spans="1:176" s="27" customFormat="1" ht="21" customHeight="1" thickBot="1" x14ac:dyDescent="0.25">
      <c r="A5" s="36" t="e">
        <f ca="1">CONCATENATE(IF(AND($A$3&gt;10,$A$3&lt;15),"O",IF(AND($A$3&gt;16,$A$3&lt;21),"U","AA")),$A$4)</f>
        <v>#N/A</v>
      </c>
      <c r="B5" s="217"/>
      <c r="C5" s="218"/>
      <c r="D5" s="218"/>
      <c r="E5" s="218"/>
      <c r="F5" s="384" t="s">
        <v>158</v>
      </c>
      <c r="G5" s="384"/>
      <c r="H5" s="218"/>
      <c r="I5" s="219"/>
      <c r="J5" s="229">
        <v>0</v>
      </c>
      <c r="K5" s="24"/>
      <c r="L5" s="24"/>
      <c r="M5" s="24"/>
      <c r="N5" s="24"/>
      <c r="O5" s="24"/>
      <c r="P5" s="20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74"/>
      <c r="AF5" s="98"/>
      <c r="AG5" s="98"/>
      <c r="AH5" s="99"/>
      <c r="AJ5" s="24"/>
      <c r="AM5" s="24"/>
      <c r="AN5" s="24"/>
      <c r="AQ5" s="24"/>
      <c r="AR5" s="165"/>
      <c r="AS5" s="24"/>
      <c r="AT5" s="24"/>
      <c r="AU5" s="24"/>
      <c r="AW5" s="160"/>
      <c r="AY5" s="165"/>
      <c r="AZ5" s="111" t="s">
        <v>68</v>
      </c>
      <c r="BA5" s="111" t="s">
        <v>70</v>
      </c>
      <c r="BB5" s="104" t="s">
        <v>22</v>
      </c>
      <c r="BC5" s="104" t="s">
        <v>23</v>
      </c>
      <c r="BD5" s="104" t="s">
        <v>24</v>
      </c>
      <c r="BE5" s="104" t="s">
        <v>25</v>
      </c>
      <c r="BF5" s="104" t="s">
        <v>12</v>
      </c>
      <c r="BG5" s="104" t="s">
        <v>13</v>
      </c>
      <c r="BH5" s="104" t="s">
        <v>14</v>
      </c>
      <c r="BI5" s="104" t="s">
        <v>111</v>
      </c>
      <c r="BJ5" s="104" t="s">
        <v>17</v>
      </c>
      <c r="BK5" s="104" t="s">
        <v>18</v>
      </c>
      <c r="BL5" s="104" t="s">
        <v>19</v>
      </c>
      <c r="BM5" s="104" t="s">
        <v>20</v>
      </c>
      <c r="BP5" s="24" t="s">
        <v>119</v>
      </c>
      <c r="BQ5" s="24">
        <f t="shared" si="0"/>
        <v>4</v>
      </c>
    </row>
    <row r="6" spans="1:176" s="27" customFormat="1" ht="21" customHeight="1" thickBot="1" x14ac:dyDescent="0.25">
      <c r="A6" s="36" t="str">
        <f>CONCATENATE(IF(AND($A$3&gt;10,$A$3&lt;15),"O",IF(AND($A$3&gt;16,$A$3&lt;21),"U","AA")),1)</f>
        <v>O1</v>
      </c>
      <c r="B6" s="213"/>
      <c r="C6" s="213"/>
      <c r="D6" s="213"/>
      <c r="E6" s="213"/>
      <c r="F6" s="213"/>
      <c r="G6" s="213"/>
      <c r="J6" s="25"/>
      <c r="K6" s="24"/>
      <c r="L6" s="24"/>
      <c r="M6" s="24"/>
      <c r="N6" s="24"/>
      <c r="O6" s="24"/>
      <c r="P6" s="203"/>
      <c r="Q6" s="24"/>
      <c r="V6" s="24"/>
      <c r="W6" s="24"/>
      <c r="X6" s="24"/>
      <c r="Y6" s="24"/>
      <c r="Z6" s="24"/>
      <c r="AA6" s="24"/>
      <c r="AB6" s="24"/>
      <c r="AC6" s="24"/>
      <c r="AD6" s="24"/>
      <c r="AE6" s="374"/>
      <c r="AF6" s="99">
        <f ca="1">A1+10</f>
        <v>10</v>
      </c>
      <c r="AG6" s="104"/>
      <c r="AH6" s="99"/>
      <c r="AJ6" s="24"/>
      <c r="AM6" s="24"/>
      <c r="AN6" s="24"/>
      <c r="AO6" s="24"/>
      <c r="AP6" s="24"/>
      <c r="AQ6" s="24"/>
      <c r="AR6" s="165"/>
      <c r="AS6" s="24"/>
      <c r="AT6" s="24"/>
      <c r="AU6" s="24"/>
      <c r="AW6" s="160"/>
      <c r="AY6" s="165"/>
      <c r="AZ6" s="111" t="s">
        <v>67</v>
      </c>
      <c r="BA6" s="111" t="s">
        <v>71</v>
      </c>
      <c r="BB6" s="104" t="s">
        <v>12</v>
      </c>
      <c r="BC6" s="104" t="s">
        <v>13</v>
      </c>
      <c r="BD6" s="104" t="s">
        <v>14</v>
      </c>
      <c r="BE6" s="104" t="s">
        <v>111</v>
      </c>
      <c r="BF6" s="104" t="s">
        <v>17</v>
      </c>
      <c r="BG6" s="104" t="s">
        <v>18</v>
      </c>
      <c r="BH6" s="104" t="s">
        <v>19</v>
      </c>
      <c r="BI6" s="104" t="s">
        <v>20</v>
      </c>
      <c r="BJ6" s="112"/>
      <c r="BK6" s="104"/>
      <c r="BL6" s="104"/>
      <c r="BM6" s="104"/>
      <c r="BP6" s="24" t="s">
        <v>120</v>
      </c>
      <c r="BQ6" s="24">
        <f t="shared" si="0"/>
        <v>5</v>
      </c>
    </row>
    <row r="7" spans="1:176" s="27" customFormat="1" ht="21" hidden="1" customHeight="1" thickBot="1" x14ac:dyDescent="0.25">
      <c r="A7" s="37" t="str">
        <f ca="1">CONCATENATE("$C$10:$C$",A1+9)</f>
        <v>$C$10:$C$9</v>
      </c>
      <c r="B7" s="83"/>
      <c r="C7" s="83"/>
      <c r="D7" s="83"/>
      <c r="E7" s="83"/>
      <c r="F7" s="83"/>
      <c r="G7" s="83"/>
      <c r="H7" s="83"/>
      <c r="I7" s="83"/>
      <c r="J7" s="228"/>
      <c r="K7" s="24"/>
      <c r="L7" s="24"/>
      <c r="M7" s="24"/>
      <c r="N7" s="24"/>
      <c r="O7" s="24"/>
      <c r="P7" s="20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99">
        <v>10</v>
      </c>
      <c r="AG7" s="100" t="str">
        <f>CONCATENATE("$AG$9:$AG$",$AF$7)</f>
        <v>$AG$9:$AG$10</v>
      </c>
      <c r="AH7" s="99"/>
      <c r="AI7" s="28"/>
      <c r="AJ7" s="24" t="str">
        <f>IF($AB$8="PL Total","PL",IF($AB$8="Push Pull Total","PP",IF($AB$8="Best Squat","SQ",IF($AB$8="Best Bench","BP","DL"))))</f>
        <v>PL</v>
      </c>
      <c r="AM7" s="24"/>
      <c r="AN7" s="24"/>
      <c r="AO7" s="24"/>
      <c r="AP7" s="24"/>
      <c r="AQ7" s="24"/>
      <c r="AR7" s="165"/>
      <c r="AS7" s="24" t="str">
        <f>CONCATENATE("AR10:AR",AF7)</f>
        <v>AR10:AR10</v>
      </c>
      <c r="AT7" s="24"/>
      <c r="AU7" s="24" t="str">
        <f>CONCATENATE("AT10:AT",AF7)</f>
        <v>AT10:AT10</v>
      </c>
      <c r="AW7" s="160"/>
      <c r="AY7" s="165"/>
      <c r="AZ7" s="109"/>
      <c r="BA7" s="109"/>
      <c r="BB7" s="110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P7" s="24" t="s">
        <v>121</v>
      </c>
      <c r="BQ7" s="24">
        <f t="shared" si="0"/>
        <v>6</v>
      </c>
    </row>
    <row r="8" spans="1:176" s="91" customFormat="1" ht="28.5" customHeight="1" thickBot="1" x14ac:dyDescent="0.25">
      <c r="A8" s="85" t="s">
        <v>31</v>
      </c>
      <c r="B8" s="86" t="s">
        <v>348</v>
      </c>
      <c r="C8" s="87" t="s">
        <v>0</v>
      </c>
      <c r="D8" s="88" t="s">
        <v>1</v>
      </c>
      <c r="E8" s="89" t="s">
        <v>29</v>
      </c>
      <c r="F8" s="89" t="str">
        <f>Setup!K6</f>
        <v>BWt (Kg)</v>
      </c>
      <c r="G8" s="89" t="str">
        <f>IF(F8="BWt (Kg)","WtCls (Kg)","WtCls (Lb)")</f>
        <v>WtCls (Kg)</v>
      </c>
      <c r="H8" s="95" t="str">
        <f>Setup!K30</f>
        <v>Glossbrenner</v>
      </c>
      <c r="I8" s="89" t="s">
        <v>2</v>
      </c>
      <c r="J8" s="88" t="s">
        <v>26</v>
      </c>
      <c r="K8" s="90" t="s">
        <v>22</v>
      </c>
      <c r="L8" s="90" t="s">
        <v>23</v>
      </c>
      <c r="M8" s="90" t="s">
        <v>24</v>
      </c>
      <c r="N8" s="90" t="s">
        <v>25</v>
      </c>
      <c r="O8" s="89" t="s">
        <v>11</v>
      </c>
      <c r="P8" s="204" t="s">
        <v>27</v>
      </c>
      <c r="Q8" s="90" t="s">
        <v>12</v>
      </c>
      <c r="R8" s="90" t="s">
        <v>13</v>
      </c>
      <c r="S8" s="90" t="s">
        <v>14</v>
      </c>
      <c r="T8" s="90" t="s">
        <v>111</v>
      </c>
      <c r="U8" s="89" t="s">
        <v>15</v>
      </c>
      <c r="V8" s="89" t="s">
        <v>16</v>
      </c>
      <c r="W8" s="90" t="s">
        <v>17</v>
      </c>
      <c r="X8" s="90" t="s">
        <v>18</v>
      </c>
      <c r="Y8" s="90" t="s">
        <v>19</v>
      </c>
      <c r="Z8" s="90" t="s">
        <v>20</v>
      </c>
      <c r="AA8" s="90" t="s">
        <v>21</v>
      </c>
      <c r="AB8" s="101" t="s">
        <v>68</v>
      </c>
      <c r="AC8" s="89" t="s">
        <v>90</v>
      </c>
      <c r="AD8" s="89" t="s">
        <v>95</v>
      </c>
      <c r="AE8" s="89" t="s">
        <v>133</v>
      </c>
      <c r="AF8" s="89" t="s">
        <v>30</v>
      </c>
      <c r="AG8" s="89" t="s">
        <v>134</v>
      </c>
      <c r="AH8" s="105" t="s">
        <v>44</v>
      </c>
      <c r="AI8" s="105" t="s">
        <v>101</v>
      </c>
      <c r="AJ8" s="105" t="s">
        <v>102</v>
      </c>
      <c r="AK8" s="105" t="s">
        <v>36</v>
      </c>
      <c r="AL8" s="105" t="s">
        <v>38</v>
      </c>
      <c r="AM8" s="105" t="s">
        <v>68</v>
      </c>
      <c r="AN8" s="120" t="s">
        <v>67</v>
      </c>
      <c r="AO8" s="105" t="s">
        <v>110</v>
      </c>
      <c r="AP8" s="105"/>
      <c r="AQ8" s="105" t="s">
        <v>109</v>
      </c>
      <c r="AR8" s="166" t="s">
        <v>98</v>
      </c>
      <c r="AS8" s="105" t="s">
        <v>99</v>
      </c>
      <c r="AT8" s="105" t="s">
        <v>135</v>
      </c>
      <c r="AU8" s="105" t="s">
        <v>136</v>
      </c>
      <c r="AV8" s="105" t="s">
        <v>137</v>
      </c>
      <c r="AW8" s="161" t="s">
        <v>143</v>
      </c>
      <c r="AX8" s="91" t="s">
        <v>144</v>
      </c>
      <c r="AY8" s="166" t="s">
        <v>146</v>
      </c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13" t="s">
        <v>122</v>
      </c>
      <c r="BQ8" s="24">
        <f t="shared" si="0"/>
        <v>7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 t="s">
        <v>80</v>
      </c>
      <c r="CK8" s="105" t="s">
        <v>22</v>
      </c>
      <c r="CL8" s="105" t="s">
        <v>23</v>
      </c>
      <c r="CM8" s="105" t="s">
        <v>24</v>
      </c>
      <c r="CN8" s="105" t="s">
        <v>25</v>
      </c>
      <c r="CO8" s="105" t="s">
        <v>11</v>
      </c>
      <c r="CP8" s="105" t="s">
        <v>27</v>
      </c>
      <c r="CQ8" s="105" t="s">
        <v>12</v>
      </c>
      <c r="CR8" s="105" t="s">
        <v>13</v>
      </c>
      <c r="CS8" s="105" t="s">
        <v>14</v>
      </c>
      <c r="CT8" s="105" t="s">
        <v>28</v>
      </c>
      <c r="CU8" s="105" t="s">
        <v>15</v>
      </c>
      <c r="CV8" s="105" t="s">
        <v>16</v>
      </c>
      <c r="CW8" s="105" t="s">
        <v>17</v>
      </c>
      <c r="CX8" s="105" t="s">
        <v>18</v>
      </c>
      <c r="CY8" s="105" t="s">
        <v>19</v>
      </c>
      <c r="CZ8" s="105" t="s">
        <v>20</v>
      </c>
      <c r="DA8" s="105" t="s">
        <v>21</v>
      </c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</row>
    <row r="9" spans="1:176" s="28" customFormat="1" x14ac:dyDescent="0.2">
      <c r="A9" s="33" t="str">
        <f>IF(K9,ABS(K9)+0.0001*I9,"")</f>
        <v/>
      </c>
      <c r="B9" s="17"/>
      <c r="C9" s="200"/>
      <c r="D9" s="17"/>
      <c r="E9" s="17"/>
      <c r="F9" s="17"/>
      <c r="G9" s="39" t="str">
        <f>IF(OR(E9="",F9=""),"",IF(LEFT(E9,1)="M",VLOOKUP(F9,Setup!$J$9:$K$23,2,TRUE),VLOOKUP(F9,Setup!$L$9:$M$23,2,TRUE)))</f>
        <v/>
      </c>
      <c r="H9" s="39">
        <f>IF(F9="",0,VLOOKUP(AL9,DATA!$L$2:$N$1910,IF(LEFT(E9,1)="F",3,2)))</f>
        <v>0</v>
      </c>
      <c r="I9" s="17"/>
      <c r="J9" s="17"/>
      <c r="K9" s="115"/>
      <c r="L9" s="115"/>
      <c r="M9" s="115"/>
      <c r="N9" s="115"/>
      <c r="O9" s="116">
        <f t="shared" ref="O9" si="1">IF(MAX(CK9:CM9)&gt;0,MAX(ABS(K9)*CK9,ABS(L9)*CL9,CM9*ABS(M9)),0)</f>
        <v>0</v>
      </c>
      <c r="P9" s="205"/>
      <c r="Q9" s="115"/>
      <c r="R9" s="115"/>
      <c r="S9" s="115"/>
      <c r="T9" s="115"/>
      <c r="U9" s="116">
        <f t="shared" ref="U9" si="2">IF(MAX(CQ9:CS9)&gt;0,MAX(ABS(Q9)*CQ9,ABS(R9)*CR9,CS9*ABS(S9)),0)</f>
        <v>0</v>
      </c>
      <c r="V9" s="117">
        <f t="shared" ref="V9" si="3">IF(OR(O9=0,U9=0),0,O9+U9)</f>
        <v>0</v>
      </c>
      <c r="W9" s="115"/>
      <c r="X9" s="115"/>
      <c r="Y9" s="115"/>
      <c r="Z9" s="115"/>
      <c r="AA9" s="116">
        <f t="shared" ref="AA9" si="4">IF(MAX(CW9:CY9)&gt;0,MAX(ABS(W9)*CW9,ABS(X9)*CX9,CY9*ABS(Y9)),0)</f>
        <v>0</v>
      </c>
      <c r="AB9" s="117">
        <f t="shared" ref="AB9" si="5">AJ9*IF($AB$8="PL Total",AM9,IF($AB$8="Push Pull Total",AN9,IF($AB$8="Best Squat",O9,IF($AB$8="Best Bench",U9,AA9))))</f>
        <v>0</v>
      </c>
      <c r="AC9" s="118">
        <f t="shared" ref="AC9" si="6">IF(OR(F9="",AB9=0),0,H9*IF(AND($G$3="Lb",$H$8="Wilks"),AB9/2.2046,AB9))</f>
        <v>0</v>
      </c>
      <c r="AD9" s="118">
        <f>IF(OR(AB9=0,D9="",D9&lt;40),0,VLOOKUP($D9,DATA!$A$2:$B$53,2,TRUE)*AC9)</f>
        <v>0</v>
      </c>
      <c r="AE9" s="178" t="str">
        <f ca="1">IF(E9="","",OFFSET(Setup!$Q$1,MATCH(E9,Setup!O:O,0)-1,0))</f>
        <v/>
      </c>
      <c r="AF9" s="116">
        <f t="shared" ref="AF9" ca="1" si="7">IF(OR(AB9=0,AR9=0),0,CONCATENATE(AV9,"-",E9,IF(AE9=1,"-",""),IF(AE9=1,IF(G9="SHW",G9,ROUND(G9,1)),"")))</f>
        <v>0</v>
      </c>
      <c r="AG9" s="39">
        <f>IF(OR(AB9=0),0,VLOOKUP(AV9,Setup!$S$6:$T$15,2,TRUE))</f>
        <v>0</v>
      </c>
      <c r="AH9" s="119"/>
      <c r="AI9" s="114"/>
      <c r="AJ9" s="106">
        <f t="shared" ref="AJ9" si="8">IF(ISERROR(FIND($AJ$7,AI9)),0,1)</f>
        <v>0</v>
      </c>
      <c r="AK9" s="39" t="str">
        <f t="shared" ref="AK9" si="9">IF(B9="","",VLOOKUP(B9,$BP$1:$BQ$8,2,FALSE))</f>
        <v/>
      </c>
      <c r="AL9" s="26">
        <f t="shared" ref="AL9" si="10">ROUND(IF($F$8="BWt (Kg)",F9,F9/2.2046),1)</f>
        <v>0</v>
      </c>
      <c r="AM9" s="26">
        <f t="shared" ref="AM9" si="11">IF(OR(O9=0,U9=0,AA9=0),0,O9+U9+AA9)</f>
        <v>0</v>
      </c>
      <c r="AN9" s="26">
        <f t="shared" ref="AN9" si="12">IF(OR(U9=0,AA9=0),0,U9+AA9)</f>
        <v>0</v>
      </c>
      <c r="AO9" s="38" t="str">
        <f t="shared" ref="AO9" si="13">IF(E9="","",LEFT(E9,1))</f>
        <v/>
      </c>
      <c r="AP9" s="38"/>
      <c r="AQ9" s="28">
        <f t="shared" ref="AQ9" si="14">IF(OR(ISERROR(E9),F9="",ISERROR(G9),AB9=0),0,1)</f>
        <v>0</v>
      </c>
      <c r="AR9" s="198">
        <f t="shared" ref="AR9" ca="1" si="15">IF(OR(ISERROR(AY9),ISERROR(AX9)),0,AY9)</f>
        <v>0</v>
      </c>
      <c r="AS9" s="38">
        <f t="shared" ref="AS9" ca="1" si="16">RANK(AR9,INDIRECT($AS$7))</f>
        <v>1</v>
      </c>
      <c r="AT9" s="158">
        <f t="shared" ref="AT9" ca="1" si="17">INT(AR9/1000000)</f>
        <v>0</v>
      </c>
      <c r="AU9" s="97">
        <f t="shared" ref="AU9" ca="1" si="18">RANK(AT9,INDIRECT($AU$7))</f>
        <v>1</v>
      </c>
      <c r="AV9" s="179">
        <f t="shared" ref="AV9" ca="1" si="19">AS9-AU9+1</f>
        <v>1</v>
      </c>
      <c r="AW9" s="162">
        <f t="shared" ref="AW9" si="20">F9</f>
        <v>0</v>
      </c>
      <c r="AX9" s="26">
        <f>RANK(AW9,AW:AW)</f>
        <v>1</v>
      </c>
      <c r="AY9" s="198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9"/>
      <c r="BA9" s="39"/>
      <c r="BB9" s="39"/>
      <c r="BC9" s="39"/>
      <c r="BD9" s="39"/>
      <c r="BE9" s="39"/>
      <c r="BF9" s="39"/>
      <c r="BG9" s="39"/>
      <c r="BH9" s="84"/>
      <c r="BI9" s="84"/>
      <c r="BJ9" s="84"/>
      <c r="BK9" s="84"/>
      <c r="BL9" s="84"/>
      <c r="BM9" s="84"/>
      <c r="BN9" s="30"/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</row>
    <row r="10" spans="1:176" s="28" customFormat="1" x14ac:dyDescent="0.2">
      <c r="A10" s="33" t="e">
        <f>IF(K10,ABS(K10)+0.0001*I10,"")</f>
        <v>#VALUE!</v>
      </c>
      <c r="B10" s="17" t="s">
        <v>0</v>
      </c>
      <c r="C10" s="200" t="s">
        <v>1</v>
      </c>
      <c r="D10" s="17" t="s">
        <v>29</v>
      </c>
      <c r="E10" s="17" t="s">
        <v>157</v>
      </c>
      <c r="F10" s="17" t="s">
        <v>103</v>
      </c>
      <c r="G10" s="39" t="s">
        <v>94</v>
      </c>
      <c r="H10" s="39" t="s">
        <v>2</v>
      </c>
      <c r="I10" s="17" t="s">
        <v>26</v>
      </c>
      <c r="J10" s="17" t="s">
        <v>22</v>
      </c>
      <c r="K10" s="115" t="s">
        <v>23</v>
      </c>
      <c r="L10" s="115" t="s">
        <v>24</v>
      </c>
      <c r="M10" s="115" t="s">
        <v>25</v>
      </c>
      <c r="N10" s="115" t="s">
        <v>11</v>
      </c>
      <c r="O10" s="116" t="s">
        <v>27</v>
      </c>
      <c r="P10" s="205" t="s">
        <v>104</v>
      </c>
      <c r="Q10" s="115" t="s">
        <v>13</v>
      </c>
      <c r="R10" s="115" t="s">
        <v>14</v>
      </c>
      <c r="S10" s="115" t="s">
        <v>28</v>
      </c>
      <c r="T10" s="115" t="s">
        <v>15</v>
      </c>
      <c r="U10" s="116" t="s">
        <v>16</v>
      </c>
      <c r="V10" s="117" t="s">
        <v>17</v>
      </c>
      <c r="W10" s="115" t="s">
        <v>18</v>
      </c>
      <c r="X10" s="115" t="s">
        <v>19</v>
      </c>
      <c r="Y10" s="115" t="s">
        <v>20</v>
      </c>
      <c r="Z10" s="115" t="s">
        <v>21</v>
      </c>
      <c r="AA10" s="116">
        <f t="shared" ref="AA10" si="21">IF(MAX(CW10:CY10)&gt;0,MAX(ABS(W10)*CW10,ABS(X10)*CX10,CY10*ABS(Y10)),0)</f>
        <v>0</v>
      </c>
      <c r="AB10" s="117" t="s">
        <v>90</v>
      </c>
      <c r="AC10" s="118" t="s">
        <v>95</v>
      </c>
      <c r="AD10" s="118" t="s">
        <v>100</v>
      </c>
      <c r="AE10" s="178" t="s">
        <v>30</v>
      </c>
      <c r="AF10" s="116" t="s">
        <v>37</v>
      </c>
      <c r="AG10" s="39" t="s">
        <v>102</v>
      </c>
      <c r="AH10" s="119" t="s">
        <v>36</v>
      </c>
      <c r="AI10" s="114" t="s">
        <v>38</v>
      </c>
      <c r="AJ10" s="106">
        <f t="shared" ref="AJ10" si="22">IF(ISERROR(FIND($AJ$7,AI10)),0,1)</f>
        <v>0</v>
      </c>
      <c r="AK10" s="39" t="e">
        <f t="shared" ref="AK10" si="23">IF(B10="","",VLOOKUP(B10,$BP$1:$BQ$8,2,FALSE))</f>
        <v>#N/A</v>
      </c>
      <c r="AL10" s="26" t="e">
        <f t="shared" ref="AL10" si="24">ROUND(IF($F$8="BWt (Kg)",F10,F10/2.2046),1)</f>
        <v>#VALUE!</v>
      </c>
      <c r="AM10" s="26" t="s">
        <v>98</v>
      </c>
      <c r="AN10" s="26" t="s">
        <v>99</v>
      </c>
      <c r="AO10" s="38" t="str">
        <f t="shared" ref="AO10" si="25">IF(E10="","",LEFT(E10,1))</f>
        <v>B</v>
      </c>
      <c r="AP10" s="38"/>
      <c r="AQ10" s="28">
        <f t="shared" ref="AQ10" si="26">IF(OR(ISERROR(E10),F10="",ISERROR(G10),AB10=0),0,1)</f>
        <v>1</v>
      </c>
      <c r="AR10" s="198">
        <f t="shared" ref="AR10" ca="1" si="27">IF(OR(ISERROR(AY10),ISERROR(AX10)),0,AY10)</f>
        <v>0</v>
      </c>
      <c r="AS10" s="38">
        <f t="shared" ref="AS10" ca="1" si="28">RANK(AR10,INDIRECT($AS$7))</f>
        <v>1</v>
      </c>
      <c r="AT10" s="158">
        <f t="shared" ref="AT10" ca="1" si="29">INT(AR10/1000000)</f>
        <v>0</v>
      </c>
      <c r="AU10" s="97">
        <f t="shared" ref="AU10" ca="1" si="30">RANK(AT10,INDIRECT($AU$7))</f>
        <v>1</v>
      </c>
      <c r="AV10" s="179">
        <f t="shared" ref="AV10" ca="1" si="31">AS10-AU10+1</f>
        <v>1</v>
      </c>
      <c r="AW10" s="162" t="str">
        <f t="shared" ref="AW10" si="32">F10</f>
        <v>WtCls (Kg)</v>
      </c>
      <c r="AX10" s="26" t="e">
        <f t="shared" ref="AX10" si="33">RANK(AW10,AW:AW)</f>
        <v>#VALUE!</v>
      </c>
      <c r="AY10" s="198" t="e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#N/A</v>
      </c>
      <c r="AZ10" s="39"/>
      <c r="BA10" s="39"/>
      <c r="BB10" s="39"/>
      <c r="BC10" s="39"/>
      <c r="BD10" s="39"/>
      <c r="BE10" s="39"/>
      <c r="BF10" s="39"/>
      <c r="BG10" s="39"/>
      <c r="BH10" s="84"/>
      <c r="BI10" s="84"/>
      <c r="BJ10" s="84"/>
      <c r="BK10" s="84"/>
      <c r="BL10" s="84"/>
      <c r="BM10" s="84"/>
      <c r="BN10" s="30"/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0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</row>
  </sheetData>
  <sheetProtection sheet="1" objects="1" scenarios="1"/>
  <sortState ref="A10:CZ10">
    <sortCondition ref="AK10" customList="Sun,Mon,Tue,Wed,Thu,Fri,Sat"/>
  </sortState>
  <customSheetViews>
    <customSheetView guid="{07CDF5D6-CF56-477A-AAD4-2986DB622B49}" showRuler="0">
      <selection activeCell="N2" sqref="N2"/>
      <pageMargins left="0.7" right="0.7" top="0.75" bottom="0.75" header="0.3" footer="0.3"/>
      <pageSetup orientation="portrait"/>
      <headerFooter alignWithMargins="0"/>
    </customSheetView>
  </customSheetViews>
  <mergeCells count="11">
    <mergeCell ref="AE2:AE6"/>
    <mergeCell ref="D3:F3"/>
    <mergeCell ref="B3:C3"/>
    <mergeCell ref="B4:C4"/>
    <mergeCell ref="B2:E2"/>
    <mergeCell ref="F5:G5"/>
    <mergeCell ref="H1:I1"/>
    <mergeCell ref="F2:G2"/>
    <mergeCell ref="D4:F4"/>
    <mergeCell ref="B1:E1"/>
    <mergeCell ref="F1:G1"/>
  </mergeCells>
  <phoneticPr fontId="0" type="noConversion"/>
  <conditionalFormatting sqref="B9:B10">
    <cfRule type="expression" dxfId="32" priority="689" stopIfTrue="1">
      <formula>AND($B9&lt;&gt;RIGHT($B$8,1))</formula>
    </cfRule>
  </conditionalFormatting>
  <conditionalFormatting sqref="K9:N10 Q9:T10 W9:Z10">
    <cfRule type="expression" dxfId="31" priority="692" stopIfTrue="1">
      <formula>AND(COLUMN(K9)=$A$3,ROW(K9)=$A$4)</formula>
    </cfRule>
    <cfRule type="cellIs" dxfId="30" priority="693" stopIfTrue="1" operator="lessThan">
      <formula>0</formula>
    </cfRule>
    <cfRule type="expression" dxfId="29" priority="694" stopIfTrue="1">
      <formula>OR(AND(ROW(K9)=$A$4,COLUMN(K9)&lt;$A$3,CK9=1),AND(ROW(K9)&lt;$A$4,COLUMN(K9)=$A$3,CK9=1))</formula>
    </cfRule>
  </conditionalFormatting>
  <conditionalFormatting sqref="I9:J10 D9:F10">
    <cfRule type="expression" dxfId="28" priority="695" stopIfTrue="1">
      <formula>AND(ROW(D9)=$A$4)</formula>
    </cfRule>
    <cfRule type="expression" dxfId="27" priority="696" stopIfTrue="1">
      <formula>AND($B9&lt;&gt;RIGHT($B$8,1))</formula>
    </cfRule>
  </conditionalFormatting>
  <conditionalFormatting sqref="O9:P10 U9:U10">
    <cfRule type="expression" dxfId="26" priority="697" stopIfTrue="1">
      <formula>AND(ROW(K9)=$A$4,COLUMN(K9)&lt;$A$3)</formula>
    </cfRule>
  </conditionalFormatting>
  <conditionalFormatting sqref="V9:V10">
    <cfRule type="expression" dxfId="25" priority="698" stopIfTrue="1">
      <formula>AND(ROW(R9)=$A$4,COLUMN(R9)&lt;$A$3)</formula>
    </cfRule>
  </conditionalFormatting>
  <conditionalFormatting sqref="AA9:AA10">
    <cfRule type="expression" dxfId="24" priority="699" stopIfTrue="1">
      <formula>AND(ROW(W9)=$A$4,$A$3&gt;21)</formula>
    </cfRule>
  </conditionalFormatting>
  <conditionalFormatting sqref="AB9:AB10">
    <cfRule type="expression" dxfId="23" priority="706" stopIfTrue="1">
      <formula>AND(ROW(X9)=$A$4)</formula>
    </cfRule>
    <cfRule type="expression" dxfId="22" priority="707" stopIfTrue="1">
      <formula>AND(AE9=1)</formula>
    </cfRule>
  </conditionalFormatting>
  <conditionalFormatting sqref="AC9:AC10">
    <cfRule type="expression" dxfId="21" priority="708" stopIfTrue="1">
      <formula>AND(AE9=2)</formula>
    </cfRule>
  </conditionalFormatting>
  <conditionalFormatting sqref="AD9:AD10">
    <cfRule type="expression" dxfId="20" priority="709" stopIfTrue="1">
      <formula>AND(AE9=3)</formula>
    </cfRule>
  </conditionalFormatting>
  <conditionalFormatting sqref="H3:I4">
    <cfRule type="expression" dxfId="19" priority="700" stopIfTrue="1">
      <formula>AND(COLUMN(H3)=$K$3,ROW(H3)=VALUE(RIGHT(#REF!,1)))</formula>
    </cfRule>
  </conditionalFormatting>
  <conditionalFormatting sqref="D3:F4">
    <cfRule type="expression" dxfId="18" priority="701" stopIfTrue="1">
      <formula>NOT($A$2=$H$4)</formula>
    </cfRule>
    <cfRule type="cellIs" dxfId="17" priority="702" stopIfTrue="1" operator="lessThan">
      <formula>0</formula>
    </cfRule>
    <cfRule type="expression" dxfId="16" priority="703" stopIfTrue="1">
      <formula>OR($A$2=$H$4)</formula>
    </cfRule>
  </conditionalFormatting>
  <conditionalFormatting sqref="K8:N8 Q8:T8 W8:Z8">
    <cfRule type="cellIs" dxfId="15" priority="704" stopIfTrue="1" operator="equal">
      <formula>$B$3</formula>
    </cfRule>
  </conditionalFormatting>
  <conditionalFormatting sqref="G9:H10">
    <cfRule type="expression" dxfId="14" priority="705" stopIfTrue="1">
      <formula>AND(ROW(G9)=$A$4)</formula>
    </cfRule>
  </conditionalFormatting>
  <conditionalFormatting sqref="C9:C10">
    <cfRule type="cellIs" dxfId="13" priority="715" stopIfTrue="1" operator="equal">
      <formula>$B$2</formula>
    </cfRule>
    <cfRule type="expression" dxfId="12" priority="716" stopIfTrue="1">
      <formula>AND($B9&lt;&gt;RIGHT($B$8,1))</formula>
    </cfRule>
  </conditionalFormatting>
  <dataValidations count="12">
    <dataValidation type="list" allowBlank="1" showInputMessage="1" showErrorMessage="1" sqref="F5:G5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allowBlank="1" showInputMessage="1" showErrorMessage="1" prompt="Don't enter anything here, these are calculated automatically." sqref="V9:V10 AU9:AU10 AB9:AD10 G9:H10 AG9:AG10"/>
    <dataValidation type="custom" errorStyle="warning" allowBlank="1" showInputMessage="1" showErrorMessage="1" error="Must be a multiple of 2.5 unless record attempt" sqref="W9:W10 K9:K10 Q9:Q10">
      <formula1>AND(MOD(K9,2.5)=0)</formula1>
    </dataValidation>
    <dataValidation type="list" allowBlank="1" showInputMessage="1" showErrorMessage="1" sqref="B9:B10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10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10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10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L9:N10 R9:T10 X9:Z10">
      <formula1>AND(MOD(L9,2.5)=0,L9&gt;=ABS(K9),L9&gt;K9)</formula1>
    </dataValidation>
  </dataValidations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3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7"/>
  <sheetViews>
    <sheetView zoomScale="70" zoomScaleNormal="70" zoomScalePageLayoutView="70" workbookViewId="0">
      <selection activeCell="I21" sqref="I21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42578125" customWidth="1"/>
  </cols>
  <sheetData>
    <row r="1" spans="1:18" ht="36" customHeight="1" x14ac:dyDescent="0.2">
      <c r="A1" s="393" t="str">
        <f>IF(RIGHT(Lifting!$B$2,1) = ")",MID(Lifting!$B$2,1,(SEARCH("(",Lifting!$B$2,1)-2)),Lifting!$B$2)</f>
        <v>Fogg, Abby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  <c r="Q1" s="220"/>
    </row>
    <row r="2" spans="1:18" ht="36" customHeight="1" x14ac:dyDescent="0.2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  <c r="Q2" s="220"/>
    </row>
    <row r="3" spans="1:18" ht="48.75" customHeight="1" x14ac:dyDescent="0.2">
      <c r="A3" s="405" t="e">
        <f ca="1">INDIRECT("Lifting!AH"&amp;Lifting!A4)</f>
        <v>#N/A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Q3" s="220"/>
    </row>
    <row r="4" spans="1:18" ht="33" customHeight="1" x14ac:dyDescent="0.2">
      <c r="A4" s="399" t="str">
        <f>Lifting!B8</f>
        <v>Flt A</v>
      </c>
      <c r="B4" s="400"/>
      <c r="C4" s="400" t="str">
        <f>Lifting!B3</f>
        <v xml:space="preserve"> Squat  1</v>
      </c>
      <c r="D4" s="400"/>
      <c r="E4" s="400"/>
      <c r="F4" s="407" t="s">
        <v>167</v>
      </c>
      <c r="G4" s="407"/>
      <c r="H4" s="407" t="e">
        <f ca="1">Lifting!H2</f>
        <v>#N/A</v>
      </c>
      <c r="I4" s="407"/>
      <c r="J4" s="240"/>
      <c r="K4" s="240"/>
      <c r="L4" s="401" t="e">
        <f ca="1">Lifting!B4</f>
        <v>#N/A</v>
      </c>
      <c r="M4" s="401"/>
      <c r="N4" s="401"/>
      <c r="O4" s="401"/>
      <c r="P4" s="402"/>
      <c r="Q4" s="220"/>
    </row>
    <row r="5" spans="1:18" ht="36" customHeight="1" x14ac:dyDescent="0.2">
      <c r="K5" s="64"/>
      <c r="L5" s="401" t="e">
        <f ca="1">CONCATENATE("#25 - ",Setup!H12)</f>
        <v>#N/A</v>
      </c>
      <c r="M5" s="401"/>
      <c r="N5" s="401"/>
      <c r="O5" s="401"/>
      <c r="P5" s="402"/>
      <c r="Q5" s="220"/>
    </row>
    <row r="6" spans="1:18" ht="36" customHeight="1" x14ac:dyDescent="0.2">
      <c r="A6" s="403" t="e">
        <f ca="1">Lifting!D3</f>
        <v>#N/A</v>
      </c>
      <c r="B6" s="404"/>
      <c r="C6" s="404"/>
      <c r="D6" s="404"/>
      <c r="E6" s="404"/>
      <c r="F6" s="404"/>
      <c r="G6" s="404"/>
      <c r="H6" s="404"/>
      <c r="I6" s="224"/>
      <c r="J6" s="389" t="str">
        <f xml:space="preserve"> Lifting!G3</f>
        <v>Kg</v>
      </c>
      <c r="K6" s="389"/>
      <c r="L6" s="389"/>
      <c r="M6" s="389"/>
      <c r="N6" s="389"/>
      <c r="O6" s="389"/>
      <c r="P6" s="390"/>
      <c r="Q6" s="220"/>
    </row>
    <row r="7" spans="1:18" ht="36" customHeight="1" x14ac:dyDescent="0.2">
      <c r="A7" s="403"/>
      <c r="B7" s="404"/>
      <c r="C7" s="404"/>
      <c r="D7" s="404"/>
      <c r="E7" s="404"/>
      <c r="F7" s="404"/>
      <c r="G7" s="404"/>
      <c r="H7" s="404"/>
      <c r="I7" s="225"/>
      <c r="J7" s="389"/>
      <c r="K7" s="389"/>
      <c r="L7" s="389"/>
      <c r="M7" s="389"/>
      <c r="N7" s="389"/>
      <c r="O7" s="389"/>
      <c r="P7" s="390"/>
      <c r="Q7" s="220"/>
    </row>
    <row r="8" spans="1:18" ht="36" customHeight="1" x14ac:dyDescent="0.2">
      <c r="A8" s="220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39"/>
      <c r="Q8" s="220"/>
      <c r="R8" s="5"/>
    </row>
    <row r="9" spans="1:18" ht="36" customHeight="1" x14ac:dyDescent="0.2">
      <c r="A9" s="220"/>
      <c r="B9" s="64"/>
      <c r="C9" s="64"/>
      <c r="D9" s="64"/>
      <c r="E9" s="64"/>
      <c r="F9" s="64"/>
      <c r="G9" s="64"/>
      <c r="H9" s="64"/>
      <c r="I9" s="224"/>
      <c r="J9" s="64"/>
      <c r="K9" s="64"/>
      <c r="L9" s="64"/>
      <c r="M9" s="64"/>
      <c r="N9" s="64"/>
      <c r="O9" s="64"/>
      <c r="P9" s="239"/>
      <c r="Q9" s="220"/>
    </row>
    <row r="10" spans="1:18" ht="36" customHeight="1" x14ac:dyDescent="0.2">
      <c r="A10" s="220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239"/>
      <c r="Q10" s="220"/>
    </row>
    <row r="11" spans="1:18" ht="36" customHeight="1" x14ac:dyDescent="0.2">
      <c r="A11" s="220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239"/>
      <c r="Q11" s="220"/>
    </row>
    <row r="12" spans="1:18" ht="36" customHeight="1" x14ac:dyDescent="0.2">
      <c r="A12" s="220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39"/>
      <c r="Q12" s="220"/>
    </row>
    <row r="13" spans="1:18" ht="36" customHeight="1" x14ac:dyDescent="0.2">
      <c r="A13" s="220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9"/>
      <c r="Q13" s="220"/>
    </row>
    <row r="14" spans="1:18" ht="36" customHeight="1" x14ac:dyDescent="0.2">
      <c r="A14" s="220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239"/>
      <c r="Q14" s="220"/>
    </row>
    <row r="15" spans="1:18" ht="36" customHeight="1" x14ac:dyDescent="0.2">
      <c r="A15" s="220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239"/>
      <c r="Q15" s="220"/>
    </row>
    <row r="16" spans="1:18" ht="36" customHeight="1" x14ac:dyDescent="0.2">
      <c r="A16" s="385" t="e">
        <f ca="1">Lifting!D4</f>
        <v>#N/A</v>
      </c>
      <c r="B16" s="386"/>
      <c r="C16" s="386"/>
      <c r="D16" s="386"/>
      <c r="E16" s="386"/>
      <c r="F16" s="386"/>
      <c r="G16" s="386"/>
      <c r="H16" s="386"/>
      <c r="I16" s="224"/>
      <c r="J16" s="389" t="str">
        <f>Lifting!G4</f>
        <v>Lb</v>
      </c>
      <c r="K16" s="389"/>
      <c r="L16" s="389"/>
      <c r="M16" s="389"/>
      <c r="N16" s="389"/>
      <c r="O16" s="389"/>
      <c r="P16" s="390"/>
      <c r="Q16" s="220"/>
    </row>
    <row r="17" spans="1:17" ht="36" customHeight="1" x14ac:dyDescent="0.2">
      <c r="A17" s="387"/>
      <c r="B17" s="388"/>
      <c r="C17" s="388"/>
      <c r="D17" s="388"/>
      <c r="E17" s="388"/>
      <c r="F17" s="388"/>
      <c r="G17" s="388"/>
      <c r="H17" s="388"/>
      <c r="I17" s="226"/>
      <c r="J17" s="391"/>
      <c r="K17" s="391"/>
      <c r="L17" s="391"/>
      <c r="M17" s="391"/>
      <c r="N17" s="391"/>
      <c r="O17" s="391"/>
      <c r="P17" s="392"/>
      <c r="Q17" s="220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85"/>
  <sheetViews>
    <sheetView zoomScale="90" zoomScaleNormal="90" zoomScalePageLayoutView="90" workbookViewId="0">
      <selection activeCell="U9" sqref="U9"/>
    </sheetView>
  </sheetViews>
  <sheetFormatPr defaultColWidth="8.85546875"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42578125" style="7" customWidth="1"/>
    <col min="5" max="5" width="21" style="7" customWidth="1"/>
    <col min="6" max="6" width="9.7109375" style="7" customWidth="1"/>
    <col min="7" max="7" width="8.8554687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5" width="9.42578125" style="7" customWidth="1"/>
    <col min="16" max="16384" width="8.85546875" style="7"/>
  </cols>
  <sheetData>
    <row r="1" spans="1:7" x14ac:dyDescent="0.2">
      <c r="A1"/>
      <c r="B1"/>
      <c r="C1"/>
      <c r="D1"/>
      <c r="E1"/>
      <c r="F1"/>
      <c r="G1"/>
    </row>
    <row r="2" spans="1:7" ht="23.25" customHeight="1" x14ac:dyDescent="0.2">
      <c r="A2"/>
      <c r="B2"/>
      <c r="C2"/>
      <c r="D2"/>
      <c r="E2"/>
      <c r="F2"/>
      <c r="G2"/>
    </row>
    <row r="3" spans="1:7" x14ac:dyDescent="0.2">
      <c r="A3"/>
      <c r="B3"/>
      <c r="C3"/>
      <c r="D3"/>
      <c r="E3"/>
      <c r="F3"/>
      <c r="G3"/>
    </row>
    <row r="4" spans="1:7" s="231" customFormat="1" x14ac:dyDescent="0.2">
      <c r="A4"/>
      <c r="B4"/>
      <c r="C4"/>
      <c r="D4"/>
      <c r="E4"/>
      <c r="F4"/>
      <c r="G4"/>
    </row>
    <row r="5" spans="1:7" s="238" customFormat="1" x14ac:dyDescent="0.2">
      <c r="A5"/>
      <c r="B5"/>
      <c r="C5"/>
      <c r="D5"/>
      <c r="E5"/>
      <c r="F5"/>
      <c r="G5"/>
    </row>
    <row r="6" spans="1:7" s="238" customFormat="1" x14ac:dyDescent="0.2">
      <c r="A6"/>
      <c r="B6"/>
      <c r="C6"/>
      <c r="D6"/>
      <c r="E6"/>
      <c r="F6"/>
      <c r="G6"/>
    </row>
    <row r="7" spans="1:7" s="238" customFormat="1" x14ac:dyDescent="0.2">
      <c r="A7"/>
      <c r="B7"/>
      <c r="C7"/>
      <c r="D7"/>
      <c r="E7"/>
      <c r="F7"/>
      <c r="G7"/>
    </row>
    <row r="8" spans="1:7" s="238" customFormat="1" x14ac:dyDescent="0.2">
      <c r="A8"/>
      <c r="B8"/>
      <c r="C8"/>
      <c r="D8"/>
      <c r="E8"/>
      <c r="F8"/>
      <c r="G8"/>
    </row>
    <row r="9" spans="1:7" s="238" customFormat="1" x14ac:dyDescent="0.2">
      <c r="A9"/>
      <c r="B9"/>
      <c r="C9"/>
      <c r="D9"/>
      <c r="E9"/>
      <c r="F9"/>
      <c r="G9"/>
    </row>
    <row r="10" spans="1:7" s="238" customFormat="1" x14ac:dyDescent="0.2">
      <c r="A10"/>
      <c r="B10"/>
      <c r="C10"/>
      <c r="D10"/>
      <c r="E10"/>
      <c r="F10"/>
      <c r="G10"/>
    </row>
    <row r="11" spans="1:7" s="238" customFormat="1" x14ac:dyDescent="0.2">
      <c r="A11"/>
      <c r="B11"/>
      <c r="C11"/>
      <c r="D11"/>
      <c r="E11"/>
      <c r="F11"/>
      <c r="G11"/>
    </row>
    <row r="12" spans="1:7" s="238" customFormat="1" x14ac:dyDescent="0.2">
      <c r="A12"/>
      <c r="B12"/>
      <c r="C12"/>
      <c r="D12"/>
      <c r="E12"/>
      <c r="F12"/>
      <c r="G12"/>
    </row>
    <row r="13" spans="1:7" s="238" customFormat="1" x14ac:dyDescent="0.2">
      <c r="A13"/>
      <c r="B13"/>
      <c r="C13"/>
      <c r="D13"/>
      <c r="E13"/>
      <c r="F13"/>
      <c r="G13"/>
    </row>
    <row r="14" spans="1:7" s="238" customFormat="1" x14ac:dyDescent="0.2">
      <c r="A14"/>
      <c r="B14"/>
      <c r="C14"/>
      <c r="D14"/>
      <c r="E14"/>
      <c r="F14"/>
      <c r="G14"/>
    </row>
    <row r="15" spans="1:7" s="238" customFormat="1" x14ac:dyDescent="0.2">
      <c r="A15"/>
      <c r="B15"/>
      <c r="C15"/>
      <c r="D15"/>
      <c r="E15"/>
      <c r="F15"/>
      <c r="G15"/>
    </row>
    <row r="16" spans="1:7" s="238" customFormat="1" x14ac:dyDescent="0.2">
      <c r="A16"/>
      <c r="B16"/>
      <c r="C16"/>
      <c r="D16"/>
      <c r="E16"/>
      <c r="F16"/>
      <c r="G16"/>
    </row>
    <row r="17" spans="1:7" s="238" customFormat="1" x14ac:dyDescent="0.2">
      <c r="A17"/>
      <c r="B17"/>
      <c r="C17"/>
      <c r="D17"/>
      <c r="E17"/>
      <c r="F17"/>
      <c r="G17"/>
    </row>
    <row r="18" spans="1:7" s="238" customFormat="1" x14ac:dyDescent="0.2">
      <c r="A18"/>
      <c r="B18"/>
      <c r="C18"/>
      <c r="D18"/>
      <c r="E18"/>
      <c r="F18"/>
      <c r="G18"/>
    </row>
    <row r="19" spans="1:7" s="238" customFormat="1" x14ac:dyDescent="0.2">
      <c r="A19"/>
      <c r="B19"/>
      <c r="C19"/>
      <c r="D19"/>
      <c r="E19"/>
      <c r="F19"/>
      <c r="G19"/>
    </row>
    <row r="20" spans="1:7" s="238" customFormat="1" x14ac:dyDescent="0.2">
      <c r="A20"/>
      <c r="B20"/>
      <c r="C20"/>
      <c r="D20"/>
      <c r="E20"/>
      <c r="F20"/>
      <c r="G20"/>
    </row>
    <row r="21" spans="1:7" s="238" customFormat="1" x14ac:dyDescent="0.2">
      <c r="A21"/>
      <c r="B21"/>
      <c r="C21"/>
      <c r="D21"/>
      <c r="E21"/>
      <c r="F21"/>
      <c r="G21"/>
    </row>
    <row r="22" spans="1:7" s="238" customFormat="1" x14ac:dyDescent="0.2">
      <c r="A22"/>
      <c r="B22"/>
      <c r="C22"/>
      <c r="D22"/>
      <c r="E22"/>
      <c r="F22"/>
      <c r="G22"/>
    </row>
    <row r="23" spans="1:7" s="238" customFormat="1" x14ac:dyDescent="0.2">
      <c r="A23"/>
      <c r="B23"/>
      <c r="C23"/>
      <c r="D23"/>
      <c r="E23"/>
      <c r="F23"/>
      <c r="G23"/>
    </row>
    <row r="24" spans="1:7" s="238" customFormat="1" x14ac:dyDescent="0.2">
      <c r="A24"/>
      <c r="B24"/>
      <c r="C24"/>
      <c r="D24"/>
      <c r="E24"/>
      <c r="F24"/>
      <c r="G24"/>
    </row>
    <row r="25" spans="1:7" s="238" customFormat="1" x14ac:dyDescent="0.2">
      <c r="A25"/>
      <c r="B25"/>
      <c r="C25"/>
      <c r="D25"/>
      <c r="E25"/>
      <c r="F25"/>
      <c r="G25"/>
    </row>
    <row r="26" spans="1:7" s="238" customFormat="1" x14ac:dyDescent="0.2">
      <c r="A26"/>
      <c r="B26"/>
      <c r="C26"/>
      <c r="D26"/>
      <c r="E26"/>
      <c r="F26"/>
      <c r="G26"/>
    </row>
    <row r="27" spans="1:7" s="238" customFormat="1" x14ac:dyDescent="0.2">
      <c r="A27"/>
      <c r="B27"/>
      <c r="C27"/>
      <c r="D27"/>
      <c r="E27"/>
      <c r="F27"/>
      <c r="G27"/>
    </row>
    <row r="28" spans="1:7" s="238" customFormat="1" x14ac:dyDescent="0.2">
      <c r="A28"/>
      <c r="B28"/>
      <c r="C28"/>
      <c r="D28"/>
      <c r="E28"/>
      <c r="F28"/>
      <c r="G28"/>
    </row>
    <row r="29" spans="1:7" s="238" customFormat="1" x14ac:dyDescent="0.2">
      <c r="A29"/>
      <c r="B29"/>
      <c r="C29"/>
      <c r="D29"/>
      <c r="E29"/>
      <c r="F29"/>
      <c r="G29"/>
    </row>
    <row r="30" spans="1:7" s="238" customFormat="1" x14ac:dyDescent="0.2">
      <c r="A30"/>
      <c r="B30"/>
      <c r="C30"/>
      <c r="D30"/>
      <c r="E30"/>
      <c r="F30"/>
      <c r="G30"/>
    </row>
    <row r="31" spans="1:7" s="238" customFormat="1" x14ac:dyDescent="0.2">
      <c r="A31"/>
      <c r="B31"/>
      <c r="C31"/>
      <c r="D31"/>
      <c r="E31"/>
      <c r="F31"/>
      <c r="G31"/>
    </row>
    <row r="32" spans="1:7" s="238" customFormat="1" x14ac:dyDescent="0.2">
      <c r="A32"/>
      <c r="B32"/>
      <c r="C32"/>
      <c r="D32"/>
      <c r="E32"/>
      <c r="F32"/>
      <c r="G32"/>
    </row>
    <row r="33" spans="1:7" s="238" customFormat="1" x14ac:dyDescent="0.2">
      <c r="A33"/>
      <c r="B33"/>
      <c r="C33"/>
      <c r="D33"/>
      <c r="E33"/>
      <c r="F33"/>
      <c r="G33"/>
    </row>
    <row r="34" spans="1:7" s="238" customFormat="1" x14ac:dyDescent="0.2">
      <c r="A34"/>
      <c r="B34"/>
      <c r="C34"/>
      <c r="D34"/>
      <c r="E34"/>
      <c r="F34"/>
      <c r="G34"/>
    </row>
    <row r="35" spans="1:7" s="238" customFormat="1" x14ac:dyDescent="0.2">
      <c r="A35"/>
      <c r="B35"/>
      <c r="C35"/>
      <c r="D35"/>
      <c r="E35"/>
      <c r="F35"/>
      <c r="G35"/>
    </row>
    <row r="36" spans="1:7" s="238" customFormat="1" x14ac:dyDescent="0.2">
      <c r="A36"/>
      <c r="B36"/>
      <c r="C36"/>
      <c r="D36"/>
      <c r="E36"/>
      <c r="F36"/>
      <c r="G36"/>
    </row>
    <row r="37" spans="1:7" s="238" customFormat="1" x14ac:dyDescent="0.2">
      <c r="A37"/>
      <c r="B37"/>
      <c r="C37"/>
      <c r="D37"/>
      <c r="E37"/>
      <c r="F37"/>
      <c r="G37"/>
    </row>
    <row r="38" spans="1:7" s="238" customFormat="1" x14ac:dyDescent="0.2">
      <c r="A38"/>
      <c r="B38"/>
      <c r="C38"/>
      <c r="D38"/>
      <c r="E38"/>
      <c r="F38"/>
      <c r="G38"/>
    </row>
    <row r="39" spans="1:7" s="238" customFormat="1" x14ac:dyDescent="0.2">
      <c r="A39"/>
      <c r="B39"/>
      <c r="C39"/>
      <c r="D39"/>
      <c r="E39"/>
      <c r="F39"/>
      <c r="G39"/>
    </row>
    <row r="40" spans="1:7" s="238" customFormat="1" x14ac:dyDescent="0.2">
      <c r="A40"/>
      <c r="B40"/>
      <c r="C40"/>
    </row>
    <row r="41" spans="1:7" s="238" customFormat="1" x14ac:dyDescent="0.2">
      <c r="A41"/>
      <c r="B41"/>
      <c r="C41"/>
    </row>
    <row r="42" spans="1:7" s="238" customFormat="1" x14ac:dyDescent="0.2">
      <c r="A42"/>
      <c r="B42"/>
      <c r="C42"/>
    </row>
    <row r="43" spans="1:7" s="238" customFormat="1" x14ac:dyDescent="0.2">
      <c r="A43"/>
      <c r="B43"/>
      <c r="C43"/>
    </row>
    <row r="44" spans="1:7" s="238" customFormat="1" x14ac:dyDescent="0.2">
      <c r="A44"/>
      <c r="B44"/>
      <c r="C44"/>
    </row>
    <row r="45" spans="1:7" s="238" customFormat="1" x14ac:dyDescent="0.2">
      <c r="A45"/>
      <c r="B45"/>
      <c r="C45"/>
    </row>
    <row r="46" spans="1:7" s="238" customFormat="1" x14ac:dyDescent="0.2">
      <c r="A46"/>
      <c r="B46"/>
      <c r="C46"/>
    </row>
    <row r="47" spans="1:7" s="238" customFormat="1" x14ac:dyDescent="0.2">
      <c r="A47"/>
      <c r="B47"/>
      <c r="C47"/>
    </row>
    <row r="48" spans="1:7" s="238" customFormat="1" x14ac:dyDescent="0.2">
      <c r="A48"/>
      <c r="B48"/>
      <c r="C48"/>
    </row>
    <row r="49" spans="1:3" s="238" customFormat="1" x14ac:dyDescent="0.2">
      <c r="A49"/>
      <c r="B49"/>
      <c r="C49"/>
    </row>
    <row r="50" spans="1:3" s="238" customFormat="1" x14ac:dyDescent="0.2">
      <c r="A50"/>
      <c r="B50"/>
      <c r="C50"/>
    </row>
    <row r="51" spans="1:3" s="238" customFormat="1" x14ac:dyDescent="0.2">
      <c r="A51"/>
      <c r="B51"/>
      <c r="C51"/>
    </row>
    <row r="52" spans="1:3" s="238" customFormat="1" x14ac:dyDescent="0.2">
      <c r="A52"/>
      <c r="B52"/>
      <c r="C52"/>
    </row>
    <row r="53" spans="1:3" s="238" customFormat="1" x14ac:dyDescent="0.2">
      <c r="A53"/>
      <c r="B53"/>
      <c r="C53"/>
    </row>
    <row r="54" spans="1:3" s="238" customFormat="1" x14ac:dyDescent="0.2">
      <c r="A54"/>
      <c r="B54"/>
      <c r="C54"/>
    </row>
    <row r="55" spans="1:3" s="238" customFormat="1" x14ac:dyDescent="0.2">
      <c r="A55"/>
      <c r="B55"/>
      <c r="C55"/>
    </row>
    <row r="56" spans="1:3" s="238" customFormat="1" x14ac:dyDescent="0.2">
      <c r="A56"/>
      <c r="B56"/>
      <c r="C56"/>
    </row>
    <row r="57" spans="1:3" s="238" customFormat="1" x14ac:dyDescent="0.2"/>
    <row r="58" spans="1:3" s="238" customFormat="1" x14ac:dyDescent="0.2"/>
    <row r="59" spans="1:3" s="238" customFormat="1" x14ac:dyDescent="0.2"/>
    <row r="60" spans="1:3" s="238" customFormat="1" x14ac:dyDescent="0.2"/>
    <row r="61" spans="1:3" s="238" customFormat="1" x14ac:dyDescent="0.2"/>
    <row r="62" spans="1:3" s="238" customFormat="1" x14ac:dyDescent="0.2"/>
    <row r="63" spans="1:3" s="238" customFormat="1" x14ac:dyDescent="0.2"/>
    <row r="64" spans="1:3" s="238" customFormat="1" x14ac:dyDescent="0.2"/>
    <row r="65" s="238" customFormat="1" x14ac:dyDescent="0.2"/>
    <row r="66" s="238" customFormat="1" x14ac:dyDescent="0.2"/>
    <row r="67" s="238" customFormat="1" x14ac:dyDescent="0.2"/>
    <row r="68" s="238" customFormat="1" x14ac:dyDescent="0.2"/>
    <row r="69" s="238" customFormat="1" x14ac:dyDescent="0.2"/>
    <row r="70" s="238" customFormat="1" x14ac:dyDescent="0.2"/>
    <row r="71" s="238" customFormat="1" x14ac:dyDescent="0.2"/>
    <row r="72" s="238" customFormat="1" x14ac:dyDescent="0.2"/>
    <row r="73" s="238" customFormat="1" x14ac:dyDescent="0.2"/>
    <row r="74" s="238" customFormat="1" x14ac:dyDescent="0.2"/>
    <row r="75" s="238" customFormat="1" x14ac:dyDescent="0.2"/>
    <row r="76" s="238" customFormat="1" x14ac:dyDescent="0.2"/>
    <row r="77" s="238" customFormat="1" x14ac:dyDescent="0.2"/>
    <row r="78" s="238" customFormat="1" x14ac:dyDescent="0.2"/>
    <row r="79" s="238" customFormat="1" x14ac:dyDescent="0.2"/>
    <row r="80" s="238" customFormat="1" x14ac:dyDescent="0.2"/>
    <row r="81" s="238" customFormat="1" x14ac:dyDescent="0.2"/>
    <row r="82" s="238" customFormat="1" x14ac:dyDescent="0.2"/>
    <row r="83" s="238" customFormat="1" x14ac:dyDescent="0.2"/>
    <row r="84" s="238" customFormat="1" x14ac:dyDescent="0.2"/>
    <row r="85" s="238" customFormat="1" x14ac:dyDescent="0.2"/>
    <row r="86" s="238" customFormat="1" x14ac:dyDescent="0.2"/>
    <row r="87" s="238" customFormat="1" x14ac:dyDescent="0.2"/>
    <row r="88" s="238" customFormat="1" x14ac:dyDescent="0.2"/>
    <row r="89" s="238" customFormat="1" x14ac:dyDescent="0.2"/>
    <row r="90" s="238" customFormat="1" x14ac:dyDescent="0.2"/>
    <row r="91" s="238" customFormat="1" x14ac:dyDescent="0.2"/>
    <row r="92" s="238" customFormat="1" x14ac:dyDescent="0.2"/>
    <row r="93" s="238" customFormat="1" x14ac:dyDescent="0.2"/>
    <row r="94" s="238" customFormat="1" x14ac:dyDescent="0.2"/>
    <row r="95" s="238" customFormat="1" x14ac:dyDescent="0.2"/>
    <row r="96" s="238" customFormat="1" x14ac:dyDescent="0.2"/>
    <row r="97" s="238" customFormat="1" x14ac:dyDescent="0.2"/>
    <row r="98" s="238" customFormat="1" x14ac:dyDescent="0.2"/>
    <row r="99" s="238" customFormat="1" x14ac:dyDescent="0.2"/>
    <row r="100" s="238" customFormat="1" x14ac:dyDescent="0.2"/>
    <row r="101" s="238" customFormat="1" x14ac:dyDescent="0.2"/>
    <row r="102" s="238" customFormat="1" x14ac:dyDescent="0.2"/>
    <row r="103" s="238" customFormat="1" x14ac:dyDescent="0.2"/>
    <row r="104" s="238" customFormat="1" x14ac:dyDescent="0.2"/>
    <row r="105" s="238" customFormat="1" x14ac:dyDescent="0.2"/>
    <row r="106" s="238" customFormat="1" x14ac:dyDescent="0.2"/>
    <row r="107" s="238" customFormat="1" x14ac:dyDescent="0.2"/>
    <row r="108" s="238" customFormat="1" x14ac:dyDescent="0.2"/>
    <row r="109" s="238" customFormat="1" x14ac:dyDescent="0.2"/>
    <row r="110" s="238" customFormat="1" x14ac:dyDescent="0.2"/>
    <row r="111" s="238" customFormat="1" x14ac:dyDescent="0.2"/>
    <row r="112" s="238" customFormat="1" x14ac:dyDescent="0.2"/>
    <row r="113" s="238" customFormat="1" x14ac:dyDescent="0.2"/>
    <row r="114" s="238" customFormat="1" x14ac:dyDescent="0.2"/>
    <row r="115" s="238" customFormat="1" x14ac:dyDescent="0.2"/>
    <row r="116" s="238" customFormat="1" x14ac:dyDescent="0.2"/>
    <row r="117" s="238" customFormat="1" x14ac:dyDescent="0.2"/>
    <row r="118" s="238" customFormat="1" x14ac:dyDescent="0.2"/>
    <row r="119" s="238" customFormat="1" x14ac:dyDescent="0.2"/>
    <row r="120" s="238" customFormat="1" x14ac:dyDescent="0.2"/>
    <row r="121" s="238" customFormat="1" x14ac:dyDescent="0.2"/>
    <row r="122" s="238" customFormat="1" x14ac:dyDescent="0.2"/>
    <row r="123" s="238" customFormat="1" x14ac:dyDescent="0.2"/>
    <row r="124" s="238" customFormat="1" x14ac:dyDescent="0.2"/>
    <row r="125" s="238" customFormat="1" x14ac:dyDescent="0.2"/>
    <row r="126" s="238" customFormat="1" x14ac:dyDescent="0.2"/>
    <row r="127" s="238" customFormat="1" x14ac:dyDescent="0.2"/>
    <row r="128" s="238" customFormat="1" x14ac:dyDescent="0.2"/>
    <row r="129" s="238" customFormat="1" x14ac:dyDescent="0.2"/>
    <row r="130" s="238" customFormat="1" x14ac:dyDescent="0.2"/>
    <row r="131" s="238" customFormat="1" x14ac:dyDescent="0.2"/>
    <row r="132" s="238" customFormat="1" x14ac:dyDescent="0.2"/>
    <row r="133" s="238" customFormat="1" x14ac:dyDescent="0.2"/>
    <row r="134" s="238" customFormat="1" x14ac:dyDescent="0.2"/>
    <row r="135" s="238" customFormat="1" x14ac:dyDescent="0.2"/>
    <row r="136" s="238" customFormat="1" x14ac:dyDescent="0.2"/>
    <row r="137" s="238" customFormat="1" x14ac:dyDescent="0.2"/>
    <row r="138" s="238" customFormat="1" x14ac:dyDescent="0.2"/>
    <row r="139" s="238" customFormat="1" x14ac:dyDescent="0.2"/>
    <row r="140" s="238" customFormat="1" x14ac:dyDescent="0.2"/>
    <row r="141" s="238" customFormat="1" x14ac:dyDescent="0.2"/>
    <row r="142" s="238" customFormat="1" x14ac:dyDescent="0.2"/>
    <row r="143" s="238" customFormat="1" x14ac:dyDescent="0.2"/>
    <row r="144" s="238" customFormat="1" x14ac:dyDescent="0.2"/>
    <row r="145" s="238" customFormat="1" x14ac:dyDescent="0.2"/>
    <row r="146" s="238" customFormat="1" x14ac:dyDescent="0.2"/>
    <row r="147" s="238" customFormat="1" x14ac:dyDescent="0.2"/>
    <row r="148" s="238" customFormat="1" x14ac:dyDescent="0.2"/>
    <row r="149" s="238" customFormat="1" x14ac:dyDescent="0.2"/>
    <row r="150" s="238" customFormat="1" x14ac:dyDescent="0.2"/>
    <row r="151" s="238" customFormat="1" x14ac:dyDescent="0.2"/>
    <row r="152" s="238" customFormat="1" x14ac:dyDescent="0.2"/>
    <row r="153" s="238" customFormat="1" x14ac:dyDescent="0.2"/>
    <row r="154" s="238" customFormat="1" x14ac:dyDescent="0.2"/>
    <row r="155" s="238" customFormat="1" x14ac:dyDescent="0.2"/>
    <row r="156" s="238" customFormat="1" x14ac:dyDescent="0.2"/>
    <row r="157" s="238" customFormat="1" x14ac:dyDescent="0.2"/>
    <row r="158" s="238" customFormat="1" x14ac:dyDescent="0.2"/>
    <row r="159" s="238" customFormat="1" x14ac:dyDescent="0.2"/>
    <row r="160" s="238" customFormat="1" x14ac:dyDescent="0.2"/>
    <row r="161" s="238" customFormat="1" x14ac:dyDescent="0.2"/>
    <row r="162" s="238" customFormat="1" x14ac:dyDescent="0.2"/>
    <row r="163" s="238" customFormat="1" x14ac:dyDescent="0.2"/>
    <row r="164" s="238" customFormat="1" x14ac:dyDescent="0.2"/>
    <row r="165" s="238" customFormat="1" x14ac:dyDescent="0.2"/>
    <row r="166" s="238" customFormat="1" x14ac:dyDescent="0.2"/>
    <row r="167" s="238" customFormat="1" x14ac:dyDescent="0.2"/>
    <row r="168" s="238" customFormat="1" x14ac:dyDescent="0.2"/>
    <row r="169" s="238" customFormat="1" x14ac:dyDescent="0.2"/>
    <row r="170" s="238" customFormat="1" x14ac:dyDescent="0.2"/>
    <row r="171" s="238" customFormat="1" x14ac:dyDescent="0.2"/>
    <row r="172" s="238" customFormat="1" x14ac:dyDescent="0.2"/>
    <row r="173" s="238" customFormat="1" x14ac:dyDescent="0.2"/>
    <row r="174" s="238" customFormat="1" x14ac:dyDescent="0.2"/>
    <row r="175" s="238" customFormat="1" x14ac:dyDescent="0.2"/>
    <row r="176" s="238" customFormat="1" x14ac:dyDescent="0.2"/>
    <row r="177" s="238" customFormat="1" x14ac:dyDescent="0.2"/>
    <row r="178" s="238" customFormat="1" x14ac:dyDescent="0.2"/>
    <row r="179" s="238" customFormat="1" x14ac:dyDescent="0.2"/>
    <row r="180" s="238" customFormat="1" x14ac:dyDescent="0.2"/>
    <row r="181" s="238" customFormat="1" x14ac:dyDescent="0.2"/>
    <row r="182" s="238" customFormat="1" x14ac:dyDescent="0.2"/>
    <row r="183" s="238" customFormat="1" x14ac:dyDescent="0.2"/>
    <row r="184" s="238" customFormat="1" x14ac:dyDescent="0.2"/>
    <row r="185" s="238" customFormat="1" x14ac:dyDescent="0.2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48"/>
  <sheetViews>
    <sheetView zoomScale="85" zoomScaleNormal="85" zoomScalePageLayoutView="85" workbookViewId="0">
      <pane ySplit="2" topLeftCell="A3" activePane="bottomLeft" state="frozen"/>
      <selection pane="bottomLeft" activeCell="A2" sqref="A2"/>
    </sheetView>
  </sheetViews>
  <sheetFormatPr defaultColWidth="8.85546875" defaultRowHeight="12.75" x14ac:dyDescent="0.2"/>
  <sheetData>
    <row r="1" s="121" customFormat="1" ht="30" customHeight="1" thickBot="1" x14ac:dyDescent="0.25"/>
    <row r="2" s="91" customFormat="1" ht="28.5" customHeight="1" thickBot="1" x14ac:dyDescent="0.25"/>
    <row r="26" s="121" customFormat="1" ht="30" customHeight="1" x14ac:dyDescent="0.2"/>
    <row r="48" s="121" customFormat="1" ht="12" customHeight="1" x14ac:dyDescent="0.2"/>
  </sheetData>
  <phoneticPr fontId="0" type="noConversion"/>
  <printOptions gridLines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2"/>
  <sheetViews>
    <sheetView workbookViewId="0">
      <selection activeCell="A2" sqref="A2"/>
    </sheetView>
  </sheetViews>
  <sheetFormatPr defaultColWidth="8.85546875" defaultRowHeight="12.75" x14ac:dyDescent="0.2"/>
  <sheetData>
    <row r="1" s="121" customFormat="1" ht="30" customHeight="1" thickBot="1" x14ac:dyDescent="0.25"/>
    <row r="2" s="91" customFormat="1" ht="28.5" customHeight="1" thickBot="1" x14ac:dyDescent="0.25"/>
  </sheetData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93"/>
  <sheetViews>
    <sheetView workbookViewId="0">
      <selection sqref="A1:N25"/>
    </sheetView>
  </sheetViews>
  <sheetFormatPr defaultColWidth="8.85546875" defaultRowHeight="12.75" x14ac:dyDescent="0.2"/>
  <sheetData>
    <row r="1" s="121" customFormat="1" ht="30" customHeight="1" thickBot="1" x14ac:dyDescent="0.25"/>
    <row r="2" s="91" customFormat="1" ht="28.5" customHeight="1" thickBot="1" x14ac:dyDescent="0.25"/>
    <row r="11" ht="13.5" customHeight="1" x14ac:dyDescent="0.2"/>
    <row r="14" s="121" customFormat="1" ht="30" customHeight="1" x14ac:dyDescent="0.2"/>
    <row r="20" ht="13.5" customHeight="1" x14ac:dyDescent="0.2"/>
    <row r="23" s="121" customFormat="1" ht="11.25" customHeight="1" x14ac:dyDescent="0.2"/>
    <row r="36" ht="11.25" customHeight="1" x14ac:dyDescent="0.2"/>
    <row r="46" ht="13.5" customHeight="1" x14ac:dyDescent="0.2"/>
    <row r="56" ht="12" customHeight="1" x14ac:dyDescent="0.2"/>
    <row r="61" s="121" customFormat="1" ht="14.25" customHeight="1" x14ac:dyDescent="0.2"/>
    <row r="82" ht="12.75" customHeight="1" x14ac:dyDescent="0.2"/>
    <row r="93" s="121" customFormat="1" ht="30" customHeight="1" x14ac:dyDescent="0.2"/>
  </sheetData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Setup</vt:lpstr>
      <vt:lpstr>Weigh-in</vt:lpstr>
      <vt:lpstr>Loading Chart</vt:lpstr>
      <vt:lpstr>Lifting</vt:lpstr>
      <vt:lpstr>BarLoad</vt:lpstr>
      <vt:lpstr>Upcoming Flights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PrintSheet!Print_Area</vt:lpstr>
      <vt:lpstr>'Weigh-in'!Print_Area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Amy</cp:lastModifiedBy>
  <cp:lastPrinted>2018-02-12T18:50:54Z</cp:lastPrinted>
  <dcterms:created xsi:type="dcterms:W3CDTF">2004-08-23T15:45:10Z</dcterms:created>
  <dcterms:modified xsi:type="dcterms:W3CDTF">2018-02-12T19:19:08Z</dcterms:modified>
</cp:coreProperties>
</file>