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y\Desktop\New folder\Desktop\ALL DOCUMENTS UP TO DATE\APF\State Chairman\Texas\2018\"/>
    </mc:Choice>
  </mc:AlternateContent>
  <bookViews>
    <workbookView xWindow="0" yWindow="0" windowWidth="28770" windowHeight="12360" tabRatio="921"/>
  </bookViews>
  <sheets>
    <sheet name="Setup" sheetId="9" r:id="rId1"/>
    <sheet name="Weigh-in" sheetId="6" r:id="rId2"/>
    <sheet name="Lifting" sheetId="2" r:id="rId3"/>
    <sheet name="3-Lift" sheetId="14601" r:id="rId4"/>
    <sheet name="Squat" sheetId="14603" r:id="rId5"/>
    <sheet name="Bench" sheetId="14604" r:id="rId6"/>
    <sheet name="Deadlift" sheetId="14605" r:id="rId7"/>
    <sheet name="Push-Pull" sheetId="14602" r:id="rId8"/>
    <sheet name="DATA" sheetId="14584" state="hidden" r:id="rId9"/>
    <sheet name="PrintSheet" sheetId="14607" r:id="rId10"/>
    <sheet name="Awards" sheetId="14600" r:id="rId11"/>
    <sheet name="Please read" sheetId="14585" r:id="rId12"/>
    <sheet name="Black &amp; White load sheet" sheetId="14606" r:id="rId13"/>
  </sheets>
  <definedNames>
    <definedName name="_xlnm.Print_Area" localSheetId="3">'3-Lift'!$B$1:$AD$54</definedName>
    <definedName name="_xlnm.Print_Area" localSheetId="5">Bench!$B$1:$R$9</definedName>
    <definedName name="_xlnm.Print_Area" localSheetId="6">Deadlift!$B$1:$R$6</definedName>
    <definedName name="_xlnm.Print_Area" localSheetId="9">PrintSheet!$A$1:$AI$26</definedName>
    <definedName name="_xlnm.Print_Area" localSheetId="7">'Push-Pull'!$A$1:$W$2</definedName>
    <definedName name="_xlnm.Print_Area" localSheetId="4">Squat!$A$1:$Q$2</definedName>
    <definedName name="_xlnm.Print_Titles" localSheetId="12">'Black &amp; White load sheet'!$1:$2</definedName>
    <definedName name="_xlnm.Print_Titles" localSheetId="9">PrintSheet!$1:$2</definedName>
  </definedNames>
  <calcPr calcId="152511" concurrentCalc="0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</workbook>
</file>

<file path=xl/calcChain.xml><?xml version="1.0" encoding="utf-8"?>
<calcChain xmlns="http://schemas.openxmlformats.org/spreadsheetml/2006/main"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10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2" i="2"/>
  <c r="A51" i="2"/>
  <c r="A53" i="2"/>
  <c r="A56" i="2"/>
  <c r="A54" i="2"/>
  <c r="A55" i="2"/>
  <c r="A59" i="2"/>
  <c r="A57" i="2"/>
  <c r="A58" i="2"/>
  <c r="A61" i="2"/>
  <c r="A60" i="2"/>
  <c r="A62" i="2"/>
  <c r="A64" i="2"/>
  <c r="A67" i="2"/>
  <c r="A66" i="2"/>
  <c r="A65" i="2"/>
  <c r="A68" i="2"/>
  <c r="A69" i="2"/>
  <c r="A63" i="2"/>
  <c r="A70" i="2"/>
  <c r="A71" i="2"/>
  <c r="A72" i="2"/>
  <c r="AW24" i="2"/>
  <c r="AO24" i="2"/>
  <c r="F8" i="2"/>
  <c r="AL24" i="2"/>
  <c r="H24" i="2"/>
  <c r="AE24" i="2"/>
  <c r="AA24" i="2"/>
  <c r="U24" i="2"/>
  <c r="O24" i="2"/>
  <c r="J16" i="9"/>
  <c r="J20" i="9"/>
  <c r="J18" i="9"/>
  <c r="J19" i="9"/>
  <c r="G24" i="2"/>
  <c r="AW12" i="2"/>
  <c r="AO12" i="2"/>
  <c r="AL12" i="2"/>
  <c r="H12" i="2"/>
  <c r="AE12" i="2"/>
  <c r="AA12" i="2"/>
  <c r="U12" i="2"/>
  <c r="O12" i="2"/>
  <c r="J17" i="9"/>
  <c r="G12" i="2"/>
  <c r="AW22" i="2"/>
  <c r="AO22" i="2"/>
  <c r="AL22" i="2"/>
  <c r="H22" i="2"/>
  <c r="AE22" i="2"/>
  <c r="AA22" i="2"/>
  <c r="U22" i="2"/>
  <c r="O22" i="2"/>
  <c r="G22" i="2"/>
  <c r="AW23" i="2"/>
  <c r="AO23" i="2"/>
  <c r="AL23" i="2"/>
  <c r="H23" i="2"/>
  <c r="AE23" i="2"/>
  <c r="AA23" i="2"/>
  <c r="U23" i="2"/>
  <c r="O23" i="2"/>
  <c r="G23" i="2"/>
  <c r="AW20" i="2"/>
  <c r="AO20" i="2"/>
  <c r="AL20" i="2"/>
  <c r="H20" i="2"/>
  <c r="AE20" i="2"/>
  <c r="AA20" i="2"/>
  <c r="U20" i="2"/>
  <c r="O20" i="2"/>
  <c r="G20" i="2"/>
  <c r="AW21" i="2"/>
  <c r="AO21" i="2"/>
  <c r="AL21" i="2"/>
  <c r="H21" i="2"/>
  <c r="AE21" i="2"/>
  <c r="AA21" i="2"/>
  <c r="U21" i="2"/>
  <c r="O21" i="2"/>
  <c r="G21" i="2"/>
  <c r="AW16" i="2"/>
  <c r="AO16" i="2"/>
  <c r="AL16" i="2"/>
  <c r="H16" i="2"/>
  <c r="AE16" i="2"/>
  <c r="AA16" i="2"/>
  <c r="U16" i="2"/>
  <c r="O16" i="2"/>
  <c r="G16" i="2"/>
  <c r="AW18" i="2"/>
  <c r="AO18" i="2"/>
  <c r="AL18" i="2"/>
  <c r="H18" i="2"/>
  <c r="AE18" i="2"/>
  <c r="AA18" i="2"/>
  <c r="U18" i="2"/>
  <c r="O18" i="2"/>
  <c r="J12" i="9"/>
  <c r="J14" i="9"/>
  <c r="J15" i="9"/>
  <c r="G18" i="2"/>
  <c r="AW15" i="2"/>
  <c r="AO15" i="2"/>
  <c r="AL15" i="2"/>
  <c r="H15" i="2"/>
  <c r="AE15" i="2"/>
  <c r="AA15" i="2"/>
  <c r="U15" i="2"/>
  <c r="O15" i="2"/>
  <c r="G15" i="2"/>
  <c r="AW17" i="2"/>
  <c r="AO17" i="2"/>
  <c r="AL17" i="2"/>
  <c r="H17" i="2"/>
  <c r="AE17" i="2"/>
  <c r="AA17" i="2"/>
  <c r="U17" i="2"/>
  <c r="O17" i="2"/>
  <c r="J13" i="9"/>
  <c r="G17" i="2"/>
  <c r="AW13" i="2"/>
  <c r="AO13" i="2"/>
  <c r="AL13" i="2"/>
  <c r="H13" i="2"/>
  <c r="AE13" i="2"/>
  <c r="AA13" i="2"/>
  <c r="U13" i="2"/>
  <c r="O13" i="2"/>
  <c r="G13" i="2"/>
  <c r="AW19" i="2"/>
  <c r="AO19" i="2"/>
  <c r="AL19" i="2"/>
  <c r="H19" i="2"/>
  <c r="AE19" i="2"/>
  <c r="AA19" i="2"/>
  <c r="U19" i="2"/>
  <c r="O19" i="2"/>
  <c r="G19" i="2"/>
  <c r="AW14" i="2"/>
  <c r="AO14" i="2"/>
  <c r="AL14" i="2"/>
  <c r="H14" i="2"/>
  <c r="AE14" i="2"/>
  <c r="AA14" i="2"/>
  <c r="U14" i="2"/>
  <c r="O14" i="2"/>
  <c r="G14" i="2"/>
  <c r="AW11" i="2"/>
  <c r="AO11" i="2"/>
  <c r="AL11" i="2"/>
  <c r="H11" i="2"/>
  <c r="AE11" i="2"/>
  <c r="AA11" i="2"/>
  <c r="U11" i="2"/>
  <c r="O11" i="2"/>
  <c r="J10" i="9"/>
  <c r="G11" i="2"/>
  <c r="AW10" i="2"/>
  <c r="AO10" i="2"/>
  <c r="AL10" i="2"/>
  <c r="H10" i="2"/>
  <c r="AE10" i="2"/>
  <c r="AA10" i="2"/>
  <c r="U10" i="2"/>
  <c r="O10" i="2"/>
  <c r="G10" i="2"/>
  <c r="AW72" i="2"/>
  <c r="AO72" i="2"/>
  <c r="AL72" i="2"/>
  <c r="H72" i="2"/>
  <c r="AE72" i="2"/>
  <c r="AA72" i="2"/>
  <c r="U72" i="2"/>
  <c r="O72" i="2"/>
  <c r="L16" i="9"/>
  <c r="L12" i="9"/>
  <c r="L14" i="9"/>
  <c r="L15" i="9"/>
  <c r="G72" i="2"/>
  <c r="AW68" i="2"/>
  <c r="AO68" i="2"/>
  <c r="AL68" i="2"/>
  <c r="H68" i="2"/>
  <c r="AE68" i="2"/>
  <c r="AA68" i="2"/>
  <c r="U68" i="2"/>
  <c r="O68" i="2"/>
  <c r="L13" i="9"/>
  <c r="G68" i="2"/>
  <c r="AW71" i="2"/>
  <c r="AO71" i="2"/>
  <c r="AL71" i="2"/>
  <c r="H71" i="2"/>
  <c r="AE71" i="2"/>
  <c r="AA71" i="2"/>
  <c r="U71" i="2"/>
  <c r="O71" i="2"/>
  <c r="G71" i="2"/>
  <c r="AW70" i="2"/>
  <c r="AO70" i="2"/>
  <c r="AL70" i="2"/>
  <c r="H70" i="2"/>
  <c r="AE70" i="2"/>
  <c r="AA70" i="2"/>
  <c r="U70" i="2"/>
  <c r="O70" i="2"/>
  <c r="G70" i="2"/>
  <c r="AW64" i="2"/>
  <c r="AO64" i="2"/>
  <c r="AL64" i="2"/>
  <c r="H64" i="2"/>
  <c r="AE64" i="2"/>
  <c r="AA64" i="2"/>
  <c r="U64" i="2"/>
  <c r="O64" i="2"/>
  <c r="G64" i="2"/>
  <c r="AW62" i="2"/>
  <c r="AO62" i="2"/>
  <c r="AL62" i="2"/>
  <c r="H62" i="2"/>
  <c r="AE62" i="2"/>
  <c r="AA62" i="2"/>
  <c r="U62" i="2"/>
  <c r="O62" i="2"/>
  <c r="L10" i="9"/>
  <c r="L11" i="9"/>
  <c r="G62" i="2"/>
  <c r="AW66" i="2"/>
  <c r="AO66" i="2"/>
  <c r="AL66" i="2"/>
  <c r="H66" i="2"/>
  <c r="AE66" i="2"/>
  <c r="AA66" i="2"/>
  <c r="U66" i="2"/>
  <c r="O66" i="2"/>
  <c r="G66" i="2"/>
  <c r="AW65" i="2"/>
  <c r="AO65" i="2"/>
  <c r="AL65" i="2"/>
  <c r="H65" i="2"/>
  <c r="AE65" i="2"/>
  <c r="AA65" i="2"/>
  <c r="U65" i="2"/>
  <c r="O65" i="2"/>
  <c r="G65" i="2"/>
  <c r="AW63" i="2"/>
  <c r="AO63" i="2"/>
  <c r="AL63" i="2"/>
  <c r="H63" i="2"/>
  <c r="AE63" i="2"/>
  <c r="AA63" i="2"/>
  <c r="U63" i="2"/>
  <c r="O63" i="2"/>
  <c r="G63" i="2"/>
  <c r="AW61" i="2"/>
  <c r="AO61" i="2"/>
  <c r="AL61" i="2"/>
  <c r="H61" i="2"/>
  <c r="AE61" i="2"/>
  <c r="AA61" i="2"/>
  <c r="U61" i="2"/>
  <c r="O61" i="2"/>
  <c r="G61" i="2"/>
  <c r="AW69" i="2"/>
  <c r="AO69" i="2"/>
  <c r="AL69" i="2"/>
  <c r="H69" i="2"/>
  <c r="AE69" i="2"/>
  <c r="AA69" i="2"/>
  <c r="U69" i="2"/>
  <c r="O69" i="2"/>
  <c r="G69" i="2"/>
  <c r="AW58" i="2"/>
  <c r="AO58" i="2"/>
  <c r="AL58" i="2"/>
  <c r="H58" i="2"/>
  <c r="AE58" i="2"/>
  <c r="AA58" i="2"/>
  <c r="U58" i="2"/>
  <c r="O58" i="2"/>
  <c r="G58" i="2"/>
  <c r="AW67" i="2"/>
  <c r="AO67" i="2"/>
  <c r="AL67" i="2"/>
  <c r="H67" i="2"/>
  <c r="AE67" i="2"/>
  <c r="AA67" i="2"/>
  <c r="U67" i="2"/>
  <c r="O67" i="2"/>
  <c r="G67" i="2"/>
  <c r="AW60" i="2"/>
  <c r="AO60" i="2"/>
  <c r="AL60" i="2"/>
  <c r="H60" i="2"/>
  <c r="AE60" i="2"/>
  <c r="AA60" i="2"/>
  <c r="U60" i="2"/>
  <c r="O60" i="2"/>
  <c r="G60" i="2"/>
  <c r="AW59" i="2"/>
  <c r="AO59" i="2"/>
  <c r="AL59" i="2"/>
  <c r="H59" i="2"/>
  <c r="AE59" i="2"/>
  <c r="AA59" i="2"/>
  <c r="U59" i="2"/>
  <c r="O59" i="2"/>
  <c r="G59" i="2"/>
  <c r="AW56" i="2"/>
  <c r="AO56" i="2"/>
  <c r="AL56" i="2"/>
  <c r="H56" i="2"/>
  <c r="AE56" i="2"/>
  <c r="AA56" i="2"/>
  <c r="U56" i="2"/>
  <c r="O56" i="2"/>
  <c r="G56" i="2"/>
  <c r="AW57" i="2"/>
  <c r="AO57" i="2"/>
  <c r="AL57" i="2"/>
  <c r="H57" i="2"/>
  <c r="AE57" i="2"/>
  <c r="AA57" i="2"/>
  <c r="U57" i="2"/>
  <c r="O57" i="2"/>
  <c r="G57" i="2"/>
  <c r="AW51" i="2"/>
  <c r="AO51" i="2"/>
  <c r="AL51" i="2"/>
  <c r="H51" i="2"/>
  <c r="AE51" i="2"/>
  <c r="AA51" i="2"/>
  <c r="U51" i="2"/>
  <c r="O51" i="2"/>
  <c r="G51" i="2"/>
  <c r="AW55" i="2"/>
  <c r="AO55" i="2"/>
  <c r="AL55" i="2"/>
  <c r="H55" i="2"/>
  <c r="AE55" i="2"/>
  <c r="AA55" i="2"/>
  <c r="U55" i="2"/>
  <c r="O55" i="2"/>
  <c r="G55" i="2"/>
  <c r="AW54" i="2"/>
  <c r="AO54" i="2"/>
  <c r="AL54" i="2"/>
  <c r="H54" i="2"/>
  <c r="AE54" i="2"/>
  <c r="AA54" i="2"/>
  <c r="U54" i="2"/>
  <c r="O54" i="2"/>
  <c r="L19" i="9"/>
  <c r="L20" i="9"/>
  <c r="L18" i="9"/>
  <c r="L17" i="9"/>
  <c r="G54" i="2"/>
  <c r="AW53" i="2"/>
  <c r="AO53" i="2"/>
  <c r="AL53" i="2"/>
  <c r="H53" i="2"/>
  <c r="AE53" i="2"/>
  <c r="AA53" i="2"/>
  <c r="U53" i="2"/>
  <c r="O53" i="2"/>
  <c r="G53" i="2"/>
  <c r="AW52" i="2"/>
  <c r="AO52" i="2"/>
  <c r="AL52" i="2"/>
  <c r="H52" i="2"/>
  <c r="AE52" i="2"/>
  <c r="AA52" i="2"/>
  <c r="U52" i="2"/>
  <c r="O52" i="2"/>
  <c r="G52" i="2"/>
  <c r="AW30" i="2"/>
  <c r="AO30" i="2"/>
  <c r="AL30" i="2"/>
  <c r="H30" i="2"/>
  <c r="AE30" i="2"/>
  <c r="AA30" i="2"/>
  <c r="U30" i="2"/>
  <c r="O30" i="2"/>
  <c r="J11" i="9"/>
  <c r="G30" i="2"/>
  <c r="AW49" i="2"/>
  <c r="AO49" i="2"/>
  <c r="AL49" i="2"/>
  <c r="H49" i="2"/>
  <c r="AE49" i="2"/>
  <c r="AA49" i="2"/>
  <c r="U49" i="2"/>
  <c r="O49" i="2"/>
  <c r="G49" i="2"/>
  <c r="AW28" i="2"/>
  <c r="AO28" i="2"/>
  <c r="AL28" i="2"/>
  <c r="H28" i="2"/>
  <c r="AE28" i="2"/>
  <c r="AA28" i="2"/>
  <c r="U28" i="2"/>
  <c r="O28" i="2"/>
  <c r="G28" i="2"/>
  <c r="AW34" i="2"/>
  <c r="AO34" i="2"/>
  <c r="AL34" i="2"/>
  <c r="H34" i="2"/>
  <c r="AE34" i="2"/>
  <c r="AY34" i="2"/>
  <c r="AA34" i="2"/>
  <c r="U34" i="2"/>
  <c r="O34" i="2"/>
  <c r="G34" i="2"/>
  <c r="AW35" i="2"/>
  <c r="AO35" i="2"/>
  <c r="AL35" i="2"/>
  <c r="H35" i="2"/>
  <c r="AE35" i="2"/>
  <c r="AY35" i="2"/>
  <c r="AA35" i="2"/>
  <c r="U35" i="2"/>
  <c r="O35" i="2"/>
  <c r="G35" i="2"/>
  <c r="AW45" i="2"/>
  <c r="AO45" i="2"/>
  <c r="AL45" i="2"/>
  <c r="H45" i="2"/>
  <c r="AE45" i="2"/>
  <c r="AY45" i="2"/>
  <c r="AA45" i="2"/>
  <c r="U45" i="2"/>
  <c r="O45" i="2"/>
  <c r="G45" i="2"/>
  <c r="AW46" i="2"/>
  <c r="AO46" i="2"/>
  <c r="AL46" i="2"/>
  <c r="H46" i="2"/>
  <c r="AE46" i="2"/>
  <c r="AY46" i="2"/>
  <c r="AA46" i="2"/>
  <c r="U46" i="2"/>
  <c r="O46" i="2"/>
  <c r="G46" i="2"/>
  <c r="AW43" i="2"/>
  <c r="AO43" i="2"/>
  <c r="AL43" i="2"/>
  <c r="H43" i="2"/>
  <c r="AE43" i="2"/>
  <c r="AY43" i="2"/>
  <c r="AA43" i="2"/>
  <c r="U43" i="2"/>
  <c r="O43" i="2"/>
  <c r="G43" i="2"/>
  <c r="AW47" i="2"/>
  <c r="AO47" i="2"/>
  <c r="AL47" i="2"/>
  <c r="H47" i="2"/>
  <c r="AE47" i="2"/>
  <c r="AA47" i="2"/>
  <c r="U47" i="2"/>
  <c r="O47" i="2"/>
  <c r="G47" i="2"/>
  <c r="AW48" i="2"/>
  <c r="AO48" i="2"/>
  <c r="AL48" i="2"/>
  <c r="H48" i="2"/>
  <c r="AE48" i="2"/>
  <c r="AY48" i="2"/>
  <c r="AA48" i="2"/>
  <c r="U48" i="2"/>
  <c r="O48" i="2"/>
  <c r="G48" i="2"/>
  <c r="AW44" i="2"/>
  <c r="AO44" i="2"/>
  <c r="AL44" i="2"/>
  <c r="H44" i="2"/>
  <c r="AE44" i="2"/>
  <c r="AY44" i="2"/>
  <c r="AA44" i="2"/>
  <c r="U44" i="2"/>
  <c r="O44" i="2"/>
  <c r="G44" i="2"/>
  <c r="AW50" i="2"/>
  <c r="AO50" i="2"/>
  <c r="AL50" i="2"/>
  <c r="H50" i="2"/>
  <c r="AE50" i="2"/>
  <c r="AY50" i="2"/>
  <c r="AA50" i="2"/>
  <c r="U50" i="2"/>
  <c r="O50" i="2"/>
  <c r="G50" i="2"/>
  <c r="AW38" i="2"/>
  <c r="AO38" i="2"/>
  <c r="AL38" i="2"/>
  <c r="H38" i="2"/>
  <c r="AE38" i="2"/>
  <c r="AY38" i="2"/>
  <c r="AA38" i="2"/>
  <c r="U38" i="2"/>
  <c r="O38" i="2"/>
  <c r="G38" i="2"/>
  <c r="AW37" i="2"/>
  <c r="AO37" i="2"/>
  <c r="AL37" i="2"/>
  <c r="H37" i="2"/>
  <c r="AE37" i="2"/>
  <c r="AY37" i="2"/>
  <c r="AA37" i="2"/>
  <c r="U37" i="2"/>
  <c r="O37" i="2"/>
  <c r="G37" i="2"/>
  <c r="AW39" i="2"/>
  <c r="AO39" i="2"/>
  <c r="AL39" i="2"/>
  <c r="H39" i="2"/>
  <c r="AE39" i="2"/>
  <c r="AY39" i="2"/>
  <c r="AA39" i="2"/>
  <c r="U39" i="2"/>
  <c r="O39" i="2"/>
  <c r="G39" i="2"/>
  <c r="AW40" i="2"/>
  <c r="AO40" i="2"/>
  <c r="AL40" i="2"/>
  <c r="H40" i="2"/>
  <c r="AE40" i="2"/>
  <c r="AA40" i="2"/>
  <c r="U40" i="2"/>
  <c r="O40" i="2"/>
  <c r="G40" i="2"/>
  <c r="AW42" i="2"/>
  <c r="AO42" i="2"/>
  <c r="AL42" i="2"/>
  <c r="H42" i="2"/>
  <c r="AE42" i="2"/>
  <c r="AA42" i="2"/>
  <c r="U42" i="2"/>
  <c r="O42" i="2"/>
  <c r="G42" i="2"/>
  <c r="AW41" i="2"/>
  <c r="AO41" i="2"/>
  <c r="AL41" i="2"/>
  <c r="H41" i="2"/>
  <c r="AE41" i="2"/>
  <c r="AA41" i="2"/>
  <c r="U41" i="2"/>
  <c r="O41" i="2"/>
  <c r="G41" i="2"/>
  <c r="AW33" i="2"/>
  <c r="AO33" i="2"/>
  <c r="AL33" i="2"/>
  <c r="H33" i="2"/>
  <c r="AE33" i="2"/>
  <c r="AA33" i="2"/>
  <c r="U33" i="2"/>
  <c r="O33" i="2"/>
  <c r="G33" i="2"/>
  <c r="AW32" i="2"/>
  <c r="AO32" i="2"/>
  <c r="AL32" i="2"/>
  <c r="H32" i="2"/>
  <c r="AE32" i="2"/>
  <c r="AA32" i="2"/>
  <c r="U32" i="2"/>
  <c r="O32" i="2"/>
  <c r="G32" i="2"/>
  <c r="AW36" i="2"/>
  <c r="AO36" i="2"/>
  <c r="AL36" i="2"/>
  <c r="H36" i="2"/>
  <c r="AE36" i="2"/>
  <c r="AA36" i="2"/>
  <c r="U36" i="2"/>
  <c r="O36" i="2"/>
  <c r="G36" i="2"/>
  <c r="AW29" i="2"/>
  <c r="AO29" i="2"/>
  <c r="AL29" i="2"/>
  <c r="H29" i="2"/>
  <c r="AE29" i="2"/>
  <c r="AY29" i="2"/>
  <c r="AA29" i="2"/>
  <c r="U29" i="2"/>
  <c r="O29" i="2"/>
  <c r="G29" i="2"/>
  <c r="AW31" i="2"/>
  <c r="AO31" i="2"/>
  <c r="AL31" i="2"/>
  <c r="H31" i="2"/>
  <c r="AE31" i="2"/>
  <c r="AA31" i="2"/>
  <c r="U31" i="2"/>
  <c r="O31" i="2"/>
  <c r="G31" i="2"/>
  <c r="AW27" i="2"/>
  <c r="AO27" i="2"/>
  <c r="AL27" i="2"/>
  <c r="H27" i="2"/>
  <c r="AE27" i="2"/>
  <c r="AA27" i="2"/>
  <c r="U27" i="2"/>
  <c r="O27" i="2"/>
  <c r="G27" i="2"/>
  <c r="AW26" i="2"/>
  <c r="AO26" i="2"/>
  <c r="AL26" i="2"/>
  <c r="H26" i="2"/>
  <c r="AE26" i="2"/>
  <c r="AY26" i="2"/>
  <c r="AA26" i="2"/>
  <c r="U26" i="2"/>
  <c r="O26" i="2"/>
  <c r="G26" i="2"/>
  <c r="AW25" i="2"/>
  <c r="AO25" i="2"/>
  <c r="AL25" i="2"/>
  <c r="H25" i="2"/>
  <c r="AE25" i="2"/>
  <c r="AY25" i="2"/>
  <c r="AA25" i="2"/>
  <c r="U25" i="2"/>
  <c r="O25" i="2"/>
  <c r="G25" i="2"/>
  <c r="AN19" i="2"/>
  <c r="AN18" i="2"/>
  <c r="AN61" i="2"/>
  <c r="V63" i="2"/>
  <c r="V58" i="2"/>
  <c r="V70" i="2"/>
  <c r="AN58" i="2"/>
  <c r="V69" i="2"/>
  <c r="V33" i="2"/>
  <c r="V50" i="2"/>
  <c r="AN47" i="2"/>
  <c r="AN65" i="2"/>
  <c r="AN70" i="2"/>
  <c r="V71" i="2"/>
  <c r="AN10" i="2"/>
  <c r="AN13" i="2"/>
  <c r="AN16" i="2"/>
  <c r="V22" i="2"/>
  <c r="AN33" i="2"/>
  <c r="V39" i="2"/>
  <c r="AN60" i="2"/>
  <c r="AN21" i="2"/>
  <c r="AN44" i="2"/>
  <c r="AN27" i="2"/>
  <c r="V31" i="2"/>
  <c r="AN42" i="2"/>
  <c r="AN35" i="2"/>
  <c r="AN29" i="2"/>
  <c r="AN36" i="2"/>
  <c r="V32" i="2"/>
  <c r="V37" i="2"/>
  <c r="V44" i="2"/>
  <c r="V64" i="2"/>
  <c r="AN68" i="2"/>
  <c r="AN14" i="2"/>
  <c r="AN15" i="2"/>
  <c r="AN20" i="2"/>
  <c r="AN22" i="2"/>
  <c r="V12" i="2"/>
  <c r="V66" i="2"/>
  <c r="AN69" i="2"/>
  <c r="AN26" i="2"/>
  <c r="V41" i="2"/>
  <c r="V40" i="2"/>
  <c r="AN39" i="2"/>
  <c r="AN38" i="2"/>
  <c r="V48" i="2"/>
  <c r="V43" i="2"/>
  <c r="AN46" i="2"/>
  <c r="V67" i="2"/>
  <c r="V65" i="2"/>
  <c r="AN62" i="2"/>
  <c r="AN71" i="2"/>
  <c r="AN23" i="2"/>
  <c r="V24" i="2"/>
  <c r="AN41" i="2"/>
  <c r="AN48" i="2"/>
  <c r="AN37" i="2"/>
  <c r="AM46" i="2"/>
  <c r="AN45" i="2"/>
  <c r="AN66" i="2"/>
  <c r="AN72" i="2"/>
  <c r="AN17" i="2"/>
  <c r="AM26" i="2"/>
  <c r="AN32" i="2"/>
  <c r="AN40" i="2"/>
  <c r="AN25" i="2"/>
  <c r="AN31" i="2"/>
  <c r="V36" i="2"/>
  <c r="V42" i="2"/>
  <c r="V38" i="2"/>
  <c r="V47" i="2"/>
  <c r="V52" i="2"/>
  <c r="V53" i="2"/>
  <c r="V54" i="2"/>
  <c r="V55" i="2"/>
  <c r="V51" i="2"/>
  <c r="V57" i="2"/>
  <c r="V60" i="2"/>
  <c r="AN67" i="2"/>
  <c r="V61" i="2"/>
  <c r="AN63" i="2"/>
  <c r="V62" i="2"/>
  <c r="AN64" i="2"/>
  <c r="V68" i="2"/>
  <c r="V72" i="2"/>
  <c r="V15" i="2"/>
  <c r="V16" i="2"/>
  <c r="V20" i="2"/>
  <c r="AN12" i="2"/>
  <c r="AW9" i="2"/>
  <c r="AX31" i="2"/>
  <c r="AN49" i="2"/>
  <c r="AN56" i="2"/>
  <c r="AN11" i="2"/>
  <c r="V23" i="2"/>
  <c r="AN50" i="2"/>
  <c r="AN43" i="2"/>
  <c r="AN24" i="2"/>
  <c r="AM25" i="2"/>
  <c r="AN34" i="2"/>
  <c r="AN28" i="2"/>
  <c r="AN30" i="2"/>
  <c r="AN52" i="2"/>
  <c r="AN53" i="2"/>
  <c r="AN54" i="2"/>
  <c r="AN55" i="2"/>
  <c r="AN51" i="2"/>
  <c r="AN57" i="2"/>
  <c r="V56" i="2"/>
  <c r="AM59" i="2"/>
  <c r="AM60" i="2"/>
  <c r="AM58" i="2"/>
  <c r="AM61" i="2"/>
  <c r="AM65" i="2"/>
  <c r="AM62" i="2"/>
  <c r="AM70" i="2"/>
  <c r="V10" i="2"/>
  <c r="AM11" i="2"/>
  <c r="V14" i="2"/>
  <c r="AM19" i="2"/>
  <c r="V13" i="2"/>
  <c r="AM17" i="2"/>
  <c r="AM18" i="2"/>
  <c r="AM21" i="2"/>
  <c r="AM23" i="2"/>
  <c r="AM12" i="2"/>
  <c r="V26" i="2"/>
  <c r="AM31" i="2"/>
  <c r="AM45" i="2"/>
  <c r="AM24" i="2"/>
  <c r="V27" i="2"/>
  <c r="AM29" i="2"/>
  <c r="V25" i="2"/>
  <c r="AM27" i="2"/>
  <c r="V29" i="2"/>
  <c r="AM67" i="2"/>
  <c r="AM69" i="2"/>
  <c r="AM63" i="2"/>
  <c r="AM66" i="2"/>
  <c r="AM64" i="2"/>
  <c r="AM71" i="2"/>
  <c r="AM10" i="2"/>
  <c r="V11" i="2"/>
  <c r="AM14" i="2"/>
  <c r="V19" i="2"/>
  <c r="AM13" i="2"/>
  <c r="V17" i="2"/>
  <c r="AM15" i="2"/>
  <c r="V18" i="2"/>
  <c r="AM16" i="2"/>
  <c r="V21" i="2"/>
  <c r="AM20" i="2"/>
  <c r="AM22" i="2"/>
  <c r="AX27" i="2"/>
  <c r="AX36" i="2"/>
  <c r="AX33" i="2"/>
  <c r="AX42" i="2"/>
  <c r="AX39" i="2"/>
  <c r="AR39" i="2"/>
  <c r="AX38" i="2"/>
  <c r="AR38" i="2"/>
  <c r="AX44" i="2"/>
  <c r="AR44" i="2"/>
  <c r="AX47" i="2"/>
  <c r="AX46" i="2"/>
  <c r="AR46" i="2"/>
  <c r="AX56" i="2"/>
  <c r="AX57" i="2"/>
  <c r="AX51" i="2"/>
  <c r="AX55" i="2"/>
  <c r="AX54" i="2"/>
  <c r="AX53" i="2"/>
  <c r="AX52" i="2"/>
  <c r="AX30" i="2"/>
  <c r="AX34" i="2"/>
  <c r="AR34" i="2"/>
  <c r="AX28" i="2"/>
  <c r="AX25" i="2"/>
  <c r="AR25" i="2"/>
  <c r="AX49" i="2"/>
  <c r="AX45" i="2"/>
  <c r="AR45" i="2"/>
  <c r="AX35" i="2"/>
  <c r="AR35" i="2"/>
  <c r="AX26" i="2"/>
  <c r="AR26" i="2"/>
  <c r="AX29" i="2"/>
  <c r="AR29" i="2"/>
  <c r="AX32" i="2"/>
  <c r="AX41" i="2"/>
  <c r="AX40" i="2"/>
  <c r="AX37" i="2"/>
  <c r="AR37" i="2"/>
  <c r="AX50" i="2"/>
  <c r="AR50" i="2"/>
  <c r="AX48" i="2"/>
  <c r="AR48" i="2"/>
  <c r="AX43" i="2"/>
  <c r="AR43" i="2"/>
  <c r="AM36" i="2"/>
  <c r="AM32" i="2"/>
  <c r="AM33" i="2"/>
  <c r="AM41" i="2"/>
  <c r="AM42" i="2"/>
  <c r="AM40" i="2"/>
  <c r="AM39" i="2"/>
  <c r="AM37" i="2"/>
  <c r="AM38" i="2"/>
  <c r="AM50" i="2"/>
  <c r="AM44" i="2"/>
  <c r="AM48" i="2"/>
  <c r="AM47" i="2"/>
  <c r="AM43" i="2"/>
  <c r="V28" i="2"/>
  <c r="AM28" i="2"/>
  <c r="V46" i="2"/>
  <c r="V45" i="2"/>
  <c r="V34" i="2"/>
  <c r="AM34" i="2"/>
  <c r="V35" i="2"/>
  <c r="AM35" i="2"/>
  <c r="V30" i="2"/>
  <c r="AM30" i="2"/>
  <c r="V49" i="2"/>
  <c r="AM49" i="2"/>
  <c r="AM56" i="2"/>
  <c r="AX63" i="2"/>
  <c r="AX66" i="2"/>
  <c r="AX64" i="2"/>
  <c r="AX71" i="2"/>
  <c r="AX68" i="2"/>
  <c r="AM52" i="2"/>
  <c r="AM53" i="2"/>
  <c r="AM54" i="2"/>
  <c r="AM55" i="2"/>
  <c r="AM51" i="2"/>
  <c r="AM57" i="2"/>
  <c r="V59" i="2"/>
  <c r="AX61" i="2"/>
  <c r="AX65" i="2"/>
  <c r="AX62" i="2"/>
  <c r="AX70" i="2"/>
  <c r="AN59" i="2"/>
  <c r="AX59" i="2"/>
  <c r="AX60" i="2"/>
  <c r="AX67" i="2"/>
  <c r="AX58" i="2"/>
  <c r="AX69" i="2"/>
  <c r="AM68" i="2"/>
  <c r="AM72" i="2"/>
  <c r="AX72" i="2"/>
  <c r="AX10" i="2"/>
  <c r="AX11" i="2"/>
  <c r="AX14" i="2"/>
  <c r="AX13" i="2"/>
  <c r="AX15" i="2"/>
  <c r="AX16" i="2"/>
  <c r="AX20" i="2"/>
  <c r="AX22" i="2"/>
  <c r="AX12" i="2"/>
  <c r="AX19" i="2"/>
  <c r="AX17" i="2"/>
  <c r="AX18" i="2"/>
  <c r="AX21" i="2"/>
  <c r="AX23" i="2"/>
  <c r="AX24" i="2"/>
  <c r="AI1" i="2"/>
  <c r="J21" i="9"/>
  <c r="J22" i="9"/>
  <c r="J23" i="9"/>
  <c r="AS7" i="2"/>
  <c r="AU7" i="2"/>
  <c r="G8" i="2"/>
  <c r="AJ7" i="2"/>
  <c r="L21" i="9"/>
  <c r="L22" i="9"/>
  <c r="L23" i="9"/>
  <c r="H8" i="2"/>
  <c r="G3" i="2"/>
  <c r="G4" i="2"/>
  <c r="U9" i="2"/>
  <c r="O9" i="2"/>
  <c r="AA9" i="2"/>
  <c r="H9" i="2"/>
  <c r="AG1" i="2"/>
  <c r="AE9" i="2"/>
  <c r="AY9" i="2"/>
  <c r="AX9" i="2"/>
  <c r="K7" i="14600"/>
  <c r="B6" i="14600"/>
  <c r="J2" i="14600"/>
  <c r="B2" i="14606"/>
  <c r="C2" i="14606"/>
  <c r="D2" i="14606"/>
  <c r="E2" i="14606"/>
  <c r="F2" i="14606"/>
  <c r="G2" i="14606"/>
  <c r="H2" i="14606"/>
  <c r="I2" i="14606"/>
  <c r="J2" i="14606"/>
  <c r="M5" i="14606"/>
  <c r="M6" i="14606"/>
  <c r="M7" i="14606"/>
  <c r="M8" i="14606"/>
  <c r="M9" i="14606"/>
  <c r="M10" i="14606"/>
  <c r="M11" i="14606"/>
  <c r="M12" i="14606"/>
  <c r="L13" i="14606"/>
  <c r="M13" i="14606"/>
  <c r="L14" i="14606"/>
  <c r="O6" i="14606"/>
  <c r="O3" i="14606"/>
  <c r="O4" i="14606"/>
  <c r="O5" i="14606"/>
  <c r="O2" i="14606"/>
  <c r="G9" i="2"/>
  <c r="AK9" i="2"/>
  <c r="AO9" i="2"/>
  <c r="AG7" i="2"/>
  <c r="A9" i="2"/>
  <c r="BA1" i="2"/>
  <c r="BM1" i="2"/>
  <c r="BL1" i="2"/>
  <c r="BK1" i="2"/>
  <c r="BJ1" i="2"/>
  <c r="BI1" i="2"/>
  <c r="BH1" i="2"/>
  <c r="BG1" i="2"/>
  <c r="BF1" i="2"/>
  <c r="BE1" i="2"/>
  <c r="BD1" i="2"/>
  <c r="BC1" i="2"/>
  <c r="BB1" i="2"/>
  <c r="A3" i="2"/>
  <c r="A6" i="2"/>
  <c r="L1" i="9"/>
  <c r="C7" i="9"/>
  <c r="F2" i="6"/>
  <c r="AY1" i="6"/>
  <c r="A6" i="14600"/>
  <c r="A1" i="2"/>
  <c r="B9" i="14600"/>
  <c r="AJ12" i="2"/>
  <c r="AB12" i="2"/>
  <c r="AJ21" i="2"/>
  <c r="AB21" i="2"/>
  <c r="AJ17" i="2"/>
  <c r="AB17" i="2"/>
  <c r="AC17" i="2"/>
  <c r="AD17" i="2"/>
  <c r="AJ11" i="2"/>
  <c r="AB11" i="2"/>
  <c r="AJ71" i="2"/>
  <c r="AB71" i="2"/>
  <c r="AJ66" i="2"/>
  <c r="AB66" i="2"/>
  <c r="AJ69" i="2"/>
  <c r="AB69" i="2"/>
  <c r="AJ59" i="2"/>
  <c r="AB59" i="2"/>
  <c r="AJ55" i="2"/>
  <c r="AB55" i="2"/>
  <c r="AQ55" i="2"/>
  <c r="AJ30" i="2"/>
  <c r="AB30" i="2"/>
  <c r="AJ35" i="2"/>
  <c r="AB35" i="2"/>
  <c r="AQ35" i="2"/>
  <c r="AJ47" i="2"/>
  <c r="AB47" i="2"/>
  <c r="AJ38" i="2"/>
  <c r="AB38" i="2"/>
  <c r="AC38" i="2"/>
  <c r="AD38" i="2"/>
  <c r="AJ42" i="2"/>
  <c r="AB42" i="2"/>
  <c r="AJ36" i="2"/>
  <c r="AB36" i="2"/>
  <c r="AJ26" i="2"/>
  <c r="AB26" i="2"/>
  <c r="AJ22" i="2"/>
  <c r="AB22" i="2"/>
  <c r="AJ16" i="2"/>
  <c r="AB16" i="2"/>
  <c r="AJ13" i="2"/>
  <c r="AB13" i="2"/>
  <c r="AJ10" i="2"/>
  <c r="AB10" i="2"/>
  <c r="AC10" i="2"/>
  <c r="AD10" i="2"/>
  <c r="AJ70" i="2"/>
  <c r="AB70" i="2"/>
  <c r="AQ70" i="2"/>
  <c r="AJ65" i="2"/>
  <c r="AB65" i="2"/>
  <c r="AJ58" i="2"/>
  <c r="AB58" i="2"/>
  <c r="AJ56" i="2"/>
  <c r="AJ54" i="2"/>
  <c r="AB54" i="2"/>
  <c r="AJ49" i="2"/>
  <c r="AB49" i="2"/>
  <c r="AJ45" i="2"/>
  <c r="AB45" i="2"/>
  <c r="AJ48" i="2"/>
  <c r="AB48" i="2"/>
  <c r="AJ37" i="2"/>
  <c r="AB37" i="2"/>
  <c r="AQ37" i="2"/>
  <c r="AJ41" i="2"/>
  <c r="AB41" i="2"/>
  <c r="AJ29" i="2"/>
  <c r="AB29" i="2"/>
  <c r="AQ29" i="2"/>
  <c r="AJ25" i="2"/>
  <c r="AB25" i="2"/>
  <c r="AC25" i="2"/>
  <c r="AJ32" i="2"/>
  <c r="AB32" i="2"/>
  <c r="AJ23" i="2"/>
  <c r="AJ18" i="2"/>
  <c r="AB18" i="2"/>
  <c r="AJ19" i="2"/>
  <c r="AB19" i="2"/>
  <c r="AQ19" i="2"/>
  <c r="AJ72" i="2"/>
  <c r="AB72" i="2"/>
  <c r="AQ72" i="2"/>
  <c r="AJ64" i="2"/>
  <c r="AB64" i="2"/>
  <c r="AJ63" i="2"/>
  <c r="AB63" i="2"/>
  <c r="AJ67" i="2"/>
  <c r="AB67" i="2"/>
  <c r="AJ57" i="2"/>
  <c r="AB57" i="2"/>
  <c r="AJ53" i="2"/>
  <c r="AB53" i="2"/>
  <c r="AJ28" i="2"/>
  <c r="AB28" i="2"/>
  <c r="AJ46" i="2"/>
  <c r="AB46" i="2"/>
  <c r="AJ44" i="2"/>
  <c r="AB44" i="2"/>
  <c r="AD44" i="2"/>
  <c r="AJ39" i="2"/>
  <c r="AB39" i="2"/>
  <c r="AC39" i="2"/>
  <c r="AD39" i="2"/>
  <c r="AJ33" i="2"/>
  <c r="AJ31" i="2"/>
  <c r="AB31" i="2"/>
  <c r="AQ31" i="2"/>
  <c r="AJ24" i="2"/>
  <c r="AB24" i="2"/>
  <c r="AD24" i="2"/>
  <c r="AJ20" i="2"/>
  <c r="AB20" i="2"/>
  <c r="AJ15" i="2"/>
  <c r="AB15" i="2"/>
  <c r="AJ14" i="2"/>
  <c r="AB14" i="2"/>
  <c r="AJ68" i="2"/>
  <c r="AB68" i="2"/>
  <c r="AC68" i="2"/>
  <c r="AJ62" i="2"/>
  <c r="AB62" i="2"/>
  <c r="AJ61" i="2"/>
  <c r="AB61" i="2"/>
  <c r="AJ60" i="2"/>
  <c r="AB60" i="2"/>
  <c r="AJ51" i="2"/>
  <c r="AB51" i="2"/>
  <c r="AQ51" i="2"/>
  <c r="AJ52" i="2"/>
  <c r="AB52" i="2"/>
  <c r="AJ34" i="2"/>
  <c r="AB34" i="2"/>
  <c r="AJ43" i="2"/>
  <c r="AB43" i="2"/>
  <c r="AF43" i="2"/>
  <c r="AJ50" i="2"/>
  <c r="AB50" i="2"/>
  <c r="AJ40" i="2"/>
  <c r="AB40" i="2"/>
  <c r="AJ27" i="2"/>
  <c r="AB27" i="2"/>
  <c r="AC27" i="2"/>
  <c r="AB56" i="2"/>
  <c r="AC56" i="2"/>
  <c r="AD56" i="2"/>
  <c r="AB33" i="2"/>
  <c r="AQ33" i="2"/>
  <c r="AB23" i="2"/>
  <c r="AD23" i="2"/>
  <c r="AQ20" i="2"/>
  <c r="AQ21" i="2"/>
  <c r="AQ65" i="2"/>
  <c r="AT48" i="2"/>
  <c r="AT45" i="2"/>
  <c r="AT50" i="2"/>
  <c r="AT37" i="2"/>
  <c r="AT29" i="2"/>
  <c r="AT43" i="2"/>
  <c r="AQ42" i="2"/>
  <c r="AT26" i="2"/>
  <c r="AT39" i="2"/>
  <c r="AC64" i="2"/>
  <c r="AD64" i="2"/>
  <c r="AC53" i="2"/>
  <c r="AD53" i="2"/>
  <c r="AQ53" i="2"/>
  <c r="AC28" i="2"/>
  <c r="AC65" i="2"/>
  <c r="AD65" i="2"/>
  <c r="AT46" i="2"/>
  <c r="AT35" i="2"/>
  <c r="AT25" i="2"/>
  <c r="AT44" i="2"/>
  <c r="AT34" i="2"/>
  <c r="AT38" i="2"/>
  <c r="AN9" i="2"/>
  <c r="AL9" i="2"/>
  <c r="AR9" i="2"/>
  <c r="AT9" i="2"/>
  <c r="L1" i="14606"/>
  <c r="A10" i="14606"/>
  <c r="B10" i="14606"/>
  <c r="AF6" i="2"/>
  <c r="A7" i="2"/>
  <c r="P9" i="14600"/>
  <c r="B12" i="14600"/>
  <c r="B7" i="14600"/>
  <c r="B14" i="14600"/>
  <c r="B11" i="14600"/>
  <c r="B13" i="14600"/>
  <c r="B10" i="14600"/>
  <c r="A9" i="14606"/>
  <c r="A4" i="14606"/>
  <c r="A7" i="14606"/>
  <c r="A5" i="14606"/>
  <c r="V9" i="2"/>
  <c r="AM9" i="2"/>
  <c r="A13" i="14606"/>
  <c r="A12" i="14606"/>
  <c r="A6" i="14606"/>
  <c r="M14" i="14606"/>
  <c r="A14" i="14606"/>
  <c r="L15" i="14606"/>
  <c r="AJ9" i="2"/>
  <c r="AC24" i="2"/>
  <c r="AD68" i="2"/>
  <c r="AC51" i="2"/>
  <c r="AD51" i="2"/>
  <c r="AQ61" i="2"/>
  <c r="AC61" i="2"/>
  <c r="AD61" i="2"/>
  <c r="AQ45" i="2"/>
  <c r="AC45" i="2"/>
  <c r="AD45" i="2"/>
  <c r="AF45" i="2"/>
  <c r="AD47" i="2"/>
  <c r="AC47" i="2"/>
  <c r="AC37" i="2"/>
  <c r="AF50" i="2"/>
  <c r="AF34" i="2"/>
  <c r="AC34" i="2"/>
  <c r="AD34" i="2"/>
  <c r="AQ54" i="2"/>
  <c r="AC54" i="2"/>
  <c r="AD54" i="2"/>
  <c r="AC15" i="2"/>
  <c r="AQ15" i="2"/>
  <c r="AQ36" i="2"/>
  <c r="AC36" i="2"/>
  <c r="AD36" i="2"/>
  <c r="AC49" i="2"/>
  <c r="AC60" i="2"/>
  <c r="AD60" i="2"/>
  <c r="AQ46" i="2"/>
  <c r="AC46" i="2"/>
  <c r="AD46" i="2"/>
  <c r="AF46" i="2"/>
  <c r="AQ26" i="2"/>
  <c r="AC26" i="2"/>
  <c r="AD26" i="2"/>
  <c r="AF26" i="2"/>
  <c r="AC44" i="2"/>
  <c r="AC72" i="2"/>
  <c r="AD29" i="2"/>
  <c r="AQ10" i="2"/>
  <c r="AC29" i="2"/>
  <c r="AF29" i="2"/>
  <c r="AC40" i="2"/>
  <c r="AD40" i="2"/>
  <c r="AQ40" i="2"/>
  <c r="AC43" i="2"/>
  <c r="AQ43" i="2"/>
  <c r="AQ67" i="2"/>
  <c r="AQ48" i="2"/>
  <c r="AF48" i="2"/>
  <c r="AC11" i="2"/>
  <c r="AD11" i="2"/>
  <c r="AQ11" i="2"/>
  <c r="AC22" i="2"/>
  <c r="AD27" i="2"/>
  <c r="AQ27" i="2"/>
  <c r="AD28" i="2"/>
  <c r="AQ18" i="2"/>
  <c r="AD18" i="2"/>
  <c r="AC35" i="2"/>
  <c r="AD35" i="2"/>
  <c r="AF35" i="2"/>
  <c r="AC69" i="2"/>
  <c r="AD69" i="2"/>
  <c r="AQ66" i="2"/>
  <c r="AC66" i="2"/>
  <c r="AD66" i="2"/>
  <c r="AC58" i="2"/>
  <c r="AQ58" i="2"/>
  <c r="AD58" i="2"/>
  <c r="AQ69" i="2"/>
  <c r="AQ13" i="2"/>
  <c r="AC48" i="2"/>
  <c r="AD48" i="2"/>
  <c r="AC67" i="2"/>
  <c r="AD67" i="2"/>
  <c r="AC13" i="2"/>
  <c r="AD13" i="2"/>
  <c r="AQ22" i="2"/>
  <c r="AC52" i="2"/>
  <c r="AD52" i="2"/>
  <c r="AQ52" i="2"/>
  <c r="AQ62" i="2"/>
  <c r="AC62" i="2"/>
  <c r="AD62" i="2"/>
  <c r="AC20" i="2"/>
  <c r="AD20" i="2"/>
  <c r="AQ39" i="2"/>
  <c r="AF39" i="2"/>
  <c r="AQ64" i="2"/>
  <c r="AQ16" i="2"/>
  <c r="AC16" i="2"/>
  <c r="AD16" i="2"/>
  <c r="AD42" i="2"/>
  <c r="AC42" i="2"/>
  <c r="AC30" i="2"/>
  <c r="AD30" i="2"/>
  <c r="AQ30" i="2"/>
  <c r="AC21" i="2"/>
  <c r="AD21" i="2"/>
  <c r="AQ63" i="2"/>
  <c r="AC63" i="2"/>
  <c r="AD63" i="2"/>
  <c r="AC31" i="2"/>
  <c r="AD31" i="2"/>
  <c r="AC19" i="2"/>
  <c r="AD19" i="2"/>
  <c r="AQ59" i="2"/>
  <c r="AD41" i="2"/>
  <c r="AC41" i="2"/>
  <c r="AC14" i="2"/>
  <c r="AD14" i="2"/>
  <c r="AC59" i="2"/>
  <c r="AD59" i="2"/>
  <c r="AD43" i="2"/>
  <c r="AC18" i="2"/>
  <c r="AQ41" i="2"/>
  <c r="AQ28" i="2"/>
  <c r="AD22" i="2"/>
  <c r="AQ34" i="2"/>
  <c r="AQ14" i="2"/>
  <c r="AQ23" i="2"/>
  <c r="AC23" i="2"/>
  <c r="AQ56" i="2"/>
  <c r="AQ50" i="2"/>
  <c r="AC50" i="2"/>
  <c r="AD50" i="2"/>
  <c r="AQ68" i="2"/>
  <c r="AQ44" i="2"/>
  <c r="AF44" i="2"/>
  <c r="AC57" i="2"/>
  <c r="AD57" i="2"/>
  <c r="AQ57" i="2"/>
  <c r="AD72" i="2"/>
  <c r="AQ32" i="2"/>
  <c r="AC32" i="2"/>
  <c r="AD32" i="2"/>
  <c r="AF37" i="2"/>
  <c r="AD37" i="2"/>
  <c r="AD70" i="2"/>
  <c r="AC70" i="2"/>
  <c r="AQ38" i="2"/>
  <c r="AF38" i="2"/>
  <c r="AC55" i="2"/>
  <c r="AD55" i="2"/>
  <c r="AQ71" i="2"/>
  <c r="AC71" i="2"/>
  <c r="AD71" i="2"/>
  <c r="AQ12" i="2"/>
  <c r="AC12" i="2"/>
  <c r="AD12" i="2"/>
  <c r="AQ25" i="2"/>
  <c r="AF25" i="2"/>
  <c r="AD25" i="2"/>
  <c r="AQ47" i="2"/>
  <c r="AQ49" i="2"/>
  <c r="AD49" i="2"/>
  <c r="AQ17" i="2"/>
  <c r="AD15" i="2"/>
  <c r="AQ24" i="2"/>
  <c r="AC33" i="2"/>
  <c r="AD33" i="2"/>
  <c r="AQ60" i="2"/>
  <c r="AB9" i="2"/>
  <c r="A11" i="14606"/>
  <c r="B11" i="14606"/>
  <c r="C11" i="14606"/>
  <c r="A8" i="14606"/>
  <c r="B8" i="14606"/>
  <c r="M15" i="14606"/>
  <c r="A15" i="14606"/>
  <c r="L16" i="14606"/>
  <c r="B12" i="14606"/>
  <c r="C12" i="14606"/>
  <c r="B5" i="14606"/>
  <c r="C5" i="14606"/>
  <c r="B4" i="14606"/>
  <c r="C4" i="14606"/>
  <c r="C10" i="14606"/>
  <c r="C8" i="14606"/>
  <c r="B14" i="14606"/>
  <c r="C14" i="14606"/>
  <c r="B6" i="14606"/>
  <c r="C6" i="14606"/>
  <c r="B13" i="14606"/>
  <c r="C13" i="14606"/>
  <c r="D13" i="14606"/>
  <c r="B7" i="14606"/>
  <c r="C7" i="14606"/>
  <c r="B9" i="14606"/>
  <c r="C9" i="14606"/>
  <c r="D10" i="14606"/>
  <c r="AY28" i="2"/>
  <c r="AY30" i="2"/>
  <c r="AY68" i="2"/>
  <c r="AY12" i="2"/>
  <c r="AY22" i="2"/>
  <c r="AY23" i="2"/>
  <c r="AY72" i="2"/>
  <c r="AY71" i="2"/>
  <c r="AY49" i="2"/>
  <c r="AY24" i="2"/>
  <c r="AY40" i="2"/>
  <c r="AY67" i="2"/>
  <c r="AY11" i="2"/>
  <c r="AY27" i="2"/>
  <c r="AY18" i="2"/>
  <c r="AY13" i="2"/>
  <c r="AY69" i="2"/>
  <c r="AY66" i="2"/>
  <c r="AY58" i="2"/>
  <c r="AY52" i="2"/>
  <c r="AY62" i="2"/>
  <c r="AY20" i="2"/>
  <c r="AY53" i="2"/>
  <c r="AY64" i="2"/>
  <c r="AY65" i="2"/>
  <c r="AY16" i="2"/>
  <c r="AY42" i="2"/>
  <c r="AY21" i="2"/>
  <c r="AY63" i="2"/>
  <c r="AY31" i="2"/>
  <c r="AY19" i="2"/>
  <c r="AY59" i="2"/>
  <c r="AY41" i="2"/>
  <c r="AY14" i="2"/>
  <c r="AY56" i="2"/>
  <c r="AY51" i="2"/>
  <c r="AY57" i="2"/>
  <c r="AY32" i="2"/>
  <c r="AY70" i="2"/>
  <c r="AY55" i="2"/>
  <c r="AY47" i="2"/>
  <c r="AY33" i="2"/>
  <c r="AY54" i="2"/>
  <c r="AY17" i="2"/>
  <c r="AY10" i="2"/>
  <c r="AY60" i="2"/>
  <c r="AY36" i="2"/>
  <c r="AY15" i="2"/>
  <c r="AY61" i="2"/>
  <c r="A2" i="2"/>
  <c r="A4" i="2"/>
  <c r="AR12" i="2"/>
  <c r="AT12" i="2"/>
  <c r="AR68" i="2"/>
  <c r="AT68" i="2"/>
  <c r="AR30" i="2"/>
  <c r="AT30" i="2"/>
  <c r="AR28" i="2"/>
  <c r="AT28" i="2"/>
  <c r="AR24" i="2"/>
  <c r="AT24" i="2"/>
  <c r="AR49" i="2"/>
  <c r="AT49" i="2"/>
  <c r="AR71" i="2"/>
  <c r="AT71" i="2"/>
  <c r="AR72" i="2"/>
  <c r="AT72" i="2"/>
  <c r="AR23" i="2"/>
  <c r="AT23" i="2"/>
  <c r="AR22" i="2"/>
  <c r="AT22" i="2"/>
  <c r="AR61" i="2"/>
  <c r="AR15" i="2"/>
  <c r="AR36" i="2"/>
  <c r="AR60" i="2"/>
  <c r="AR10" i="2"/>
  <c r="AR17" i="2"/>
  <c r="AR54" i="2"/>
  <c r="AR33" i="2"/>
  <c r="AR47" i="2"/>
  <c r="AR55" i="2"/>
  <c r="AR70" i="2"/>
  <c r="AR32" i="2"/>
  <c r="AR57" i="2"/>
  <c r="AR51" i="2"/>
  <c r="AR56" i="2"/>
  <c r="AR14" i="2"/>
  <c r="AR41" i="2"/>
  <c r="AR59" i="2"/>
  <c r="AR19" i="2"/>
  <c r="AR31" i="2"/>
  <c r="AR63" i="2"/>
  <c r="AR21" i="2"/>
  <c r="AR42" i="2"/>
  <c r="AR16" i="2"/>
  <c r="AR65" i="2"/>
  <c r="AR64" i="2"/>
  <c r="AR53" i="2"/>
  <c r="AR20" i="2"/>
  <c r="AR62" i="2"/>
  <c r="AR52" i="2"/>
  <c r="AR58" i="2"/>
  <c r="AR66" i="2"/>
  <c r="AR69" i="2"/>
  <c r="AR13" i="2"/>
  <c r="AR18" i="2"/>
  <c r="AR27" i="2"/>
  <c r="AR11" i="2"/>
  <c r="AR67" i="2"/>
  <c r="AR40" i="2"/>
  <c r="AG9" i="2"/>
  <c r="D11" i="14606"/>
  <c r="E11" i="14606"/>
  <c r="AC9" i="2"/>
  <c r="AD9" i="2"/>
  <c r="AQ9" i="2"/>
  <c r="AF9" i="2"/>
  <c r="D6" i="14606"/>
  <c r="D14" i="14606"/>
  <c r="E14" i="14606"/>
  <c r="F14" i="14606"/>
  <c r="J1" i="2"/>
  <c r="A5" i="2"/>
  <c r="D7" i="14606"/>
  <c r="E7" i="14606"/>
  <c r="E13" i="14606"/>
  <c r="F13" i="14606"/>
  <c r="L17" i="14606"/>
  <c r="M16" i="14606"/>
  <c r="A16" i="14606"/>
  <c r="D9" i="14606"/>
  <c r="E9" i="14606"/>
  <c r="F9" i="14606"/>
  <c r="E6" i="14606"/>
  <c r="D4" i="14606"/>
  <c r="E4" i="14606"/>
  <c r="D5" i="14606"/>
  <c r="D12" i="14606"/>
  <c r="E12" i="14606"/>
  <c r="F12" i="14606"/>
  <c r="G12" i="14606"/>
  <c r="D8" i="14606"/>
  <c r="E10" i="14606"/>
  <c r="F10" i="14606"/>
  <c r="B15" i="14606"/>
  <c r="C15" i="14606"/>
  <c r="F11" i="14606"/>
  <c r="G11" i="14606"/>
  <c r="AS61" i="2"/>
  <c r="AS49" i="2"/>
  <c r="AS72" i="2"/>
  <c r="AS28" i="2"/>
  <c r="AS46" i="2"/>
  <c r="AS45" i="2"/>
  <c r="AS23" i="2"/>
  <c r="AS68" i="2"/>
  <c r="AS10" i="2"/>
  <c r="AS12" i="2"/>
  <c r="AS71" i="2"/>
  <c r="AS30" i="2"/>
  <c r="AS24" i="2"/>
  <c r="AS22" i="2"/>
  <c r="AS38" i="2"/>
  <c r="AS48" i="2"/>
  <c r="AS43" i="2"/>
  <c r="AS35" i="2"/>
  <c r="AS44" i="2"/>
  <c r="AS25" i="2"/>
  <c r="AS50" i="2"/>
  <c r="AS37" i="2"/>
  <c r="AS26" i="2"/>
  <c r="AS29" i="2"/>
  <c r="AS34" i="2"/>
  <c r="AS39" i="2"/>
  <c r="AS47" i="2"/>
  <c r="AS57" i="2"/>
  <c r="AS41" i="2"/>
  <c r="AS63" i="2"/>
  <c r="AS65" i="2"/>
  <c r="AS62" i="2"/>
  <c r="AS69" i="2"/>
  <c r="AS11" i="2"/>
  <c r="AS15" i="2"/>
  <c r="AS17" i="2"/>
  <c r="AS55" i="2"/>
  <c r="AS51" i="2"/>
  <c r="AS59" i="2"/>
  <c r="AS21" i="2"/>
  <c r="AS64" i="2"/>
  <c r="AS52" i="2"/>
  <c r="AS13" i="2"/>
  <c r="AS67" i="2"/>
  <c r="AS36" i="2"/>
  <c r="AS54" i="2"/>
  <c r="AS70" i="2"/>
  <c r="AS56" i="2"/>
  <c r="AS19" i="2"/>
  <c r="AS42" i="2"/>
  <c r="AS53" i="2"/>
  <c r="AS58" i="2"/>
  <c r="AS18" i="2"/>
  <c r="AS40" i="2"/>
  <c r="AS60" i="2"/>
  <c r="AS33" i="2"/>
  <c r="AS32" i="2"/>
  <c r="AS14" i="2"/>
  <c r="AS31" i="2"/>
  <c r="AS16" i="2"/>
  <c r="AS20" i="2"/>
  <c r="AS66" i="2"/>
  <c r="AS27" i="2"/>
  <c r="H2" i="2"/>
  <c r="F2" i="2"/>
  <c r="AS9" i="2"/>
  <c r="D3" i="2"/>
  <c r="AT27" i="2"/>
  <c r="AT66" i="2"/>
  <c r="AT20" i="2"/>
  <c r="AT16" i="2"/>
  <c r="AT31" i="2"/>
  <c r="AT14" i="2"/>
  <c r="AT32" i="2"/>
  <c r="AT33" i="2"/>
  <c r="AT60" i="2"/>
  <c r="AT40" i="2"/>
  <c r="AT18" i="2"/>
  <c r="AT58" i="2"/>
  <c r="AT53" i="2"/>
  <c r="AT42" i="2"/>
  <c r="AT19" i="2"/>
  <c r="AT56" i="2"/>
  <c r="AT70" i="2"/>
  <c r="AT54" i="2"/>
  <c r="AT36" i="2"/>
  <c r="AT67" i="2"/>
  <c r="AT13" i="2"/>
  <c r="AT52" i="2"/>
  <c r="AT64" i="2"/>
  <c r="AT21" i="2"/>
  <c r="AT59" i="2"/>
  <c r="AT51" i="2"/>
  <c r="AT55" i="2"/>
  <c r="AT17" i="2"/>
  <c r="AT15" i="2"/>
  <c r="AT11" i="2"/>
  <c r="AT69" i="2"/>
  <c r="AT62" i="2"/>
  <c r="AT65" i="2"/>
  <c r="AT63" i="2"/>
  <c r="AT41" i="2"/>
  <c r="AT57" i="2"/>
  <c r="AT47" i="2"/>
  <c r="AT10" i="2"/>
  <c r="AT61" i="2"/>
  <c r="F7" i="14606"/>
  <c r="F4" i="14606"/>
  <c r="G13" i="14606"/>
  <c r="I2" i="2"/>
  <c r="G7" i="9"/>
  <c r="D4" i="2"/>
  <c r="H3" i="2"/>
  <c r="I3" i="2"/>
  <c r="D7" i="9"/>
  <c r="M17" i="14606"/>
  <c r="A17" i="14606"/>
  <c r="L18" i="14606"/>
  <c r="G9" i="14606"/>
  <c r="H9" i="14606"/>
  <c r="D15" i="14606"/>
  <c r="E15" i="14606"/>
  <c r="E5" i="14606"/>
  <c r="F6" i="14606"/>
  <c r="H12" i="14606"/>
  <c r="G14" i="14606"/>
  <c r="H14" i="14606"/>
  <c r="G10" i="14606"/>
  <c r="G4" i="14606"/>
  <c r="H4" i="14606"/>
  <c r="H13" i="14606"/>
  <c r="E8" i="14606"/>
  <c r="B16" i="14606"/>
  <c r="G6" i="14606"/>
  <c r="H6" i="14606"/>
  <c r="H11" i="14606"/>
  <c r="AU16" i="2"/>
  <c r="AU33" i="2"/>
  <c r="AU58" i="2"/>
  <c r="AU56" i="2"/>
  <c r="AU67" i="2"/>
  <c r="AU21" i="2"/>
  <c r="AU17" i="2"/>
  <c r="AU62" i="2"/>
  <c r="AU57" i="2"/>
  <c r="AU27" i="2"/>
  <c r="AU31" i="2"/>
  <c r="AU60" i="2"/>
  <c r="AU53" i="2"/>
  <c r="AU70" i="2"/>
  <c r="AU13" i="2"/>
  <c r="AU59" i="2"/>
  <c r="AU15" i="2"/>
  <c r="AU65" i="2"/>
  <c r="AU47" i="2"/>
  <c r="AU66" i="2"/>
  <c r="AU14" i="2"/>
  <c r="AU40" i="2"/>
  <c r="AU42" i="2"/>
  <c r="AU54" i="2"/>
  <c r="AU52" i="2"/>
  <c r="AU51" i="2"/>
  <c r="AU11" i="2"/>
  <c r="AU63" i="2"/>
  <c r="AU72" i="2"/>
  <c r="AU24" i="2"/>
  <c r="AU12" i="2"/>
  <c r="AU22" i="2"/>
  <c r="AU10" i="2"/>
  <c r="AU49" i="2"/>
  <c r="AU38" i="2"/>
  <c r="AU39" i="2"/>
  <c r="AU35" i="2"/>
  <c r="AU43" i="2"/>
  <c r="AU28" i="2"/>
  <c r="AU68" i="2"/>
  <c r="AU37" i="2"/>
  <c r="AU26" i="2"/>
  <c r="AU34" i="2"/>
  <c r="AU44" i="2"/>
  <c r="AU30" i="2"/>
  <c r="AU46" i="2"/>
  <c r="AU23" i="2"/>
  <c r="AU48" i="2"/>
  <c r="AU50" i="2"/>
  <c r="AU71" i="2"/>
  <c r="AU45" i="2"/>
  <c r="AU25" i="2"/>
  <c r="AU29" i="2"/>
  <c r="AU20" i="2"/>
  <c r="AU32" i="2"/>
  <c r="AU18" i="2"/>
  <c r="AU19" i="2"/>
  <c r="AU36" i="2"/>
  <c r="AU64" i="2"/>
  <c r="AU55" i="2"/>
  <c r="AU69" i="2"/>
  <c r="AU41" i="2"/>
  <c r="AU61" i="2"/>
  <c r="AU9" i="2"/>
  <c r="AV61" i="2"/>
  <c r="AG61" i="2"/>
  <c r="AV41" i="2"/>
  <c r="AV69" i="2"/>
  <c r="AV55" i="2"/>
  <c r="AV64" i="2"/>
  <c r="AV36" i="2"/>
  <c r="AV19" i="2"/>
  <c r="AV18" i="2"/>
  <c r="AV32" i="2"/>
  <c r="AV20" i="2"/>
  <c r="AV29" i="2"/>
  <c r="AG29" i="2"/>
  <c r="AV25" i="2"/>
  <c r="AG25" i="2"/>
  <c r="AV45" i="2"/>
  <c r="AG45" i="2"/>
  <c r="AV71" i="2"/>
  <c r="AV50" i="2"/>
  <c r="AG50" i="2"/>
  <c r="AV48" i="2"/>
  <c r="AG48" i="2"/>
  <c r="AV23" i="2"/>
  <c r="AV46" i="2"/>
  <c r="AG46" i="2"/>
  <c r="AV30" i="2"/>
  <c r="AV44" i="2"/>
  <c r="AG44" i="2"/>
  <c r="AV34" i="2"/>
  <c r="AG34" i="2"/>
  <c r="AV26" i="2"/>
  <c r="AG26" i="2"/>
  <c r="AV37" i="2"/>
  <c r="AG37" i="2"/>
  <c r="AV68" i="2"/>
  <c r="AV28" i="2"/>
  <c r="AV43" i="2"/>
  <c r="AG43" i="2"/>
  <c r="AV35" i="2"/>
  <c r="AG35" i="2"/>
  <c r="AV39" i="2"/>
  <c r="AG39" i="2"/>
  <c r="AV38" i="2"/>
  <c r="AG38" i="2"/>
  <c r="AV49" i="2"/>
  <c r="AV10" i="2"/>
  <c r="AV22" i="2"/>
  <c r="AV12" i="2"/>
  <c r="AV24" i="2"/>
  <c r="AV72" i="2"/>
  <c r="AV63" i="2"/>
  <c r="AV11" i="2"/>
  <c r="AV51" i="2"/>
  <c r="AV52" i="2"/>
  <c r="AV54" i="2"/>
  <c r="AV42" i="2"/>
  <c r="AV40" i="2"/>
  <c r="AV14" i="2"/>
  <c r="AV66" i="2"/>
  <c r="AV47" i="2"/>
  <c r="AV65" i="2"/>
  <c r="AV15" i="2"/>
  <c r="AV59" i="2"/>
  <c r="AV13" i="2"/>
  <c r="AV70" i="2"/>
  <c r="AV53" i="2"/>
  <c r="AV60" i="2"/>
  <c r="AV31" i="2"/>
  <c r="AV27" i="2"/>
  <c r="AV57" i="2"/>
  <c r="AV62" i="2"/>
  <c r="AV17" i="2"/>
  <c r="AV21" i="2"/>
  <c r="AV67" i="2"/>
  <c r="AV56" i="2"/>
  <c r="AV58" i="2"/>
  <c r="AV33" i="2"/>
  <c r="AV16" i="2"/>
  <c r="G7" i="14606"/>
  <c r="H7" i="14606"/>
  <c r="I4" i="14606"/>
  <c r="J4" i="14606"/>
  <c r="N4" i="14606"/>
  <c r="AV9" i="2"/>
  <c r="H10" i="14606"/>
  <c r="I10" i="14606"/>
  <c r="F5" i="14606"/>
  <c r="M18" i="14606"/>
  <c r="A18" i="14606"/>
  <c r="L19" i="14606"/>
  <c r="E11" i="9"/>
  <c r="E14" i="9"/>
  <c r="E12" i="9"/>
  <c r="E16" i="9"/>
  <c r="E15" i="9"/>
  <c r="E20" i="9"/>
  <c r="E18" i="9"/>
  <c r="E13" i="9"/>
  <c r="E10" i="9"/>
  <c r="E19" i="9"/>
  <c r="E17" i="9"/>
  <c r="I9" i="14606"/>
  <c r="J9" i="14606"/>
  <c r="I11" i="14606"/>
  <c r="J11" i="14606"/>
  <c r="C16" i="14606"/>
  <c r="F8" i="14606"/>
  <c r="G8" i="14606"/>
  <c r="I14" i="14606"/>
  <c r="J14" i="14606"/>
  <c r="I6" i="14606"/>
  <c r="I12" i="14606"/>
  <c r="J12" i="14606"/>
  <c r="J6" i="14606"/>
  <c r="B17" i="14606"/>
  <c r="C17" i="14606"/>
  <c r="H10" i="9"/>
  <c r="I13" i="14606"/>
  <c r="J13" i="14606"/>
  <c r="F15" i="14606"/>
  <c r="B4" i="2"/>
  <c r="AF61" i="2"/>
  <c r="AG68" i="2"/>
  <c r="AF68" i="2"/>
  <c r="AG30" i="2"/>
  <c r="AF30" i="2"/>
  <c r="AG12" i="2"/>
  <c r="AF12" i="2"/>
  <c r="AG28" i="2"/>
  <c r="AF28" i="2"/>
  <c r="AG22" i="2"/>
  <c r="AF22" i="2"/>
  <c r="AG72" i="2"/>
  <c r="AF72" i="2"/>
  <c r="AG24" i="2"/>
  <c r="AF24" i="2"/>
  <c r="AG49" i="2"/>
  <c r="AF49" i="2"/>
  <c r="AG71" i="2"/>
  <c r="AF71" i="2"/>
  <c r="AG23" i="2"/>
  <c r="AF23" i="2"/>
  <c r="AG56" i="2"/>
  <c r="AF56" i="2"/>
  <c r="AG62" i="2"/>
  <c r="AF62" i="2"/>
  <c r="AG60" i="2"/>
  <c r="AF60" i="2"/>
  <c r="AG59" i="2"/>
  <c r="AF59" i="2"/>
  <c r="AG66" i="2"/>
  <c r="AF66" i="2"/>
  <c r="AG54" i="2"/>
  <c r="AF54" i="2"/>
  <c r="AG63" i="2"/>
  <c r="AF63" i="2"/>
  <c r="AG18" i="2"/>
  <c r="AF18" i="2"/>
  <c r="AG55" i="2"/>
  <c r="AF55" i="2"/>
  <c r="AG16" i="2"/>
  <c r="AF16" i="2"/>
  <c r="AG67" i="2"/>
  <c r="AF67" i="2"/>
  <c r="AG57" i="2"/>
  <c r="AF57" i="2"/>
  <c r="AG53" i="2"/>
  <c r="AF53" i="2"/>
  <c r="AG15" i="2"/>
  <c r="AF15" i="2"/>
  <c r="AG14" i="2"/>
  <c r="AF14" i="2"/>
  <c r="AG52" i="2"/>
  <c r="AF52" i="2"/>
  <c r="AG10" i="2"/>
  <c r="AF10" i="2"/>
  <c r="AG19" i="2"/>
  <c r="AF19" i="2"/>
  <c r="AG69" i="2"/>
  <c r="AF69" i="2"/>
  <c r="AG33" i="2"/>
  <c r="AF33" i="2"/>
  <c r="AG21" i="2"/>
  <c r="AF21" i="2"/>
  <c r="AG27" i="2"/>
  <c r="AF27" i="2"/>
  <c r="AG70" i="2"/>
  <c r="AF70" i="2"/>
  <c r="AG65" i="2"/>
  <c r="AF65" i="2"/>
  <c r="AG40" i="2"/>
  <c r="AF40" i="2"/>
  <c r="AG51" i="2"/>
  <c r="AF51" i="2"/>
  <c r="AG20" i="2"/>
  <c r="AF20" i="2"/>
  <c r="AG36" i="2"/>
  <c r="AF36" i="2"/>
  <c r="AG41" i="2"/>
  <c r="AF41" i="2"/>
  <c r="AG58" i="2"/>
  <c r="AF58" i="2"/>
  <c r="AG17" i="2"/>
  <c r="AF17" i="2"/>
  <c r="AG31" i="2"/>
  <c r="AF31" i="2"/>
  <c r="AG13" i="2"/>
  <c r="AF13" i="2"/>
  <c r="AG47" i="2"/>
  <c r="AF47" i="2"/>
  <c r="AG42" i="2"/>
  <c r="AF42" i="2"/>
  <c r="AG11" i="2"/>
  <c r="AF11" i="2"/>
  <c r="AG32" i="2"/>
  <c r="AF32" i="2"/>
  <c r="AG64" i="2"/>
  <c r="AF64" i="2"/>
  <c r="I7" i="14606"/>
  <c r="J7" i="14606"/>
  <c r="H11" i="9"/>
  <c r="J10" i="14606"/>
  <c r="B18" i="14606"/>
  <c r="C18" i="14606"/>
  <c r="G15" i="14606"/>
  <c r="D17" i="14606"/>
  <c r="H8" i="14606"/>
  <c r="I8" i="14606"/>
  <c r="J8" i="14606"/>
  <c r="M19" i="14606"/>
  <c r="A19" i="14606"/>
  <c r="L20" i="14606"/>
  <c r="G5" i="14606"/>
  <c r="H5" i="14606"/>
  <c r="D16" i="14606"/>
  <c r="K11" i="14600"/>
  <c r="K13" i="14600"/>
  <c r="N13" i="14600"/>
  <c r="L13" i="14600"/>
  <c r="M13" i="14600"/>
  <c r="P13" i="14600"/>
  <c r="O13" i="14600"/>
  <c r="P11" i="14600"/>
  <c r="M11" i="14600"/>
  <c r="N11" i="14600"/>
  <c r="L11" i="14600"/>
  <c r="O11" i="14600"/>
  <c r="H12" i="9"/>
  <c r="E16" i="14606"/>
  <c r="F16" i="14606"/>
  <c r="G16" i="14606"/>
  <c r="H16" i="14606"/>
  <c r="B19" i="14606"/>
  <c r="C19" i="14606"/>
  <c r="H15" i="14606"/>
  <c r="I5" i="14606"/>
  <c r="J5" i="14606"/>
  <c r="D18" i="14606"/>
  <c r="E17" i="14606"/>
  <c r="M20" i="14606"/>
  <c r="A20" i="14606"/>
  <c r="L21" i="14606"/>
  <c r="K10" i="14600"/>
  <c r="K12" i="14600"/>
  <c r="K14" i="14600"/>
  <c r="N10" i="14600"/>
  <c r="L10" i="14600"/>
  <c r="P10" i="14600"/>
  <c r="O10" i="14600"/>
  <c r="M10" i="14600"/>
  <c r="L14" i="14600"/>
  <c r="P14" i="14600"/>
  <c r="M14" i="14600"/>
  <c r="N14" i="14600"/>
  <c r="O14" i="14600"/>
  <c r="P12" i="14600"/>
  <c r="M12" i="14600"/>
  <c r="N12" i="14600"/>
  <c r="L12" i="14600"/>
  <c r="O12" i="14600"/>
  <c r="H13" i="9"/>
  <c r="H14" i="9"/>
  <c r="H15" i="9"/>
  <c r="I16" i="14606"/>
  <c r="J16" i="14606"/>
  <c r="F17" i="14606"/>
  <c r="G17" i="14606"/>
  <c r="H17" i="14606"/>
  <c r="B20" i="14606"/>
  <c r="C20" i="14606"/>
  <c r="E18" i="14606"/>
  <c r="F18" i="14606"/>
  <c r="G18" i="14606"/>
  <c r="D19" i="14606"/>
  <c r="E19" i="14606"/>
  <c r="I15" i="14606"/>
  <c r="J15" i="14606"/>
  <c r="M21" i="14606"/>
  <c r="A21" i="14606"/>
  <c r="L22" i="14606"/>
  <c r="H16" i="9"/>
  <c r="H17" i="9"/>
  <c r="H18" i="14606"/>
  <c r="I18" i="14606"/>
  <c r="J18" i="14606"/>
  <c r="I17" i="14606"/>
  <c r="J17" i="14606"/>
  <c r="B21" i="14606"/>
  <c r="C21" i="14606"/>
  <c r="M22" i="14606"/>
  <c r="A22" i="14606"/>
  <c r="L23" i="14606"/>
  <c r="F19" i="14606"/>
  <c r="D20" i="14606"/>
  <c r="D21" i="14606"/>
  <c r="H18" i="9"/>
  <c r="H19" i="9"/>
  <c r="E21" i="14606"/>
  <c r="F21" i="14606"/>
  <c r="M23" i="14606"/>
  <c r="A23" i="14606"/>
  <c r="L24" i="14606"/>
  <c r="G19" i="14606"/>
  <c r="E20" i="14606"/>
  <c r="B22" i="14606"/>
  <c r="H20" i="9"/>
  <c r="G21" i="14606"/>
  <c r="H21" i="14606"/>
  <c r="I21" i="14606"/>
  <c r="M24" i="14606"/>
  <c r="A24" i="14606"/>
  <c r="L25" i="14606"/>
  <c r="B23" i="14606"/>
  <c r="C23" i="14606"/>
  <c r="C22" i="14606"/>
  <c r="H19" i="14606"/>
  <c r="I19" i="14606"/>
  <c r="F20" i="14606"/>
  <c r="G20" i="14606"/>
  <c r="J21" i="14606"/>
  <c r="B24" i="14606"/>
  <c r="C24" i="14606"/>
  <c r="D24" i="14606"/>
  <c r="E24" i="14606"/>
  <c r="D22" i="14606"/>
  <c r="M25" i="14606"/>
  <c r="A25" i="14606"/>
  <c r="L26" i="14606"/>
  <c r="J19" i="14606"/>
  <c r="D23" i="14606"/>
  <c r="E23" i="14606"/>
  <c r="H20" i="14606"/>
  <c r="I20" i="14606"/>
  <c r="F23" i="14606"/>
  <c r="B25" i="14606"/>
  <c r="C25" i="14606"/>
  <c r="L27" i="14606"/>
  <c r="M26" i="14606"/>
  <c r="A26" i="14606"/>
  <c r="J20" i="14606"/>
  <c r="F24" i="14606"/>
  <c r="G24" i="14606"/>
  <c r="H24" i="14606"/>
  <c r="E22" i="14606"/>
  <c r="F22" i="14606"/>
  <c r="G22" i="14606"/>
  <c r="M27" i="14606"/>
  <c r="A27" i="14606"/>
  <c r="L28" i="14606"/>
  <c r="B26" i="14606"/>
  <c r="D25" i="14606"/>
  <c r="G23" i="14606"/>
  <c r="I24" i="14606"/>
  <c r="J24" i="14606"/>
  <c r="H22" i="14606"/>
  <c r="B27" i="14606"/>
  <c r="M28" i="14606"/>
  <c r="A28" i="14606"/>
  <c r="L29" i="14606"/>
  <c r="H23" i="14606"/>
  <c r="I23" i="14606"/>
  <c r="C26" i="14606"/>
  <c r="E25" i="14606"/>
  <c r="I22" i="14606"/>
  <c r="J22" i="14606"/>
  <c r="M29" i="14606"/>
  <c r="A29" i="14606"/>
  <c r="L30" i="14606"/>
  <c r="B28" i="14606"/>
  <c r="C28" i="14606"/>
  <c r="C27" i="14606"/>
  <c r="J23" i="14606"/>
  <c r="F25" i="14606"/>
  <c r="D26" i="14606"/>
  <c r="M30" i="14606"/>
  <c r="A30" i="14606"/>
  <c r="L31" i="14606"/>
  <c r="B29" i="14606"/>
  <c r="C29" i="14606"/>
  <c r="D29" i="14606"/>
  <c r="D27" i="14606"/>
  <c r="E27" i="14606"/>
  <c r="E26" i="14606"/>
  <c r="F26" i="14606"/>
  <c r="D28" i="14606"/>
  <c r="G25" i="14606"/>
  <c r="H25" i="14606"/>
  <c r="I25" i="14606"/>
  <c r="F27" i="14606"/>
  <c r="E28" i="14606"/>
  <c r="F28" i="14606"/>
  <c r="G28" i="14606"/>
  <c r="H28" i="14606"/>
  <c r="I28" i="14606"/>
  <c r="J28" i="14606"/>
  <c r="G26" i="14606"/>
  <c r="H26" i="14606"/>
  <c r="I26" i="14606"/>
  <c r="E29" i="14606"/>
  <c r="F29" i="14606"/>
  <c r="G29" i="14606"/>
  <c r="H29" i="14606"/>
  <c r="B30" i="14606"/>
  <c r="M31" i="14606"/>
  <c r="A31" i="14606"/>
  <c r="L32" i="14606"/>
  <c r="J25" i="14606"/>
  <c r="G27" i="14606"/>
  <c r="C30" i="14606"/>
  <c r="D30" i="14606"/>
  <c r="L33" i="14606"/>
  <c r="M32" i="14606"/>
  <c r="A32" i="14606"/>
  <c r="H27" i="14606"/>
  <c r="B31" i="14606"/>
  <c r="C31" i="14606"/>
  <c r="I29" i="14606"/>
  <c r="J29" i="14606"/>
  <c r="J26" i="14606"/>
  <c r="I27" i="14606"/>
  <c r="J27" i="14606"/>
  <c r="D31" i="14606"/>
  <c r="E30" i="14606"/>
  <c r="F30" i="14606"/>
  <c r="G30" i="14606"/>
  <c r="B32" i="14606"/>
  <c r="M33" i="14606"/>
  <c r="A33" i="14606"/>
  <c r="L34" i="14606"/>
  <c r="E31" i="14606"/>
  <c r="F31" i="14606"/>
  <c r="G31" i="14606"/>
  <c r="M34" i="14606"/>
  <c r="A34" i="14606"/>
  <c r="L35" i="14606"/>
  <c r="H30" i="14606"/>
  <c r="I30" i="14606"/>
  <c r="J30" i="14606"/>
  <c r="B33" i="14606"/>
  <c r="C32" i="14606"/>
  <c r="M35" i="14606"/>
  <c r="A35" i="14606"/>
  <c r="L36" i="14606"/>
  <c r="B34" i="14606"/>
  <c r="H31" i="14606"/>
  <c r="C33" i="14606"/>
  <c r="D32" i="14606"/>
  <c r="C34" i="14606"/>
  <c r="D34" i="14606"/>
  <c r="E34" i="14606"/>
  <c r="B35" i="14606"/>
  <c r="C35" i="14606"/>
  <c r="E32" i="14606"/>
  <c r="F32" i="14606"/>
  <c r="G32" i="14606"/>
  <c r="L37" i="14606"/>
  <c r="M36" i="14606"/>
  <c r="A36" i="14606"/>
  <c r="I31" i="14606"/>
  <c r="J31" i="14606"/>
  <c r="D33" i="14606"/>
  <c r="E33" i="14606"/>
  <c r="M37" i="14606"/>
  <c r="A37" i="14606"/>
  <c r="L38" i="14606"/>
  <c r="B36" i="14606"/>
  <c r="C36" i="14606"/>
  <c r="F33" i="14606"/>
  <c r="G33" i="14606"/>
  <c r="F34" i="14606"/>
  <c r="H32" i="14606"/>
  <c r="I32" i="14606"/>
  <c r="J32" i="14606"/>
  <c r="D35" i="14606"/>
  <c r="L39" i="14606"/>
  <c r="M38" i="14606"/>
  <c r="A38" i="14606"/>
  <c r="B37" i="14606"/>
  <c r="D36" i="14606"/>
  <c r="G34" i="14606"/>
  <c r="H34" i="14606"/>
  <c r="H33" i="14606"/>
  <c r="E35" i="14606"/>
  <c r="F35" i="14606"/>
  <c r="G35" i="14606"/>
  <c r="C37" i="14606"/>
  <c r="D37" i="14606"/>
  <c r="B38" i="14606"/>
  <c r="C38" i="14606"/>
  <c r="H35" i="14606"/>
  <c r="E36" i="14606"/>
  <c r="I34" i="14606"/>
  <c r="J34" i="14606"/>
  <c r="I33" i="14606"/>
  <c r="J33" i="14606"/>
  <c r="M39" i="14606"/>
  <c r="A39" i="14606"/>
  <c r="L40" i="14606"/>
  <c r="E37" i="14606"/>
  <c r="F37" i="14606"/>
  <c r="G37" i="14606"/>
  <c r="B39" i="14606"/>
  <c r="C39" i="14606"/>
  <c r="F36" i="14606"/>
  <c r="G36" i="14606"/>
  <c r="I35" i="14606"/>
  <c r="J35" i="14606"/>
  <c r="D38" i="14606"/>
  <c r="M40" i="14606"/>
  <c r="A40" i="14606"/>
  <c r="L41" i="14606"/>
  <c r="B40" i="14606"/>
  <c r="C40" i="14606"/>
  <c r="M41" i="14606"/>
  <c r="A41" i="14606"/>
  <c r="L42" i="14606"/>
  <c r="H37" i="14606"/>
  <c r="I37" i="14606"/>
  <c r="E38" i="14606"/>
  <c r="D39" i="14606"/>
  <c r="H36" i="14606"/>
  <c r="J37" i="14606"/>
  <c r="I36" i="14606"/>
  <c r="J36" i="14606"/>
  <c r="D40" i="14606"/>
  <c r="E40" i="14606"/>
  <c r="F40" i="14606"/>
  <c r="M42" i="14606"/>
  <c r="A42" i="14606"/>
  <c r="L43" i="14606"/>
  <c r="E39" i="14606"/>
  <c r="F38" i="14606"/>
  <c r="B41" i="14606"/>
  <c r="C41" i="14606"/>
  <c r="G38" i="14606"/>
  <c r="H38" i="14606"/>
  <c r="D41" i="14606"/>
  <c r="B42" i="14606"/>
  <c r="C42" i="14606"/>
  <c r="D42" i="14606"/>
  <c r="M43" i="14606"/>
  <c r="A43" i="14606"/>
  <c r="L44" i="14606"/>
  <c r="E41" i="14606"/>
  <c r="G40" i="14606"/>
  <c r="H40" i="14606"/>
  <c r="F39" i="14606"/>
  <c r="G39" i="14606"/>
  <c r="H39" i="14606"/>
  <c r="I38" i="14606"/>
  <c r="J38" i="14606"/>
  <c r="B43" i="14606"/>
  <c r="C43" i="14606"/>
  <c r="D43" i="14606"/>
  <c r="E43" i="14606"/>
  <c r="M44" i="14606"/>
  <c r="A44" i="14606"/>
  <c r="L45" i="14606"/>
  <c r="I39" i="14606"/>
  <c r="J39" i="14606"/>
  <c r="I40" i="14606"/>
  <c r="J40" i="14606"/>
  <c r="F41" i="14606"/>
  <c r="E42" i="14606"/>
  <c r="F42" i="14606"/>
  <c r="G42" i="14606"/>
  <c r="H42" i="14606"/>
  <c r="I42" i="14606"/>
  <c r="F43" i="14606"/>
  <c r="M45" i="14606"/>
  <c r="A45" i="14606"/>
  <c r="L46" i="14606"/>
  <c r="G41" i="14606"/>
  <c r="H41" i="14606"/>
  <c r="I41" i="14606"/>
  <c r="G43" i="14606"/>
  <c r="B44" i="14606"/>
  <c r="C44" i="14606"/>
  <c r="H43" i="14606"/>
  <c r="M46" i="14606"/>
  <c r="A46" i="14606"/>
  <c r="L47" i="14606"/>
  <c r="J41" i="14606"/>
  <c r="I43" i="14606"/>
  <c r="J43" i="14606"/>
  <c r="D44" i="14606"/>
  <c r="J42" i="14606"/>
  <c r="B45" i="14606"/>
  <c r="C45" i="14606"/>
  <c r="D45" i="14606"/>
  <c r="E45" i="14606"/>
  <c r="B46" i="14606"/>
  <c r="C46" i="14606"/>
  <c r="E44" i="14606"/>
  <c r="F44" i="14606"/>
  <c r="G44" i="14606"/>
  <c r="M47" i="14606"/>
  <c r="A47" i="14606"/>
  <c r="L48" i="14606"/>
  <c r="F45" i="14606"/>
  <c r="G45" i="14606"/>
  <c r="H45" i="14606"/>
  <c r="I45" i="14606"/>
  <c r="J45" i="14606"/>
  <c r="D46" i="14606"/>
  <c r="E46" i="14606"/>
  <c r="M48" i="14606"/>
  <c r="A48" i="14606"/>
  <c r="L49" i="14606"/>
  <c r="B47" i="14606"/>
  <c r="H44" i="14606"/>
  <c r="I44" i="14606"/>
  <c r="C47" i="14606"/>
  <c r="D47" i="14606"/>
  <c r="M49" i="14606"/>
  <c r="A49" i="14606"/>
  <c r="L50" i="14606"/>
  <c r="F46" i="14606"/>
  <c r="G46" i="14606"/>
  <c r="J44" i="14606"/>
  <c r="B48" i="14606"/>
  <c r="C48" i="14606"/>
  <c r="E47" i="14606"/>
  <c r="H46" i="14606"/>
  <c r="M50" i="14606"/>
  <c r="A50" i="14606"/>
  <c r="L51" i="14606"/>
  <c r="B49" i="14606"/>
  <c r="C49" i="14606"/>
  <c r="F47" i="14606"/>
  <c r="D48" i="14606"/>
  <c r="D49" i="14606"/>
  <c r="E49" i="14606"/>
  <c r="B50" i="14606"/>
  <c r="C50" i="14606"/>
  <c r="M51" i="14606"/>
  <c r="A51" i="14606"/>
  <c r="L52" i="14606"/>
  <c r="I46" i="14606"/>
  <c r="J46" i="14606"/>
  <c r="G47" i="14606"/>
  <c r="E48" i="14606"/>
  <c r="H47" i="14606"/>
  <c r="I47" i="14606"/>
  <c r="B51" i="14606"/>
  <c r="M52" i="14606"/>
  <c r="A52" i="14606"/>
  <c r="L53" i="14606"/>
  <c r="D50" i="14606"/>
  <c r="F49" i="14606"/>
  <c r="G49" i="14606"/>
  <c r="F48" i="14606"/>
  <c r="E50" i="14606"/>
  <c r="C51" i="14606"/>
  <c r="D51" i="14606"/>
  <c r="E51" i="14606"/>
  <c r="F51" i="14606"/>
  <c r="J47" i="14606"/>
  <c r="G48" i="14606"/>
  <c r="H48" i="14606"/>
  <c r="I48" i="14606"/>
  <c r="B52" i="14606"/>
  <c r="H49" i="14606"/>
  <c r="I49" i="14606"/>
  <c r="M53" i="14606"/>
  <c r="A53" i="14606"/>
  <c r="L54" i="14606"/>
  <c r="F50" i="14606"/>
  <c r="G51" i="14606"/>
  <c r="H51" i="14606"/>
  <c r="J48" i="14606"/>
  <c r="M54" i="14606"/>
  <c r="A54" i="14606"/>
  <c r="L55" i="14606"/>
  <c r="B53" i="14606"/>
  <c r="C52" i="14606"/>
  <c r="D52" i="14606"/>
  <c r="E52" i="14606"/>
  <c r="J49" i="14606"/>
  <c r="I51" i="14606"/>
  <c r="J51" i="14606"/>
  <c r="G50" i="14606"/>
  <c r="C53" i="14606"/>
  <c r="B54" i="14606"/>
  <c r="C54" i="14606"/>
  <c r="M55" i="14606"/>
  <c r="A55" i="14606"/>
  <c r="L56" i="14606"/>
  <c r="F52" i="14606"/>
  <c r="G52" i="14606"/>
  <c r="D53" i="14606"/>
  <c r="E53" i="14606"/>
  <c r="H50" i="14606"/>
  <c r="I50" i="14606"/>
  <c r="J50" i="14606"/>
  <c r="B55" i="14606"/>
  <c r="M56" i="14606"/>
  <c r="A56" i="14606"/>
  <c r="L57" i="14606"/>
  <c r="H52" i="14606"/>
  <c r="D54" i="14606"/>
  <c r="I52" i="14606"/>
  <c r="J52" i="14606"/>
  <c r="F53" i="14606"/>
  <c r="G53" i="14606"/>
  <c r="B56" i="14606"/>
  <c r="C56" i="14606"/>
  <c r="E54" i="14606"/>
  <c r="F54" i="14606"/>
  <c r="G54" i="14606"/>
  <c r="C55" i="14606"/>
  <c r="M57" i="14606"/>
  <c r="A57" i="14606"/>
  <c r="L58" i="14606"/>
  <c r="H53" i="14606"/>
  <c r="I53" i="14606"/>
  <c r="J53" i="14606"/>
  <c r="D56" i="14606"/>
  <c r="E56" i="14606"/>
  <c r="B57" i="14606"/>
  <c r="M58" i="14606"/>
  <c r="A58" i="14606"/>
  <c r="L59" i="14606"/>
  <c r="H54" i="14606"/>
  <c r="I54" i="14606"/>
  <c r="D55" i="14606"/>
  <c r="F56" i="14606"/>
  <c r="G56" i="14606"/>
  <c r="H56" i="14606"/>
  <c r="B58" i="14606"/>
  <c r="C58" i="14606"/>
  <c r="C57" i="14606"/>
  <c r="E55" i="14606"/>
  <c r="J54" i="14606"/>
  <c r="M59" i="14606"/>
  <c r="A59" i="14606"/>
  <c r="L60" i="14606"/>
  <c r="I56" i="14606"/>
  <c r="J56" i="14606"/>
  <c r="M60" i="14606"/>
  <c r="A60" i="14606"/>
  <c r="L61" i="14606"/>
  <c r="B59" i="14606"/>
  <c r="D58" i="14606"/>
  <c r="E58" i="14606"/>
  <c r="F55" i="14606"/>
  <c r="D57" i="14606"/>
  <c r="C59" i="14606"/>
  <c r="D59" i="14606"/>
  <c r="G55" i="14606"/>
  <c r="H55" i="14606"/>
  <c r="I55" i="14606"/>
  <c r="J55" i="14606"/>
  <c r="E57" i="14606"/>
  <c r="M61" i="14606"/>
  <c r="A61" i="14606"/>
  <c r="L62" i="14606"/>
  <c r="B60" i="14606"/>
  <c r="F58" i="14606"/>
  <c r="F57" i="14606"/>
  <c r="E59" i="14606"/>
  <c r="F59" i="14606"/>
  <c r="G59" i="14606"/>
  <c r="G57" i="14606"/>
  <c r="H57" i="14606"/>
  <c r="G58" i="14606"/>
  <c r="H58" i="14606"/>
  <c r="B61" i="14606"/>
  <c r="M62" i="14606"/>
  <c r="A62" i="14606"/>
  <c r="L63" i="14606"/>
  <c r="C60" i="14606"/>
  <c r="D60" i="14606"/>
  <c r="I58" i="14606"/>
  <c r="J58" i="14606"/>
  <c r="E60" i="14606"/>
  <c r="F60" i="14606"/>
  <c r="I57" i="14606"/>
  <c r="J57" i="14606"/>
  <c r="B62" i="14606"/>
  <c r="C62" i="14606"/>
  <c r="H59" i="14606"/>
  <c r="I59" i="14606"/>
  <c r="C61" i="14606"/>
  <c r="D61" i="14606"/>
  <c r="E61" i="14606"/>
  <c r="M63" i="14606"/>
  <c r="A63" i="14606"/>
  <c r="L64" i="14606"/>
  <c r="G60" i="14606"/>
  <c r="H60" i="14606"/>
  <c r="I60" i="14606"/>
  <c r="D62" i="14606"/>
  <c r="B63" i="14606"/>
  <c r="C63" i="14606"/>
  <c r="M64" i="14606"/>
  <c r="A64" i="14606"/>
  <c r="L65" i="14606"/>
  <c r="F61" i="14606"/>
  <c r="J59" i="14606"/>
  <c r="J60" i="14606"/>
  <c r="D63" i="14606"/>
  <c r="E63" i="14606"/>
  <c r="B64" i="14606"/>
  <c r="E62" i="14606"/>
  <c r="F62" i="14606"/>
  <c r="G61" i="14606"/>
  <c r="M65" i="14606"/>
  <c r="A65" i="14606"/>
  <c r="L66" i="14606"/>
  <c r="B65" i="14606"/>
  <c r="C65" i="14606"/>
  <c r="M66" i="14606"/>
  <c r="A66" i="14606"/>
  <c r="L67" i="14606"/>
  <c r="H61" i="14606"/>
  <c r="F63" i="14606"/>
  <c r="C64" i="14606"/>
  <c r="G62" i="14606"/>
  <c r="B66" i="14606"/>
  <c r="C66" i="14606"/>
  <c r="D66" i="14606"/>
  <c r="M67" i="14606"/>
  <c r="A67" i="14606"/>
  <c r="L68" i="14606"/>
  <c r="D64" i="14606"/>
  <c r="H62" i="14606"/>
  <c r="I61" i="14606"/>
  <c r="J61" i="14606"/>
  <c r="G63" i="14606"/>
  <c r="H63" i="14606"/>
  <c r="D65" i="14606"/>
  <c r="E64" i="14606"/>
  <c r="F64" i="14606"/>
  <c r="M68" i="14606"/>
  <c r="A68" i="14606"/>
  <c r="L69" i="14606"/>
  <c r="B67" i="14606"/>
  <c r="C67" i="14606"/>
  <c r="I63" i="14606"/>
  <c r="J63" i="14606"/>
  <c r="I62" i="14606"/>
  <c r="J62" i="14606"/>
  <c r="E65" i="14606"/>
  <c r="E66" i="14606"/>
  <c r="G64" i="14606"/>
  <c r="H64" i="14606"/>
  <c r="I64" i="14606"/>
  <c r="J64" i="14606"/>
  <c r="D67" i="14606"/>
  <c r="E67" i="14606"/>
  <c r="B68" i="14606"/>
  <c r="C68" i="14606"/>
  <c r="D68" i="14606"/>
  <c r="F65" i="14606"/>
  <c r="G65" i="14606"/>
  <c r="F66" i="14606"/>
  <c r="G66" i="14606"/>
  <c r="M69" i="14606"/>
  <c r="A69" i="14606"/>
  <c r="L70" i="14606"/>
  <c r="F67" i="14606"/>
  <c r="G67" i="14606"/>
  <c r="B69" i="14606"/>
  <c r="C69" i="14606"/>
  <c r="H65" i="14606"/>
  <c r="I65" i="14606"/>
  <c r="E68" i="14606"/>
  <c r="M70" i="14606"/>
  <c r="A70" i="14606"/>
  <c r="L71" i="14606"/>
  <c r="H66" i="14606"/>
  <c r="I66" i="14606"/>
  <c r="H67" i="14606"/>
  <c r="I67" i="14606"/>
  <c r="J67" i="14606"/>
  <c r="J65" i="14606"/>
  <c r="M71" i="14606"/>
  <c r="A71" i="14606"/>
  <c r="L72" i="14606"/>
  <c r="J66" i="14606"/>
  <c r="D69" i="14606"/>
  <c r="E69" i="14606"/>
  <c r="B70" i="14606"/>
  <c r="C70" i="14606"/>
  <c r="F68" i="14606"/>
  <c r="B71" i="14606"/>
  <c r="M72" i="14606"/>
  <c r="A72" i="14606"/>
  <c r="L73" i="14606"/>
  <c r="D70" i="14606"/>
  <c r="E70" i="14606"/>
  <c r="F70" i="14606"/>
  <c r="G68" i="14606"/>
  <c r="F69" i="14606"/>
  <c r="G69" i="14606"/>
  <c r="M73" i="14606"/>
  <c r="A73" i="14606"/>
  <c r="L74" i="14606"/>
  <c r="B72" i="14606"/>
  <c r="H69" i="14606"/>
  <c r="G70" i="14606"/>
  <c r="C71" i="14606"/>
  <c r="H68" i="14606"/>
  <c r="I68" i="14606"/>
  <c r="J68" i="14606"/>
  <c r="I69" i="14606"/>
  <c r="H70" i="14606"/>
  <c r="D71" i="14606"/>
  <c r="J69" i="14606"/>
  <c r="I70" i="14606"/>
  <c r="J70" i="14606"/>
  <c r="B73" i="14606"/>
  <c r="C73" i="14606"/>
  <c r="M74" i="14606"/>
  <c r="A74" i="14606"/>
  <c r="L75" i="14606"/>
  <c r="C72" i="14606"/>
  <c r="E71" i="14606"/>
  <c r="M75" i="14606"/>
  <c r="A75" i="14606"/>
  <c r="L76" i="14606"/>
  <c r="D73" i="14606"/>
  <c r="D72" i="14606"/>
  <c r="E72" i="14606"/>
  <c r="F71" i="14606"/>
  <c r="B74" i="14606"/>
  <c r="G71" i="14606"/>
  <c r="B75" i="14606"/>
  <c r="C75" i="14606"/>
  <c r="C74" i="14606"/>
  <c r="D74" i="14606"/>
  <c r="E73" i="14606"/>
  <c r="F72" i="14606"/>
  <c r="G72" i="14606"/>
  <c r="M76" i="14606"/>
  <c r="A76" i="14606"/>
  <c r="L77" i="14606"/>
  <c r="H71" i="14606"/>
  <c r="I71" i="14606"/>
  <c r="J71" i="14606"/>
  <c r="H72" i="14606"/>
  <c r="I72" i="14606"/>
  <c r="J72" i="14606"/>
  <c r="M77" i="14606"/>
  <c r="A77" i="14606"/>
  <c r="L78" i="14606"/>
  <c r="F73" i="14606"/>
  <c r="G73" i="14606"/>
  <c r="D75" i="14606"/>
  <c r="E74" i="14606"/>
  <c r="F74" i="14606"/>
  <c r="B76" i="14606"/>
  <c r="C76" i="14606"/>
  <c r="H73" i="14606"/>
  <c r="I73" i="14606"/>
  <c r="J73" i="14606"/>
  <c r="D76" i="14606"/>
  <c r="B77" i="14606"/>
  <c r="C77" i="14606"/>
  <c r="E75" i="14606"/>
  <c r="M78" i="14606"/>
  <c r="A78" i="14606"/>
  <c r="L79" i="14606"/>
  <c r="G74" i="14606"/>
  <c r="H74" i="14606"/>
  <c r="D77" i="14606"/>
  <c r="E77" i="14606"/>
  <c r="F77" i="14606"/>
  <c r="M79" i="14606"/>
  <c r="A79" i="14606"/>
  <c r="L80" i="14606"/>
  <c r="B78" i="14606"/>
  <c r="F75" i="14606"/>
  <c r="I74" i="14606"/>
  <c r="J74" i="14606"/>
  <c r="E76" i="14606"/>
  <c r="C78" i="14606"/>
  <c r="D78" i="14606"/>
  <c r="B79" i="14606"/>
  <c r="G75" i="14606"/>
  <c r="H75" i="14606"/>
  <c r="G77" i="14606"/>
  <c r="M80" i="14606"/>
  <c r="A80" i="14606"/>
  <c r="L81" i="14606"/>
  <c r="F76" i="14606"/>
  <c r="E78" i="14606"/>
  <c r="I75" i="14606"/>
  <c r="J75" i="14606"/>
  <c r="M81" i="14606"/>
  <c r="A81" i="14606"/>
  <c r="L82" i="14606"/>
  <c r="B80" i="14606"/>
  <c r="C80" i="14606"/>
  <c r="H77" i="14606"/>
  <c r="C79" i="14606"/>
  <c r="G76" i="14606"/>
  <c r="F78" i="14606"/>
  <c r="D80" i="14606"/>
  <c r="E80" i="14606"/>
  <c r="H76" i="14606"/>
  <c r="M82" i="14606"/>
  <c r="A82" i="14606"/>
  <c r="L83" i="14606"/>
  <c r="B81" i="14606"/>
  <c r="C81" i="14606"/>
  <c r="D79" i="14606"/>
  <c r="E79" i="14606"/>
  <c r="I77" i="14606"/>
  <c r="J77" i="14606"/>
  <c r="I76" i="14606"/>
  <c r="J76" i="14606"/>
  <c r="G78" i="14606"/>
  <c r="F80" i="14606"/>
  <c r="G80" i="14606"/>
  <c r="D81" i="14606"/>
  <c r="E81" i="14606"/>
  <c r="F81" i="14606"/>
  <c r="M83" i="14606"/>
  <c r="A83" i="14606"/>
  <c r="L84" i="14606"/>
  <c r="F79" i="14606"/>
  <c r="G79" i="14606"/>
  <c r="B82" i="14606"/>
  <c r="H80" i="14606"/>
  <c r="I80" i="14606"/>
  <c r="J80" i="14606"/>
  <c r="H78" i="14606"/>
  <c r="I78" i="14606"/>
  <c r="J78" i="14606"/>
  <c r="B83" i="14606"/>
  <c r="C83" i="14606"/>
  <c r="D83" i="14606"/>
  <c r="M84" i="14606"/>
  <c r="A84" i="14606"/>
  <c r="L85" i="14606"/>
  <c r="H79" i="14606"/>
  <c r="I79" i="14606"/>
  <c r="J79" i="14606"/>
  <c r="C82" i="14606"/>
  <c r="D82" i="14606"/>
  <c r="E82" i="14606"/>
  <c r="G81" i="14606"/>
  <c r="H81" i="14606"/>
  <c r="I81" i="14606"/>
  <c r="J81" i="14606"/>
  <c r="B84" i="14606"/>
  <c r="M85" i="14606"/>
  <c r="A85" i="14606"/>
  <c r="L86" i="14606"/>
  <c r="E83" i="14606"/>
  <c r="F82" i="14606"/>
  <c r="F83" i="14606"/>
  <c r="G83" i="14606"/>
  <c r="C84" i="14606"/>
  <c r="B85" i="14606"/>
  <c r="M86" i="14606"/>
  <c r="A86" i="14606"/>
  <c r="L87" i="14606"/>
  <c r="G82" i="14606"/>
  <c r="H83" i="14606"/>
  <c r="I83" i="14606"/>
  <c r="J83" i="14606"/>
  <c r="D84" i="14606"/>
  <c r="B86" i="14606"/>
  <c r="C86" i="14606"/>
  <c r="M87" i="14606"/>
  <c r="A87" i="14606"/>
  <c r="L88" i="14606"/>
  <c r="C85" i="14606"/>
  <c r="D85" i="14606"/>
  <c r="H82" i="14606"/>
  <c r="I82" i="14606"/>
  <c r="E84" i="14606"/>
  <c r="D86" i="14606"/>
  <c r="B87" i="14606"/>
  <c r="C87" i="14606"/>
  <c r="M88" i="14606"/>
  <c r="A88" i="14606"/>
  <c r="L89" i="14606"/>
  <c r="J82" i="14606"/>
  <c r="E85" i="14606"/>
  <c r="F84" i="14606"/>
  <c r="G84" i="14606"/>
  <c r="D87" i="14606"/>
  <c r="E87" i="14606"/>
  <c r="B88" i="14606"/>
  <c r="C88" i="14606"/>
  <c r="D88" i="14606"/>
  <c r="M89" i="14606"/>
  <c r="A89" i="14606"/>
  <c r="L90" i="14606"/>
  <c r="F85" i="14606"/>
  <c r="E86" i="14606"/>
  <c r="G85" i="14606"/>
  <c r="H85" i="14606"/>
  <c r="I85" i="14606"/>
  <c r="J85" i="14606"/>
  <c r="H84" i="14606"/>
  <c r="I84" i="14606"/>
  <c r="J84" i="14606"/>
  <c r="B89" i="14606"/>
  <c r="M90" i="14606"/>
  <c r="A90" i="14606"/>
  <c r="L91" i="14606"/>
  <c r="E88" i="14606"/>
  <c r="F87" i="14606"/>
  <c r="G87" i="14606"/>
  <c r="F86" i="14606"/>
  <c r="G86" i="14606"/>
  <c r="H86" i="14606"/>
  <c r="M91" i="14606"/>
  <c r="A91" i="14606"/>
  <c r="L92" i="14606"/>
  <c r="F88" i="14606"/>
  <c r="G88" i="14606"/>
  <c r="B90" i="14606"/>
  <c r="H87" i="14606"/>
  <c r="I87" i="14606"/>
  <c r="J87" i="14606"/>
  <c r="C89" i="14606"/>
  <c r="D89" i="14606"/>
  <c r="E89" i="14606"/>
  <c r="C90" i="14606"/>
  <c r="D90" i="14606"/>
  <c r="I86" i="14606"/>
  <c r="J86" i="14606"/>
  <c r="F89" i="14606"/>
  <c r="M92" i="14606"/>
  <c r="A92" i="14606"/>
  <c r="L93" i="14606"/>
  <c r="H88" i="14606"/>
  <c r="B91" i="14606"/>
  <c r="E90" i="14606"/>
  <c r="F90" i="14606"/>
  <c r="I88" i="14606"/>
  <c r="J88" i="14606"/>
  <c r="M93" i="14606"/>
  <c r="A93" i="14606"/>
  <c r="L94" i="14606"/>
  <c r="B92" i="14606"/>
  <c r="C91" i="14606"/>
  <c r="G89" i="14606"/>
  <c r="H89" i="14606"/>
  <c r="G90" i="14606"/>
  <c r="I89" i="14606"/>
  <c r="J89" i="14606"/>
  <c r="C92" i="14606"/>
  <c r="B93" i="14606"/>
  <c r="M94" i="14606"/>
  <c r="A94" i="14606"/>
  <c r="L95" i="14606"/>
  <c r="D91" i="14606"/>
  <c r="H90" i="14606"/>
  <c r="I90" i="14606"/>
  <c r="J90" i="14606"/>
  <c r="D92" i="14606"/>
  <c r="M95" i="14606"/>
  <c r="A95" i="14606"/>
  <c r="L96" i="14606"/>
  <c r="E91" i="14606"/>
  <c r="B94" i="14606"/>
  <c r="C94" i="14606"/>
  <c r="C93" i="14606"/>
  <c r="D93" i="14606"/>
  <c r="F91" i="14606"/>
  <c r="G91" i="14606"/>
  <c r="E92" i="14606"/>
  <c r="B95" i="14606"/>
  <c r="M96" i="14606"/>
  <c r="A96" i="14606"/>
  <c r="L97" i="14606"/>
  <c r="D94" i="14606"/>
  <c r="E93" i="14606"/>
  <c r="F93" i="14606"/>
  <c r="H91" i="14606"/>
  <c r="I91" i="14606"/>
  <c r="F92" i="14606"/>
  <c r="G92" i="14606"/>
  <c r="H92" i="14606"/>
  <c r="G93" i="14606"/>
  <c r="H93" i="14606"/>
  <c r="I93" i="14606"/>
  <c r="J93" i="14606"/>
  <c r="B96" i="14606"/>
  <c r="E94" i="14606"/>
  <c r="J91" i="14606"/>
  <c r="C95" i="14606"/>
  <c r="D95" i="14606"/>
  <c r="M97" i="14606"/>
  <c r="A97" i="14606"/>
  <c r="L98" i="14606"/>
  <c r="I92" i="14606"/>
  <c r="J92" i="14606"/>
  <c r="B97" i="14606"/>
  <c r="C97" i="14606"/>
  <c r="F94" i="14606"/>
  <c r="G94" i="14606"/>
  <c r="H94" i="14606"/>
  <c r="C96" i="14606"/>
  <c r="M98" i="14606"/>
  <c r="A98" i="14606"/>
  <c r="L99" i="14606"/>
  <c r="E95" i="14606"/>
  <c r="B98" i="14606"/>
  <c r="C98" i="14606"/>
  <c r="D97" i="14606"/>
  <c r="E97" i="14606"/>
  <c r="I94" i="14606"/>
  <c r="J94" i="14606"/>
  <c r="F95" i="14606"/>
  <c r="G95" i="14606"/>
  <c r="M99" i="14606"/>
  <c r="A99" i="14606"/>
  <c r="L100" i="14606"/>
  <c r="D96" i="14606"/>
  <c r="F97" i="14606"/>
  <c r="D98" i="14606"/>
  <c r="E98" i="14606"/>
  <c r="M100" i="14606"/>
  <c r="A100" i="14606"/>
  <c r="L101" i="14606"/>
  <c r="B99" i="14606"/>
  <c r="G97" i="14606"/>
  <c r="H95" i="14606"/>
  <c r="I95" i="14606"/>
  <c r="E96" i="14606"/>
  <c r="C99" i="14606"/>
  <c r="D99" i="14606"/>
  <c r="F98" i="14606"/>
  <c r="G98" i="14606"/>
  <c r="H98" i="14606"/>
  <c r="I98" i="14606"/>
  <c r="J98" i="14606"/>
  <c r="B100" i="14606"/>
  <c r="C100" i="14606"/>
  <c r="D100" i="14606"/>
  <c r="M101" i="14606"/>
  <c r="A101" i="14606"/>
  <c r="L102" i="14606"/>
  <c r="J95" i="14606"/>
  <c r="H97" i="14606"/>
  <c r="I97" i="14606"/>
  <c r="J97" i="14606"/>
  <c r="F96" i="14606"/>
  <c r="G96" i="14606"/>
  <c r="E99" i="14606"/>
  <c r="F99" i="14606"/>
  <c r="H96" i="14606"/>
  <c r="I96" i="14606"/>
  <c r="J96" i="14606"/>
  <c r="M102" i="14606"/>
  <c r="A102" i="14606"/>
  <c r="L103" i="14606"/>
  <c r="E100" i="14606"/>
  <c r="F100" i="14606"/>
  <c r="B101" i="14606"/>
  <c r="C101" i="14606"/>
  <c r="G99" i="14606"/>
  <c r="H99" i="14606"/>
  <c r="I99" i="14606"/>
  <c r="D101" i="14606"/>
  <c r="B102" i="14606"/>
  <c r="C102" i="14606"/>
  <c r="M103" i="14606"/>
  <c r="A103" i="14606"/>
  <c r="L104" i="14606"/>
  <c r="G100" i="14606"/>
  <c r="H100" i="14606"/>
  <c r="J99" i="14606"/>
  <c r="M104" i="14606"/>
  <c r="A104" i="14606"/>
  <c r="L105" i="14606"/>
  <c r="I100" i="14606"/>
  <c r="J100" i="14606"/>
  <c r="D102" i="14606"/>
  <c r="E101" i="14606"/>
  <c r="B103" i="14606"/>
  <c r="B104" i="14606"/>
  <c r="C104" i="14606"/>
  <c r="M105" i="14606"/>
  <c r="A105" i="14606"/>
  <c r="L106" i="14606"/>
  <c r="E102" i="14606"/>
  <c r="C103" i="14606"/>
  <c r="F101" i="14606"/>
  <c r="B105" i="14606"/>
  <c r="C105" i="14606"/>
  <c r="D105" i="14606"/>
  <c r="M106" i="14606"/>
  <c r="A106" i="14606"/>
  <c r="L107" i="14606"/>
  <c r="G101" i="14606"/>
  <c r="H101" i="14606"/>
  <c r="D104" i="14606"/>
  <c r="D103" i="14606"/>
  <c r="F102" i="14606"/>
  <c r="G102" i="14606"/>
  <c r="B106" i="14606"/>
  <c r="E103" i="14606"/>
  <c r="F103" i="14606"/>
  <c r="G103" i="14606"/>
  <c r="E105" i="14606"/>
  <c r="F105" i="14606"/>
  <c r="E104" i="14606"/>
  <c r="I101" i="14606"/>
  <c r="J101" i="14606"/>
  <c r="L108" i="14606"/>
  <c r="M107" i="14606"/>
  <c r="A107" i="14606"/>
  <c r="H102" i="14606"/>
  <c r="B107" i="14606"/>
  <c r="C107" i="14606"/>
  <c r="L109" i="14606"/>
  <c r="M108" i="14606"/>
  <c r="A108" i="14606"/>
  <c r="F104" i="14606"/>
  <c r="G104" i="14606"/>
  <c r="G105" i="14606"/>
  <c r="I102" i="14606"/>
  <c r="J102" i="14606"/>
  <c r="C106" i="14606"/>
  <c r="H103" i="14606"/>
  <c r="I103" i="14606"/>
  <c r="H104" i="14606"/>
  <c r="D107" i="14606"/>
  <c r="E107" i="14606"/>
  <c r="F107" i="14606"/>
  <c r="B108" i="14606"/>
  <c r="C108" i="14606"/>
  <c r="H105" i="14606"/>
  <c r="I105" i="14606"/>
  <c r="J103" i="14606"/>
  <c r="L110" i="14606"/>
  <c r="M109" i="14606"/>
  <c r="A109" i="14606"/>
  <c r="D106" i="14606"/>
  <c r="I104" i="14606"/>
  <c r="J104" i="14606"/>
  <c r="G107" i="14606"/>
  <c r="B109" i="14606"/>
  <c r="C109" i="14606"/>
  <c r="J105" i="14606"/>
  <c r="D108" i="14606"/>
  <c r="E106" i="14606"/>
  <c r="L111" i="14606"/>
  <c r="M110" i="14606"/>
  <c r="A110" i="14606"/>
  <c r="D109" i="14606"/>
  <c r="E109" i="14606"/>
  <c r="F109" i="14606"/>
  <c r="M111" i="14606"/>
  <c r="A111" i="14606"/>
  <c r="L112" i="14606"/>
  <c r="B110" i="14606"/>
  <c r="F106" i="14606"/>
  <c r="H107" i="14606"/>
  <c r="I107" i="14606"/>
  <c r="E108" i="14606"/>
  <c r="F108" i="14606"/>
  <c r="G109" i="14606"/>
  <c r="H109" i="14606"/>
  <c r="I109" i="14606"/>
  <c r="J109" i="14606"/>
  <c r="M112" i="14606"/>
  <c r="A112" i="14606"/>
  <c r="L113" i="14606"/>
  <c r="C110" i="14606"/>
  <c r="G108" i="14606"/>
  <c r="H108" i="14606"/>
  <c r="I108" i="14606"/>
  <c r="J107" i="14606"/>
  <c r="G106" i="14606"/>
  <c r="B111" i="14606"/>
  <c r="J108" i="14606"/>
  <c r="B112" i="14606"/>
  <c r="C112" i="14606"/>
  <c r="D112" i="14606"/>
  <c r="M113" i="14606"/>
  <c r="A113" i="14606"/>
  <c r="L114" i="14606"/>
  <c r="C111" i="14606"/>
  <c r="H106" i="14606"/>
  <c r="I106" i="14606"/>
  <c r="D110" i="14606"/>
  <c r="E110" i="14606"/>
  <c r="F110" i="14606"/>
  <c r="G110" i="14606"/>
  <c r="H110" i="14606"/>
  <c r="M114" i="14606"/>
  <c r="A114" i="14606"/>
  <c r="L115" i="14606"/>
  <c r="E112" i="14606"/>
  <c r="F112" i="14606"/>
  <c r="G112" i="14606"/>
  <c r="J106" i="14606"/>
  <c r="B113" i="14606"/>
  <c r="C113" i="14606"/>
  <c r="D111" i="14606"/>
  <c r="B114" i="14606"/>
  <c r="C114" i="14606"/>
  <c r="H112" i="14606"/>
  <c r="I112" i="14606"/>
  <c r="J112" i="14606"/>
  <c r="D113" i="14606"/>
  <c r="E113" i="14606"/>
  <c r="I110" i="14606"/>
  <c r="J110" i="14606"/>
  <c r="M115" i="14606"/>
  <c r="A115" i="14606"/>
  <c r="L116" i="14606"/>
  <c r="E111" i="14606"/>
  <c r="D114" i="14606"/>
  <c r="E114" i="14606"/>
  <c r="F111" i="14606"/>
  <c r="G111" i="14606"/>
  <c r="F113" i="14606"/>
  <c r="M116" i="14606"/>
  <c r="A116" i="14606"/>
  <c r="L117" i="14606"/>
  <c r="B115" i="14606"/>
  <c r="F114" i="14606"/>
  <c r="G114" i="14606"/>
  <c r="H114" i="14606"/>
  <c r="I114" i="14606"/>
  <c r="J114" i="14606"/>
  <c r="C115" i="14606"/>
  <c r="D115" i="14606"/>
  <c r="H111" i="14606"/>
  <c r="B116" i="14606"/>
  <c r="G113" i="14606"/>
  <c r="H113" i="14606"/>
  <c r="M117" i="14606"/>
  <c r="A117" i="14606"/>
  <c r="L118" i="14606"/>
  <c r="E115" i="14606"/>
  <c r="I111" i="14606"/>
  <c r="J111" i="14606"/>
  <c r="C116" i="14606"/>
  <c r="D116" i="14606"/>
  <c r="E116" i="14606"/>
  <c r="B117" i="14606"/>
  <c r="I113" i="14606"/>
  <c r="J113" i="14606"/>
  <c r="M118" i="14606"/>
  <c r="A118" i="14606"/>
  <c r="L119" i="14606"/>
  <c r="F115" i="14606"/>
  <c r="G115" i="14606"/>
  <c r="M119" i="14606"/>
  <c r="A119" i="14606"/>
  <c r="L120" i="14606"/>
  <c r="C117" i="14606"/>
  <c r="D117" i="14606"/>
  <c r="F116" i="14606"/>
  <c r="G116" i="14606"/>
  <c r="H116" i="14606"/>
  <c r="I116" i="14606"/>
  <c r="B118" i="14606"/>
  <c r="H115" i="14606"/>
  <c r="I115" i="14606"/>
  <c r="J115" i="14606"/>
  <c r="J116" i="14606"/>
  <c r="E117" i="14606"/>
  <c r="B119" i="14606"/>
  <c r="C119" i="14606"/>
  <c r="C118" i="14606"/>
  <c r="M120" i="14606"/>
  <c r="A120" i="14606"/>
  <c r="L121" i="14606"/>
  <c r="D118" i="14606"/>
  <c r="E118" i="14606"/>
  <c r="D119" i="14606"/>
  <c r="E119" i="14606"/>
  <c r="F119" i="14606"/>
  <c r="M121" i="14606"/>
  <c r="A121" i="14606"/>
  <c r="L122" i="14606"/>
  <c r="B120" i="14606"/>
  <c r="C120" i="14606"/>
  <c r="F117" i="14606"/>
  <c r="F118" i="14606"/>
  <c r="G118" i="14606"/>
  <c r="G117" i="14606"/>
  <c r="H117" i="14606"/>
  <c r="I117" i="14606"/>
  <c r="B121" i="14606"/>
  <c r="C121" i="14606"/>
  <c r="D120" i="14606"/>
  <c r="G119" i="14606"/>
  <c r="H119" i="14606"/>
  <c r="I119" i="14606"/>
  <c r="L123" i="14606"/>
  <c r="M122" i="14606"/>
  <c r="A122" i="14606"/>
  <c r="H118" i="14606"/>
  <c r="I118" i="14606"/>
  <c r="J118" i="14606"/>
  <c r="D121" i="14606"/>
  <c r="M123" i="14606"/>
  <c r="A123" i="14606"/>
  <c r="L124" i="14606"/>
  <c r="J117" i="14606"/>
  <c r="E120" i="14606"/>
  <c r="F120" i="14606"/>
  <c r="J119" i="14606"/>
  <c r="B122" i="14606"/>
  <c r="E121" i="14606"/>
  <c r="F121" i="14606"/>
  <c r="L125" i="14606"/>
  <c r="M124" i="14606"/>
  <c r="A124" i="14606"/>
  <c r="C122" i="14606"/>
  <c r="D122" i="14606"/>
  <c r="G120" i="14606"/>
  <c r="B123" i="14606"/>
  <c r="G121" i="14606"/>
  <c r="E122" i="14606"/>
  <c r="M125" i="14606"/>
  <c r="A125" i="14606"/>
  <c r="L126" i="14606"/>
  <c r="B124" i="14606"/>
  <c r="C124" i="14606"/>
  <c r="D124" i="14606"/>
  <c r="C123" i="14606"/>
  <c r="H120" i="14606"/>
  <c r="I120" i="14606"/>
  <c r="J120" i="14606"/>
  <c r="H121" i="14606"/>
  <c r="I121" i="14606"/>
  <c r="J121" i="14606"/>
  <c r="F122" i="14606"/>
  <c r="E124" i="14606"/>
  <c r="F124" i="14606"/>
  <c r="M126" i="14606"/>
  <c r="A126" i="14606"/>
  <c r="L127" i="14606"/>
  <c r="B125" i="14606"/>
  <c r="C125" i="14606"/>
  <c r="D123" i="14606"/>
  <c r="E123" i="14606"/>
  <c r="G122" i="14606"/>
  <c r="H122" i="14606"/>
  <c r="I122" i="14606"/>
  <c r="J122" i="14606"/>
  <c r="B126" i="14606"/>
  <c r="C126" i="14606"/>
  <c r="M127" i="14606"/>
  <c r="A127" i="14606"/>
  <c r="L128" i="14606"/>
  <c r="D125" i="14606"/>
  <c r="G124" i="14606"/>
  <c r="F123" i="14606"/>
  <c r="G123" i="14606"/>
  <c r="D126" i="14606"/>
  <c r="M128" i="14606"/>
  <c r="A128" i="14606"/>
  <c r="L129" i="14606"/>
  <c r="H123" i="14606"/>
  <c r="I123" i="14606"/>
  <c r="E126" i="14606"/>
  <c r="E125" i="14606"/>
  <c r="F125" i="14606"/>
  <c r="H124" i="14606"/>
  <c r="B127" i="14606"/>
  <c r="C127" i="14606"/>
  <c r="I124" i="14606"/>
  <c r="J124" i="14606"/>
  <c r="M129" i="14606"/>
  <c r="A129" i="14606"/>
  <c r="L130" i="14606"/>
  <c r="D127" i="14606"/>
  <c r="G125" i="14606"/>
  <c r="F126" i="14606"/>
  <c r="J123" i="14606"/>
  <c r="B128" i="14606"/>
  <c r="M130" i="14606"/>
  <c r="A130" i="14606"/>
  <c r="L131" i="14606"/>
  <c r="G126" i="14606"/>
  <c r="H126" i="14606"/>
  <c r="C128" i="14606"/>
  <c r="H125" i="14606"/>
  <c r="I125" i="14606"/>
  <c r="E127" i="14606"/>
  <c r="B129" i="14606"/>
  <c r="B130" i="14606"/>
  <c r="C130" i="14606"/>
  <c r="D130" i="14606"/>
  <c r="C129" i="14606"/>
  <c r="D129" i="14606"/>
  <c r="E129" i="14606"/>
  <c r="I126" i="14606"/>
  <c r="J126" i="14606"/>
  <c r="J125" i="14606"/>
  <c r="M131" i="14606"/>
  <c r="A131" i="14606"/>
  <c r="L132" i="14606"/>
  <c r="D128" i="14606"/>
  <c r="E128" i="14606"/>
  <c r="F127" i="14606"/>
  <c r="E130" i="14606"/>
  <c r="F128" i="14606"/>
  <c r="G128" i="14606"/>
  <c r="H128" i="14606"/>
  <c r="F129" i="14606"/>
  <c r="G129" i="14606"/>
  <c r="H129" i="14606"/>
  <c r="I129" i="14606"/>
  <c r="M132" i="14606"/>
  <c r="A132" i="14606"/>
  <c r="L133" i="14606"/>
  <c r="B131" i="14606"/>
  <c r="C131" i="14606"/>
  <c r="F130" i="14606"/>
  <c r="G130" i="14606"/>
  <c r="G127" i="14606"/>
  <c r="M133" i="14606"/>
  <c r="A133" i="14606"/>
  <c r="L134" i="14606"/>
  <c r="D131" i="14606"/>
  <c r="H130" i="14606"/>
  <c r="I130" i="14606"/>
  <c r="I128" i="14606"/>
  <c r="J128" i="14606"/>
  <c r="J129" i="14606"/>
  <c r="H127" i="14606"/>
  <c r="I127" i="14606"/>
  <c r="B132" i="14606"/>
  <c r="B133" i="14606"/>
  <c r="C132" i="14606"/>
  <c r="J130" i="14606"/>
  <c r="J127" i="14606"/>
  <c r="M134" i="14606"/>
  <c r="A134" i="14606"/>
  <c r="L135" i="14606"/>
  <c r="E131" i="14606"/>
  <c r="C133" i="14606"/>
  <c r="D133" i="14606"/>
  <c r="M135" i="14606"/>
  <c r="A135" i="14606"/>
  <c r="L136" i="14606"/>
  <c r="B134" i="14606"/>
  <c r="C134" i="14606"/>
  <c r="F131" i="14606"/>
  <c r="G131" i="14606"/>
  <c r="H131" i="14606"/>
  <c r="D132" i="14606"/>
  <c r="D134" i="14606"/>
  <c r="E134" i="14606"/>
  <c r="F134" i="14606"/>
  <c r="E133" i="14606"/>
  <c r="F133" i="14606"/>
  <c r="G133" i="14606"/>
  <c r="B135" i="14606"/>
  <c r="C135" i="14606"/>
  <c r="I131" i="14606"/>
  <c r="J131" i="14606"/>
  <c r="E132" i="14606"/>
  <c r="H133" i="14606"/>
  <c r="I133" i="14606"/>
  <c r="M136" i="14606"/>
  <c r="A136" i="14606"/>
  <c r="L137" i="14606"/>
  <c r="G134" i="14606"/>
  <c r="B136" i="14606"/>
  <c r="M137" i="14606"/>
  <c r="A137" i="14606"/>
  <c r="L138" i="14606"/>
  <c r="D135" i="14606"/>
  <c r="E135" i="14606"/>
  <c r="F132" i="14606"/>
  <c r="J133" i="14606"/>
  <c r="H134" i="14606"/>
  <c r="B137" i="14606"/>
  <c r="M138" i="14606"/>
  <c r="A138" i="14606"/>
  <c r="L139" i="14606"/>
  <c r="F135" i="14606"/>
  <c r="G135" i="14606"/>
  <c r="C136" i="14606"/>
  <c r="D136" i="14606"/>
  <c r="E136" i="14606"/>
  <c r="F136" i="14606"/>
  <c r="G132" i="14606"/>
  <c r="I134" i="14606"/>
  <c r="J134" i="14606"/>
  <c r="M139" i="14606"/>
  <c r="A139" i="14606"/>
  <c r="L140" i="14606"/>
  <c r="G136" i="14606"/>
  <c r="H136" i="14606"/>
  <c r="I136" i="14606"/>
  <c r="C137" i="14606"/>
  <c r="H135" i="14606"/>
  <c r="B138" i="14606"/>
  <c r="H132" i="14606"/>
  <c r="B139" i="14606"/>
  <c r="M140" i="14606"/>
  <c r="A140" i="14606"/>
  <c r="L141" i="14606"/>
  <c r="I132" i="14606"/>
  <c r="J132" i="14606"/>
  <c r="C138" i="14606"/>
  <c r="D138" i="14606"/>
  <c r="J136" i="14606"/>
  <c r="D137" i="14606"/>
  <c r="E137" i="14606"/>
  <c r="I135" i="14606"/>
  <c r="J135" i="14606"/>
  <c r="C139" i="14606"/>
  <c r="D139" i="14606"/>
  <c r="M141" i="14606"/>
  <c r="A141" i="14606"/>
  <c r="L142" i="14606"/>
  <c r="B140" i="14606"/>
  <c r="C140" i="14606"/>
  <c r="E138" i="14606"/>
  <c r="F138" i="14606"/>
  <c r="F137" i="14606"/>
  <c r="E139" i="14606"/>
  <c r="F139" i="14606"/>
  <c r="G138" i="14606"/>
  <c r="M142" i="14606"/>
  <c r="A142" i="14606"/>
  <c r="L143" i="14606"/>
  <c r="G137" i="14606"/>
  <c r="H137" i="14606"/>
  <c r="B141" i="14606"/>
  <c r="C141" i="14606"/>
  <c r="D140" i="14606"/>
  <c r="G139" i="14606"/>
  <c r="H139" i="14606"/>
  <c r="I137" i="14606"/>
  <c r="J137" i="14606"/>
  <c r="D141" i="14606"/>
  <c r="M143" i="14606"/>
  <c r="A143" i="14606"/>
  <c r="L144" i="14606"/>
  <c r="B142" i="14606"/>
  <c r="C142" i="14606"/>
  <c r="E140" i="14606"/>
  <c r="H138" i="14606"/>
  <c r="I138" i="14606"/>
  <c r="I139" i="14606"/>
  <c r="J139" i="14606"/>
  <c r="B143" i="14606"/>
  <c r="C143" i="14606"/>
  <c r="F140" i="14606"/>
  <c r="D142" i="14606"/>
  <c r="E141" i="14606"/>
  <c r="M144" i="14606"/>
  <c r="A144" i="14606"/>
  <c r="L145" i="14606"/>
  <c r="J138" i="14606"/>
  <c r="M145" i="14606"/>
  <c r="A145" i="14606"/>
  <c r="L146" i="14606"/>
  <c r="G140" i="14606"/>
  <c r="F141" i="14606"/>
  <c r="D143" i="14606"/>
  <c r="E142" i="14606"/>
  <c r="B144" i="14606"/>
  <c r="C144" i="14606"/>
  <c r="D144" i="14606"/>
  <c r="E144" i="14606"/>
  <c r="G141" i="14606"/>
  <c r="H141" i="14606"/>
  <c r="B145" i="14606"/>
  <c r="H140" i="14606"/>
  <c r="I140" i="14606"/>
  <c r="F142" i="14606"/>
  <c r="M146" i="14606"/>
  <c r="A146" i="14606"/>
  <c r="L147" i="14606"/>
  <c r="E143" i="14606"/>
  <c r="C145" i="14606"/>
  <c r="D145" i="14606"/>
  <c r="F144" i="14606"/>
  <c r="G144" i="14606"/>
  <c r="M147" i="14606"/>
  <c r="A147" i="14606"/>
  <c r="L148" i="14606"/>
  <c r="B146" i="14606"/>
  <c r="C146" i="14606"/>
  <c r="F143" i="14606"/>
  <c r="G142" i="14606"/>
  <c r="H142" i="14606"/>
  <c r="I141" i="14606"/>
  <c r="J141" i="14606"/>
  <c r="J140" i="14606"/>
  <c r="H144" i="14606"/>
  <c r="I144" i="14606"/>
  <c r="J144" i="14606"/>
  <c r="E145" i="14606"/>
  <c r="F145" i="14606"/>
  <c r="I142" i="14606"/>
  <c r="J142" i="14606"/>
  <c r="D146" i="14606"/>
  <c r="G143" i="14606"/>
  <c r="B147" i="14606"/>
  <c r="C147" i="14606"/>
  <c r="M148" i="14606"/>
  <c r="A148" i="14606"/>
  <c r="L149" i="14606"/>
  <c r="H143" i="14606"/>
  <c r="I143" i="14606"/>
  <c r="J143" i="14606"/>
  <c r="B148" i="14606"/>
  <c r="M149" i="14606"/>
  <c r="A149" i="14606"/>
  <c r="L150" i="14606"/>
  <c r="G145" i="14606"/>
  <c r="D147" i="14606"/>
  <c r="E147" i="14606"/>
  <c r="E146" i="14606"/>
  <c r="F146" i="14606"/>
  <c r="F147" i="14606"/>
  <c r="G147" i="14606"/>
  <c r="M150" i="14606"/>
  <c r="A150" i="14606"/>
  <c r="L151" i="14606"/>
  <c r="B149" i="14606"/>
  <c r="H145" i="14606"/>
  <c r="I145" i="14606"/>
  <c r="J145" i="14606"/>
  <c r="G146" i="14606"/>
  <c r="C148" i="14606"/>
  <c r="D148" i="14606"/>
  <c r="H147" i="14606"/>
  <c r="M151" i="14606"/>
  <c r="A151" i="14606"/>
  <c r="L152" i="14606"/>
  <c r="C149" i="14606"/>
  <c r="D149" i="14606"/>
  <c r="I147" i="14606"/>
  <c r="J147" i="14606"/>
  <c r="H146" i="14606"/>
  <c r="I146" i="14606"/>
  <c r="B150" i="14606"/>
  <c r="C150" i="14606"/>
  <c r="E148" i="14606"/>
  <c r="D150" i="14606"/>
  <c r="E150" i="14606"/>
  <c r="B151" i="14606"/>
  <c r="C151" i="14606"/>
  <c r="D151" i="14606"/>
  <c r="F148" i="14606"/>
  <c r="J146" i="14606"/>
  <c r="E149" i="14606"/>
  <c r="M152" i="14606"/>
  <c r="A152" i="14606"/>
  <c r="L153" i="14606"/>
  <c r="E151" i="14606"/>
  <c r="F150" i="14606"/>
  <c r="B152" i="14606"/>
  <c r="C152" i="14606"/>
  <c r="G148" i="14606"/>
  <c r="F151" i="14606"/>
  <c r="F149" i="14606"/>
  <c r="G149" i="14606"/>
  <c r="M153" i="14606"/>
  <c r="A153" i="14606"/>
  <c r="L154" i="14606"/>
  <c r="G150" i="14606"/>
  <c r="H150" i="14606"/>
  <c r="I150" i="14606"/>
  <c r="J150" i="14606"/>
  <c r="B153" i="14606"/>
  <c r="C153" i="14606"/>
  <c r="M154" i="14606"/>
  <c r="A154" i="14606"/>
  <c r="L155" i="14606"/>
  <c r="D152" i="14606"/>
  <c r="H148" i="14606"/>
  <c r="I148" i="14606"/>
  <c r="G151" i="14606"/>
  <c r="H149" i="14606"/>
  <c r="I149" i="14606"/>
  <c r="E152" i="14606"/>
  <c r="F152" i="14606"/>
  <c r="G152" i="14606"/>
  <c r="J149" i="14606"/>
  <c r="H152" i="14606"/>
  <c r="J148" i="14606"/>
  <c r="B154" i="14606"/>
  <c r="M155" i="14606"/>
  <c r="A155" i="14606"/>
  <c r="L156" i="14606"/>
  <c r="H151" i="14606"/>
  <c r="D153" i="14606"/>
  <c r="I151" i="14606"/>
  <c r="J151" i="14606"/>
  <c r="I152" i="14606"/>
  <c r="J152" i="14606"/>
  <c r="M156" i="14606"/>
  <c r="A156" i="14606"/>
  <c r="L157" i="14606"/>
  <c r="B155" i="14606"/>
  <c r="C155" i="14606"/>
  <c r="C154" i="14606"/>
  <c r="D154" i="14606"/>
  <c r="E153" i="14606"/>
  <c r="F153" i="14606"/>
  <c r="D155" i="14606"/>
  <c r="B156" i="14606"/>
  <c r="M157" i="14606"/>
  <c r="A157" i="14606"/>
  <c r="L158" i="14606"/>
  <c r="E154" i="14606"/>
  <c r="F154" i="14606"/>
  <c r="E155" i="14606"/>
  <c r="G153" i="14606"/>
  <c r="G154" i="14606"/>
  <c r="H154" i="14606"/>
  <c r="M158" i="14606"/>
  <c r="A158" i="14606"/>
  <c r="L159" i="14606"/>
  <c r="H153" i="14606"/>
  <c r="I153" i="14606"/>
  <c r="B157" i="14606"/>
  <c r="C157" i="14606"/>
  <c r="F155" i="14606"/>
  <c r="C156" i="14606"/>
  <c r="D156" i="14606"/>
  <c r="E156" i="14606"/>
  <c r="I154" i="14606"/>
  <c r="J154" i="14606"/>
  <c r="J153" i="14606"/>
  <c r="F156" i="14606"/>
  <c r="D157" i="14606"/>
  <c r="G156" i="14606"/>
  <c r="B158" i="14606"/>
  <c r="C158" i="14606"/>
  <c r="G155" i="14606"/>
  <c r="H155" i="14606"/>
  <c r="I155" i="14606"/>
  <c r="M159" i="14606"/>
  <c r="A159" i="14606"/>
  <c r="L160" i="14606"/>
  <c r="H156" i="14606"/>
  <c r="I156" i="14606"/>
  <c r="J156" i="14606"/>
  <c r="D158" i="14606"/>
  <c r="M160" i="14606"/>
  <c r="A160" i="14606"/>
  <c r="L161" i="14606"/>
  <c r="J155" i="14606"/>
  <c r="E157" i="14606"/>
  <c r="B159" i="14606"/>
  <c r="C159" i="14606"/>
  <c r="D159" i="14606"/>
  <c r="F157" i="14606"/>
  <c r="M161" i="14606"/>
  <c r="A161" i="14606"/>
  <c r="L162" i="14606"/>
  <c r="E159" i="14606"/>
  <c r="F159" i="14606"/>
  <c r="E158" i="14606"/>
  <c r="B160" i="14606"/>
  <c r="C160" i="14606"/>
  <c r="D160" i="14606"/>
  <c r="E160" i="14606"/>
  <c r="B161" i="14606"/>
  <c r="C161" i="14606"/>
  <c r="M162" i="14606"/>
  <c r="A162" i="14606"/>
  <c r="L163" i="14606"/>
  <c r="F158" i="14606"/>
  <c r="G158" i="14606"/>
  <c r="G157" i="14606"/>
  <c r="G159" i="14606"/>
  <c r="H159" i="14606"/>
  <c r="H158" i="14606"/>
  <c r="I158" i="14606"/>
  <c r="J158" i="14606"/>
  <c r="B162" i="14606"/>
  <c r="I159" i="14606"/>
  <c r="J159" i="14606"/>
  <c r="F160" i="14606"/>
  <c r="G160" i="14606"/>
  <c r="D161" i="14606"/>
  <c r="H157" i="14606"/>
  <c r="I157" i="14606"/>
  <c r="M163" i="14606"/>
  <c r="A163" i="14606"/>
  <c r="L164" i="14606"/>
  <c r="H160" i="14606"/>
  <c r="M164" i="14606"/>
  <c r="A164" i="14606"/>
  <c r="L165" i="14606"/>
  <c r="B163" i="14606"/>
  <c r="C163" i="14606"/>
  <c r="D163" i="14606"/>
  <c r="I160" i="14606"/>
  <c r="J160" i="14606"/>
  <c r="C162" i="14606"/>
  <c r="D162" i="14606"/>
  <c r="E162" i="14606"/>
  <c r="E161" i="14606"/>
  <c r="J157" i="14606"/>
  <c r="F162" i="14606"/>
  <c r="G162" i="14606"/>
  <c r="H162" i="14606"/>
  <c r="I162" i="14606"/>
  <c r="L166" i="14606"/>
  <c r="M165" i="14606"/>
  <c r="A165" i="14606"/>
  <c r="B164" i="14606"/>
  <c r="F161" i="14606"/>
  <c r="G161" i="14606"/>
  <c r="E163" i="14606"/>
  <c r="F163" i="14606"/>
  <c r="H161" i="14606"/>
  <c r="G163" i="14606"/>
  <c r="H163" i="14606"/>
  <c r="I163" i="14606"/>
  <c r="J163" i="14606"/>
  <c r="B165" i="14606"/>
  <c r="C165" i="14606"/>
  <c r="M166" i="14606"/>
  <c r="A166" i="14606"/>
  <c r="L167" i="14606"/>
  <c r="I161" i="14606"/>
  <c r="J161" i="14606"/>
  <c r="C164" i="14606"/>
  <c r="J162" i="14606"/>
  <c r="B166" i="14606"/>
  <c r="M167" i="14606"/>
  <c r="A167" i="14606"/>
  <c r="L168" i="14606"/>
  <c r="D165" i="14606"/>
  <c r="D164" i="14606"/>
  <c r="E164" i="14606"/>
  <c r="B167" i="14606"/>
  <c r="F164" i="14606"/>
  <c r="G164" i="14606"/>
  <c r="C166" i="14606"/>
  <c r="D166" i="14606"/>
  <c r="E166" i="14606"/>
  <c r="F166" i="14606"/>
  <c r="E165" i="14606"/>
  <c r="M168" i="14606"/>
  <c r="A168" i="14606"/>
  <c r="L169" i="14606"/>
  <c r="C167" i="14606"/>
  <c r="D167" i="14606"/>
  <c r="F165" i="14606"/>
  <c r="B168" i="14606"/>
  <c r="C168" i="14606"/>
  <c r="G166" i="14606"/>
  <c r="H166" i="14606"/>
  <c r="H164" i="14606"/>
  <c r="I164" i="14606"/>
  <c r="J164" i="14606"/>
  <c r="M169" i="14606"/>
  <c r="A169" i="14606"/>
  <c r="L170" i="14606"/>
  <c r="D168" i="14606"/>
  <c r="E167" i="14606"/>
  <c r="F167" i="14606"/>
  <c r="I166" i="14606"/>
  <c r="J166" i="14606"/>
  <c r="B169" i="14606"/>
  <c r="C169" i="14606"/>
  <c r="M170" i="14606"/>
  <c r="A170" i="14606"/>
  <c r="L171" i="14606"/>
  <c r="E168" i="14606"/>
  <c r="G165" i="14606"/>
  <c r="D169" i="14606"/>
  <c r="B170" i="14606"/>
  <c r="C170" i="14606"/>
  <c r="M171" i="14606"/>
  <c r="A171" i="14606"/>
  <c r="L172" i="14606"/>
  <c r="H165" i="14606"/>
  <c r="I165" i="14606"/>
  <c r="G167" i="14606"/>
  <c r="H167" i="14606"/>
  <c r="F168" i="14606"/>
  <c r="I167" i="14606"/>
  <c r="J167" i="14606"/>
  <c r="B171" i="14606"/>
  <c r="D170" i="14606"/>
  <c r="E170" i="14606"/>
  <c r="J165" i="14606"/>
  <c r="G168" i="14606"/>
  <c r="M172" i="14606"/>
  <c r="A172" i="14606"/>
  <c r="L173" i="14606"/>
  <c r="E169" i="14606"/>
  <c r="B172" i="14606"/>
  <c r="C172" i="14606"/>
  <c r="C171" i="14606"/>
  <c r="D171" i="14606"/>
  <c r="H168" i="14606"/>
  <c r="F169" i="14606"/>
  <c r="F170" i="14606"/>
  <c r="M173" i="14606"/>
  <c r="A173" i="14606"/>
  <c r="L174" i="14606"/>
  <c r="I168" i="14606"/>
  <c r="J168" i="14606"/>
  <c r="M174" i="14606"/>
  <c r="A174" i="14606"/>
  <c r="L175" i="14606"/>
  <c r="E171" i="14606"/>
  <c r="F171" i="14606"/>
  <c r="G171" i="14606"/>
  <c r="G169" i="14606"/>
  <c r="H169" i="14606"/>
  <c r="G170" i="14606"/>
  <c r="B173" i="14606"/>
  <c r="D172" i="14606"/>
  <c r="I169" i="14606"/>
  <c r="J169" i="14606"/>
  <c r="M175" i="14606"/>
  <c r="A175" i="14606"/>
  <c r="L176" i="14606"/>
  <c r="H170" i="14606"/>
  <c r="B174" i="14606"/>
  <c r="C174" i="14606"/>
  <c r="C173" i="14606"/>
  <c r="E172" i="14606"/>
  <c r="H171" i="14606"/>
  <c r="I170" i="14606"/>
  <c r="J170" i="14606"/>
  <c r="I171" i="14606"/>
  <c r="J171" i="14606"/>
  <c r="M176" i="14606"/>
  <c r="A176" i="14606"/>
  <c r="L177" i="14606"/>
  <c r="F172" i="14606"/>
  <c r="D174" i="14606"/>
  <c r="D173" i="14606"/>
  <c r="B175" i="14606"/>
  <c r="C175" i="14606"/>
  <c r="D175" i="14606"/>
  <c r="E175" i="14606"/>
  <c r="M177" i="14606"/>
  <c r="A177" i="14606"/>
  <c r="L178" i="14606"/>
  <c r="B176" i="14606"/>
  <c r="C176" i="14606"/>
  <c r="F175" i="14606"/>
  <c r="E174" i="14606"/>
  <c r="G172" i="14606"/>
  <c r="H172" i="14606"/>
  <c r="I172" i="14606"/>
  <c r="F174" i="14606"/>
  <c r="G175" i="14606"/>
  <c r="E173" i="14606"/>
  <c r="G174" i="14606"/>
  <c r="H174" i="14606"/>
  <c r="D176" i="14606"/>
  <c r="E176" i="14606"/>
  <c r="J172" i="14606"/>
  <c r="B177" i="14606"/>
  <c r="H175" i="14606"/>
  <c r="I175" i="14606"/>
  <c r="F173" i="14606"/>
  <c r="M178" i="14606"/>
  <c r="A178" i="14606"/>
  <c r="L179" i="14606"/>
  <c r="J175" i="14606"/>
  <c r="I174" i="14606"/>
  <c r="J174" i="14606"/>
  <c r="F176" i="14606"/>
  <c r="B178" i="14606"/>
  <c r="C178" i="14606"/>
  <c r="M179" i="14606"/>
  <c r="A179" i="14606"/>
  <c r="L180" i="14606"/>
  <c r="G173" i="14606"/>
  <c r="H173" i="14606"/>
  <c r="C177" i="14606"/>
  <c r="D178" i="14606"/>
  <c r="E178" i="14606"/>
  <c r="B179" i="14606"/>
  <c r="C179" i="14606"/>
  <c r="I173" i="14606"/>
  <c r="J173" i="14606"/>
  <c r="D177" i="14606"/>
  <c r="E177" i="14606"/>
  <c r="F177" i="14606"/>
  <c r="G176" i="14606"/>
  <c r="M180" i="14606"/>
  <c r="A180" i="14606"/>
  <c r="L181" i="14606"/>
  <c r="H176" i="14606"/>
  <c r="I176" i="14606"/>
  <c r="J176" i="14606"/>
  <c r="F178" i="14606"/>
  <c r="G178" i="14606"/>
  <c r="B180" i="14606"/>
  <c r="C180" i="14606"/>
  <c r="M181" i="14606"/>
  <c r="A181" i="14606"/>
  <c r="L182" i="14606"/>
  <c r="G177" i="14606"/>
  <c r="D179" i="14606"/>
  <c r="H178" i="14606"/>
  <c r="I178" i="14606"/>
  <c r="D180" i="14606"/>
  <c r="B181" i="14606"/>
  <c r="M182" i="14606"/>
  <c r="A182" i="14606"/>
  <c r="L183" i="14606"/>
  <c r="E179" i="14606"/>
  <c r="E180" i="14606"/>
  <c r="H177" i="14606"/>
  <c r="I177" i="14606"/>
  <c r="F179" i="14606"/>
  <c r="J178" i="14606"/>
  <c r="M183" i="14606"/>
  <c r="A183" i="14606"/>
  <c r="L184" i="14606"/>
  <c r="B182" i="14606"/>
  <c r="C182" i="14606"/>
  <c r="J177" i="14606"/>
  <c r="G179" i="14606"/>
  <c r="H179" i="14606"/>
  <c r="C181" i="14606"/>
  <c r="F180" i="14606"/>
  <c r="I179" i="14606"/>
  <c r="J179" i="14606"/>
  <c r="B183" i="14606"/>
  <c r="C183" i="14606"/>
  <c r="D181" i="14606"/>
  <c r="E181" i="14606"/>
  <c r="F181" i="14606"/>
  <c r="M184" i="14606"/>
  <c r="A184" i="14606"/>
  <c r="L185" i="14606"/>
  <c r="G180" i="14606"/>
  <c r="H180" i="14606"/>
  <c r="D182" i="14606"/>
  <c r="G181" i="14606"/>
  <c r="B184" i="14606"/>
  <c r="C184" i="14606"/>
  <c r="D183" i="14606"/>
  <c r="I180" i="14606"/>
  <c r="J180" i="14606"/>
  <c r="E182" i="14606"/>
  <c r="F182" i="14606"/>
  <c r="M185" i="14606"/>
  <c r="A185" i="14606"/>
  <c r="L186" i="14606"/>
  <c r="H181" i="14606"/>
  <c r="B185" i="14606"/>
  <c r="M186" i="14606"/>
  <c r="A186" i="14606"/>
  <c r="L187" i="14606"/>
  <c r="G182" i="14606"/>
  <c r="H182" i="14606"/>
  <c r="I182" i="14606"/>
  <c r="D184" i="14606"/>
  <c r="I181" i="14606"/>
  <c r="J181" i="14606"/>
  <c r="E183" i="14606"/>
  <c r="J182" i="14606"/>
  <c r="C185" i="14606"/>
  <c r="D185" i="14606"/>
  <c r="B186" i="14606"/>
  <c r="M187" i="14606"/>
  <c r="A187" i="14606"/>
  <c r="L188" i="14606"/>
  <c r="F183" i="14606"/>
  <c r="E184" i="14606"/>
  <c r="E185" i="14606"/>
  <c r="F185" i="14606"/>
  <c r="C186" i="14606"/>
  <c r="D186" i="14606"/>
  <c r="B187" i="14606"/>
  <c r="G183" i="14606"/>
  <c r="F184" i="14606"/>
  <c r="M188" i="14606"/>
  <c r="A188" i="14606"/>
  <c r="L189" i="14606"/>
  <c r="E186" i="14606"/>
  <c r="G185" i="14606"/>
  <c r="H185" i="14606"/>
  <c r="B188" i="14606"/>
  <c r="M189" i="14606"/>
  <c r="A189" i="14606"/>
  <c r="L190" i="14606"/>
  <c r="H183" i="14606"/>
  <c r="F186" i="14606"/>
  <c r="G186" i="14606"/>
  <c r="G184" i="14606"/>
  <c r="C187" i="14606"/>
  <c r="I183" i="14606"/>
  <c r="J183" i="14606"/>
  <c r="I185" i="14606"/>
  <c r="J185" i="14606"/>
  <c r="M190" i="14606"/>
  <c r="A190" i="14606"/>
  <c r="L191" i="14606"/>
  <c r="B189" i="14606"/>
  <c r="C189" i="14606"/>
  <c r="C188" i="14606"/>
  <c r="H184" i="14606"/>
  <c r="I184" i="14606"/>
  <c r="J184" i="14606"/>
  <c r="H186" i="14606"/>
  <c r="I186" i="14606"/>
  <c r="J186" i="14606"/>
  <c r="D188" i="14606"/>
  <c r="E188" i="14606"/>
  <c r="D187" i="14606"/>
  <c r="F188" i="14606"/>
  <c r="B190" i="14606"/>
  <c r="C190" i="14606"/>
  <c r="D189" i="14606"/>
  <c r="E187" i="14606"/>
  <c r="F187" i="14606"/>
  <c r="M191" i="14606"/>
  <c r="A191" i="14606"/>
  <c r="L192" i="14606"/>
  <c r="D190" i="14606"/>
  <c r="M192" i="14606"/>
  <c r="A192" i="14606"/>
  <c r="L193" i="14606"/>
  <c r="E190" i="14606"/>
  <c r="G187" i="14606"/>
  <c r="G188" i="14606"/>
  <c r="H188" i="14606"/>
  <c r="I188" i="14606"/>
  <c r="J188" i="14606"/>
  <c r="B191" i="14606"/>
  <c r="C191" i="14606"/>
  <c r="D191" i="14606"/>
  <c r="E189" i="14606"/>
  <c r="L194" i="14606"/>
  <c r="M193" i="14606"/>
  <c r="A193" i="14606"/>
  <c r="H187" i="14606"/>
  <c r="I187" i="14606"/>
  <c r="B192" i="14606"/>
  <c r="C192" i="14606"/>
  <c r="E191" i="14606"/>
  <c r="F190" i="14606"/>
  <c r="G190" i="14606"/>
  <c r="F189" i="14606"/>
  <c r="B193" i="14606"/>
  <c r="L195" i="14606"/>
  <c r="M194" i="14606"/>
  <c r="A194" i="14606"/>
  <c r="G189" i="14606"/>
  <c r="D192" i="14606"/>
  <c r="J187" i="14606"/>
  <c r="F191" i="14606"/>
  <c r="H190" i="14606"/>
  <c r="I190" i="14606"/>
  <c r="J190" i="14606"/>
  <c r="C193" i="14606"/>
  <c r="E192" i="14606"/>
  <c r="B194" i="14606"/>
  <c r="C194" i="14606"/>
  <c r="G191" i="14606"/>
  <c r="M195" i="14606"/>
  <c r="A195" i="14606"/>
  <c r="L196" i="14606"/>
  <c r="H189" i="14606"/>
  <c r="I189" i="14606"/>
  <c r="F192" i="14606"/>
  <c r="G192" i="14606"/>
  <c r="D193" i="14606"/>
  <c r="B195" i="14606"/>
  <c r="C195" i="14606"/>
  <c r="H191" i="14606"/>
  <c r="M196" i="14606"/>
  <c r="A196" i="14606"/>
  <c r="L197" i="14606"/>
  <c r="D194" i="14606"/>
  <c r="J189" i="14606"/>
  <c r="D195" i="14606"/>
  <c r="E195" i="14606"/>
  <c r="F195" i="14606"/>
  <c r="H192" i="14606"/>
  <c r="I192" i="14606"/>
  <c r="J192" i="14606"/>
  <c r="E193" i="14606"/>
  <c r="M197" i="14606"/>
  <c r="A197" i="14606"/>
  <c r="L198" i="14606"/>
  <c r="E194" i="14606"/>
  <c r="F194" i="14606"/>
  <c r="I191" i="14606"/>
  <c r="J191" i="14606"/>
  <c r="B196" i="14606"/>
  <c r="F193" i="14606"/>
  <c r="G193" i="14606"/>
  <c r="H193" i="14606"/>
  <c r="C196" i="14606"/>
  <c r="G195" i="14606"/>
  <c r="G194" i="14606"/>
  <c r="M198" i="14606"/>
  <c r="A198" i="14606"/>
  <c r="L199" i="14606"/>
  <c r="B197" i="14606"/>
  <c r="C197" i="14606"/>
  <c r="H194" i="14606"/>
  <c r="I194" i="14606"/>
  <c r="J194" i="14606"/>
  <c r="D196" i="14606"/>
  <c r="H195" i="14606"/>
  <c r="I193" i="14606"/>
  <c r="J193" i="14606"/>
  <c r="B198" i="14606"/>
  <c r="C198" i="14606"/>
  <c r="M199" i="14606"/>
  <c r="A199" i="14606"/>
  <c r="L200" i="14606"/>
  <c r="D197" i="14606"/>
  <c r="E197" i="14606"/>
  <c r="I195" i="14606"/>
  <c r="J195" i="14606"/>
  <c r="E196" i="14606"/>
  <c r="M200" i="14606"/>
  <c r="A200" i="14606"/>
  <c r="L201" i="14606"/>
  <c r="B199" i="14606"/>
  <c r="C199" i="14606"/>
  <c r="D198" i="14606"/>
  <c r="E198" i="14606"/>
  <c r="F197" i="14606"/>
  <c r="F196" i="14606"/>
  <c r="G197" i="14606"/>
  <c r="H197" i="14606"/>
  <c r="D199" i="14606"/>
  <c r="G196" i="14606"/>
  <c r="H196" i="14606"/>
  <c r="B200" i="14606"/>
  <c r="C200" i="14606"/>
  <c r="E199" i="14606"/>
  <c r="F199" i="14606"/>
  <c r="G199" i="14606"/>
  <c r="F198" i="14606"/>
  <c r="M201" i="14606"/>
  <c r="A201" i="14606"/>
  <c r="L202" i="14606"/>
  <c r="I196" i="14606"/>
  <c r="J196" i="14606"/>
  <c r="I197" i="14606"/>
  <c r="J197" i="14606"/>
  <c r="G198" i="14606"/>
  <c r="H198" i="14606"/>
  <c r="M202" i="14606"/>
  <c r="A202" i="14606"/>
  <c r="L203" i="14606"/>
  <c r="B201" i="14606"/>
  <c r="H199" i="14606"/>
  <c r="I199" i="14606"/>
  <c r="D200" i="14606"/>
  <c r="I198" i="14606"/>
  <c r="J198" i="14606"/>
  <c r="B202" i="14606"/>
  <c r="E200" i="14606"/>
  <c r="M203" i="14606"/>
  <c r="A203" i="14606"/>
  <c r="L204" i="14606"/>
  <c r="C201" i="14606"/>
  <c r="D201" i="14606"/>
  <c r="J199" i="14606"/>
  <c r="F200" i="14606"/>
  <c r="E201" i="14606"/>
  <c r="B203" i="14606"/>
  <c r="C203" i="14606"/>
  <c r="M204" i="14606"/>
  <c r="A204" i="14606"/>
  <c r="L205" i="14606"/>
  <c r="F201" i="14606"/>
  <c r="G200" i="14606"/>
  <c r="H200" i="14606"/>
  <c r="C202" i="14606"/>
  <c r="D202" i="14606"/>
  <c r="D203" i="14606"/>
  <c r="E203" i="14606"/>
  <c r="F203" i="14606"/>
  <c r="G203" i="14606"/>
  <c r="H203" i="14606"/>
  <c r="I200" i="14606"/>
  <c r="M205" i="14606"/>
  <c r="A205" i="14606"/>
  <c r="L206" i="14606"/>
  <c r="J200" i="14606"/>
  <c r="E202" i="14606"/>
  <c r="G201" i="14606"/>
  <c r="H201" i="14606"/>
  <c r="B204" i="14606"/>
  <c r="C204" i="14606"/>
  <c r="I201" i="14606"/>
  <c r="J201" i="14606"/>
  <c r="M206" i="14606"/>
  <c r="A206" i="14606"/>
  <c r="L207" i="14606"/>
  <c r="B205" i="14606"/>
  <c r="C205" i="14606"/>
  <c r="F202" i="14606"/>
  <c r="G202" i="14606"/>
  <c r="H202" i="14606"/>
  <c r="D204" i="14606"/>
  <c r="E204" i="14606"/>
  <c r="I203" i="14606"/>
  <c r="J203" i="14606"/>
  <c r="I202" i="14606"/>
  <c r="J202" i="14606"/>
  <c r="D205" i="14606"/>
  <c r="E205" i="14606"/>
  <c r="M207" i="14606"/>
  <c r="A207" i="14606"/>
  <c r="L208" i="14606"/>
  <c r="B206" i="14606"/>
  <c r="C206" i="14606"/>
  <c r="F204" i="14606"/>
  <c r="F205" i="14606"/>
  <c r="G205" i="14606"/>
  <c r="M208" i="14606"/>
  <c r="A208" i="14606"/>
  <c r="L209" i="14606"/>
  <c r="G204" i="14606"/>
  <c r="H204" i="14606"/>
  <c r="B207" i="14606"/>
  <c r="D206" i="14606"/>
  <c r="E206" i="14606"/>
  <c r="H205" i="14606"/>
  <c r="I205" i="14606"/>
  <c r="J205" i="14606"/>
  <c r="F206" i="14606"/>
  <c r="G206" i="14606"/>
  <c r="H206" i="14606"/>
  <c r="B208" i="14606"/>
  <c r="C208" i="14606"/>
  <c r="C207" i="14606"/>
  <c r="I204" i="14606"/>
  <c r="J204" i="14606"/>
  <c r="M209" i="14606"/>
  <c r="A209" i="14606"/>
  <c r="L210" i="14606"/>
  <c r="I206" i="14606"/>
  <c r="J206" i="14606"/>
  <c r="D208" i="14606"/>
  <c r="B209" i="14606"/>
  <c r="C209" i="14606"/>
  <c r="E208" i="14606"/>
  <c r="D207" i="14606"/>
  <c r="E207" i="14606"/>
  <c r="M210" i="14606"/>
  <c r="A210" i="14606"/>
  <c r="L211" i="14606"/>
  <c r="M211" i="14606"/>
  <c r="A211" i="14606"/>
  <c r="L212" i="14606"/>
  <c r="D209" i="14606"/>
  <c r="E209" i="14606"/>
  <c r="F208" i="14606"/>
  <c r="G208" i="14606"/>
  <c r="F207" i="14606"/>
  <c r="B210" i="14606"/>
  <c r="C210" i="14606"/>
  <c r="D210" i="14606"/>
  <c r="F209" i="14606"/>
  <c r="G209" i="14606"/>
  <c r="H209" i="14606"/>
  <c r="H208" i="14606"/>
  <c r="I208" i="14606"/>
  <c r="B211" i="14606"/>
  <c r="M212" i="14606"/>
  <c r="A212" i="14606"/>
  <c r="L213" i="14606"/>
  <c r="G207" i="14606"/>
  <c r="H207" i="14606"/>
  <c r="I209" i="14606"/>
  <c r="J209" i="14606"/>
  <c r="J208" i="14606"/>
  <c r="E210" i="14606"/>
  <c r="F210" i="14606"/>
  <c r="I207" i="14606"/>
  <c r="J207" i="14606"/>
  <c r="M213" i="14606"/>
  <c r="A213" i="14606"/>
  <c r="L214" i="14606"/>
  <c r="B212" i="14606"/>
  <c r="C212" i="14606"/>
  <c r="C211" i="14606"/>
  <c r="D211" i="14606"/>
  <c r="G210" i="14606"/>
  <c r="D212" i="14606"/>
  <c r="E212" i="14606"/>
  <c r="M214" i="14606"/>
  <c r="A214" i="14606"/>
  <c r="L215" i="14606"/>
  <c r="E211" i="14606"/>
  <c r="B213" i="14606"/>
  <c r="C213" i="14606"/>
  <c r="H210" i="14606"/>
  <c r="D213" i="14606"/>
  <c r="M215" i="14606"/>
  <c r="A215" i="14606"/>
  <c r="L216" i="14606"/>
  <c r="B214" i="14606"/>
  <c r="C214" i="14606"/>
  <c r="F212" i="14606"/>
  <c r="G212" i="14606"/>
  <c r="F211" i="14606"/>
  <c r="I210" i="14606"/>
  <c r="J210" i="14606"/>
  <c r="D214" i="14606"/>
  <c r="E214" i="14606"/>
  <c r="F214" i="14606"/>
  <c r="M216" i="14606"/>
  <c r="A216" i="14606"/>
  <c r="L217" i="14606"/>
  <c r="B215" i="14606"/>
  <c r="E213" i="14606"/>
  <c r="F213" i="14606"/>
  <c r="G213" i="14606"/>
  <c r="H212" i="14606"/>
  <c r="I212" i="14606"/>
  <c r="G211" i="14606"/>
  <c r="C215" i="14606"/>
  <c r="D215" i="14606"/>
  <c r="G214" i="14606"/>
  <c r="H214" i="14606"/>
  <c r="H213" i="14606"/>
  <c r="I213" i="14606"/>
  <c r="J213" i="14606"/>
  <c r="B216" i="14606"/>
  <c r="M217" i="14606"/>
  <c r="A217" i="14606"/>
  <c r="L218" i="14606"/>
  <c r="J212" i="14606"/>
  <c r="H211" i="14606"/>
  <c r="I214" i="14606"/>
  <c r="E215" i="14606"/>
  <c r="F215" i="14606"/>
  <c r="G215" i="14606"/>
  <c r="H215" i="14606"/>
  <c r="I215" i="14606"/>
  <c r="J215" i="14606"/>
  <c r="J214" i="14606"/>
  <c r="B217" i="14606"/>
  <c r="M218" i="14606"/>
  <c r="A218" i="14606"/>
  <c r="L219" i="14606"/>
  <c r="I211" i="14606"/>
  <c r="J211" i="14606"/>
  <c r="C216" i="14606"/>
  <c r="B218" i="14606"/>
  <c r="C218" i="14606"/>
  <c r="D216" i="14606"/>
  <c r="E216" i="14606"/>
  <c r="C217" i="14606"/>
  <c r="M219" i="14606"/>
  <c r="A219" i="14606"/>
  <c r="L220" i="14606"/>
  <c r="M220" i="14606"/>
  <c r="A220" i="14606"/>
  <c r="L221" i="14606"/>
  <c r="B219" i="14606"/>
  <c r="C219" i="14606"/>
  <c r="D217" i="14606"/>
  <c r="D218" i="14606"/>
  <c r="E218" i="14606"/>
  <c r="F216" i="14606"/>
  <c r="F218" i="14606"/>
  <c r="D219" i="14606"/>
  <c r="E219" i="14606"/>
  <c r="M221" i="14606"/>
  <c r="A221" i="14606"/>
  <c r="L222" i="14606"/>
  <c r="B220" i="14606"/>
  <c r="C220" i="14606"/>
  <c r="E217" i="14606"/>
  <c r="F217" i="14606"/>
  <c r="G217" i="14606"/>
  <c r="H217" i="14606"/>
  <c r="G216" i="14606"/>
  <c r="H216" i="14606"/>
  <c r="I217" i="14606"/>
  <c r="D220" i="14606"/>
  <c r="E220" i="14606"/>
  <c r="M222" i="14606"/>
  <c r="A222" i="14606"/>
  <c r="L223" i="14606"/>
  <c r="J217" i="14606"/>
  <c r="F219" i="14606"/>
  <c r="G218" i="14606"/>
  <c r="H218" i="14606"/>
  <c r="I216" i="14606"/>
  <c r="J216" i="14606"/>
  <c r="B221" i="14606"/>
  <c r="M223" i="14606"/>
  <c r="A223" i="14606"/>
  <c r="L224" i="14606"/>
  <c r="B222" i="14606"/>
  <c r="C221" i="14606"/>
  <c r="F220" i="14606"/>
  <c r="I218" i="14606"/>
  <c r="J218" i="14606"/>
  <c r="G219" i="14606"/>
  <c r="H219" i="14606"/>
  <c r="C222" i="14606"/>
  <c r="D222" i="14606"/>
  <c r="B223" i="14606"/>
  <c r="D221" i="14606"/>
  <c r="E221" i="14606"/>
  <c r="M224" i="14606"/>
  <c r="A224" i="14606"/>
  <c r="L225" i="14606"/>
  <c r="I219" i="14606"/>
  <c r="J219" i="14606"/>
  <c r="G220" i="14606"/>
  <c r="H220" i="14606"/>
  <c r="E222" i="14606"/>
  <c r="M225" i="14606"/>
  <c r="A225" i="14606"/>
  <c r="L226" i="14606"/>
  <c r="F221" i="14606"/>
  <c r="G221" i="14606"/>
  <c r="C223" i="14606"/>
  <c r="D223" i="14606"/>
  <c r="E223" i="14606"/>
  <c r="I220" i="14606"/>
  <c r="J220" i="14606"/>
  <c r="B224" i="14606"/>
  <c r="F222" i="14606"/>
  <c r="B225" i="14606"/>
  <c r="C225" i="14606"/>
  <c r="C224" i="14606"/>
  <c r="H221" i="14606"/>
  <c r="I221" i="14606"/>
  <c r="J221" i="14606"/>
  <c r="M226" i="14606"/>
  <c r="A226" i="14606"/>
  <c r="L227" i="14606"/>
  <c r="F223" i="14606"/>
  <c r="G222" i="14606"/>
  <c r="D225" i="14606"/>
  <c r="E225" i="14606"/>
  <c r="B226" i="14606"/>
  <c r="C226" i="14606"/>
  <c r="M227" i="14606"/>
  <c r="A227" i="14606"/>
  <c r="L228" i="14606"/>
  <c r="D224" i="14606"/>
  <c r="E224" i="14606"/>
  <c r="G223" i="14606"/>
  <c r="H223" i="14606"/>
  <c r="H222" i="14606"/>
  <c r="I222" i="14606"/>
  <c r="J222" i="14606"/>
  <c r="F225" i="14606"/>
  <c r="G225" i="14606"/>
  <c r="M228" i="14606"/>
  <c r="A228" i="14606"/>
  <c r="L229" i="14606"/>
  <c r="F224" i="14606"/>
  <c r="G224" i="14606"/>
  <c r="B227" i="14606"/>
  <c r="C227" i="14606"/>
  <c r="D226" i="14606"/>
  <c r="E226" i="14606"/>
  <c r="I223" i="14606"/>
  <c r="J223" i="14606"/>
  <c r="H225" i="14606"/>
  <c r="I225" i="14606"/>
  <c r="J225" i="14606"/>
  <c r="B228" i="14606"/>
  <c r="C228" i="14606"/>
  <c r="M229" i="14606"/>
  <c r="A229" i="14606"/>
  <c r="L230" i="14606"/>
  <c r="D227" i="14606"/>
  <c r="H224" i="14606"/>
  <c r="F226" i="14606"/>
  <c r="I224" i="14606"/>
  <c r="D228" i="14606"/>
  <c r="E228" i="14606"/>
  <c r="J224" i="14606"/>
  <c r="G226" i="14606"/>
  <c r="M230" i="14606"/>
  <c r="A230" i="14606"/>
  <c r="L231" i="14606"/>
  <c r="E227" i="14606"/>
  <c r="F227" i="14606"/>
  <c r="B229" i="14606"/>
  <c r="C229" i="14606"/>
  <c r="F228" i="14606"/>
  <c r="G228" i="14606"/>
  <c r="G227" i="14606"/>
  <c r="H227" i="14606"/>
  <c r="I227" i="14606"/>
  <c r="J227" i="14606"/>
  <c r="M231" i="14606"/>
  <c r="A231" i="14606"/>
  <c r="L232" i="14606"/>
  <c r="D229" i="14606"/>
  <c r="H226" i="14606"/>
  <c r="I226" i="14606"/>
  <c r="B230" i="14606"/>
  <c r="C230" i="14606"/>
  <c r="H228" i="14606"/>
  <c r="I228" i="14606"/>
  <c r="J228" i="14606"/>
  <c r="B231" i="14606"/>
  <c r="C231" i="14606"/>
  <c r="D231" i="14606"/>
  <c r="M232" i="14606"/>
  <c r="A232" i="14606"/>
  <c r="L233" i="14606"/>
  <c r="D230" i="14606"/>
  <c r="E229" i="14606"/>
  <c r="J226" i="14606"/>
  <c r="B232" i="14606"/>
  <c r="C232" i="14606"/>
  <c r="M233" i="14606"/>
  <c r="A233" i="14606"/>
  <c r="L234" i="14606"/>
  <c r="E230" i="14606"/>
  <c r="F230" i="14606"/>
  <c r="E231" i="14606"/>
  <c r="F231" i="14606"/>
  <c r="F229" i="14606"/>
  <c r="G230" i="14606"/>
  <c r="M234" i="14606"/>
  <c r="A234" i="14606"/>
  <c r="L235" i="14606"/>
  <c r="D232" i="14606"/>
  <c r="G231" i="14606"/>
  <c r="H230" i="14606"/>
  <c r="G229" i="14606"/>
  <c r="H229" i="14606"/>
  <c r="B233" i="14606"/>
  <c r="C233" i="14606"/>
  <c r="H231" i="14606"/>
  <c r="I231" i="14606"/>
  <c r="D233" i="14606"/>
  <c r="M235" i="14606"/>
  <c r="A235" i="14606"/>
  <c r="L236" i="14606"/>
  <c r="E233" i="14606"/>
  <c r="E232" i="14606"/>
  <c r="I229" i="14606"/>
  <c r="J229" i="14606"/>
  <c r="I230" i="14606"/>
  <c r="J230" i="14606"/>
  <c r="B234" i="14606"/>
  <c r="C234" i="14606"/>
  <c r="J231" i="14606"/>
  <c r="D234" i="14606"/>
  <c r="E234" i="14606"/>
  <c r="F234" i="14606"/>
  <c r="B235" i="14606"/>
  <c r="F232" i="14606"/>
  <c r="F233" i="14606"/>
  <c r="M236" i="14606"/>
  <c r="A236" i="14606"/>
  <c r="L237" i="14606"/>
  <c r="G232" i="14606"/>
  <c r="H232" i="14606"/>
  <c r="G234" i="14606"/>
  <c r="M237" i="14606"/>
  <c r="A237" i="14606"/>
  <c r="L238" i="14606"/>
  <c r="B236" i="14606"/>
  <c r="C236" i="14606"/>
  <c r="I232" i="14606"/>
  <c r="J232" i="14606"/>
  <c r="C235" i="14606"/>
  <c r="G233" i="14606"/>
  <c r="M238" i="14606"/>
  <c r="A238" i="14606"/>
  <c r="L239" i="14606"/>
  <c r="B237" i="14606"/>
  <c r="C237" i="14606"/>
  <c r="D235" i="14606"/>
  <c r="E235" i="14606"/>
  <c r="H233" i="14606"/>
  <c r="I233" i="14606"/>
  <c r="J233" i="14606"/>
  <c r="D236" i="14606"/>
  <c r="E236" i="14606"/>
  <c r="F236" i="14606"/>
  <c r="H234" i="14606"/>
  <c r="I234" i="14606"/>
  <c r="D237" i="14606"/>
  <c r="E237" i="14606"/>
  <c r="B238" i="14606"/>
  <c r="C238" i="14606"/>
  <c r="F235" i="14606"/>
  <c r="J234" i="14606"/>
  <c r="G236" i="14606"/>
  <c r="H236" i="14606"/>
  <c r="M239" i="14606"/>
  <c r="A239" i="14606"/>
  <c r="L240" i="14606"/>
  <c r="F237" i="14606"/>
  <c r="G237" i="14606"/>
  <c r="H237" i="14606"/>
  <c r="I237" i="14606"/>
  <c r="J237" i="14606"/>
  <c r="D238" i="14606"/>
  <c r="E238" i="14606"/>
  <c r="F238" i="14606"/>
  <c r="B239" i="14606"/>
  <c r="C239" i="14606"/>
  <c r="I236" i="14606"/>
  <c r="J236" i="14606"/>
  <c r="G235" i="14606"/>
  <c r="M240" i="14606"/>
  <c r="A240" i="14606"/>
  <c r="L241" i="14606"/>
  <c r="B240" i="14606"/>
  <c r="C240" i="14606"/>
  <c r="D239" i="14606"/>
  <c r="E239" i="14606"/>
  <c r="G238" i="14606"/>
  <c r="H235" i="14606"/>
  <c r="I235" i="14606"/>
  <c r="M241" i="14606"/>
  <c r="A241" i="14606"/>
  <c r="L242" i="14606"/>
  <c r="F239" i="14606"/>
  <c r="G239" i="14606"/>
  <c r="D240" i="14606"/>
  <c r="E240" i="14606"/>
  <c r="F240" i="14606"/>
  <c r="B241" i="14606"/>
  <c r="M242" i="14606"/>
  <c r="A242" i="14606"/>
  <c r="L243" i="14606"/>
  <c r="H238" i="14606"/>
  <c r="I238" i="14606"/>
  <c r="J238" i="14606"/>
  <c r="J235" i="14606"/>
  <c r="H239" i="14606"/>
  <c r="I239" i="14606"/>
  <c r="J239" i="14606"/>
  <c r="B242" i="14606"/>
  <c r="C242" i="14606"/>
  <c r="C241" i="14606"/>
  <c r="G240" i="14606"/>
  <c r="M243" i="14606"/>
  <c r="A243" i="14606"/>
  <c r="L244" i="14606"/>
  <c r="D242" i="14606"/>
  <c r="E242" i="14606"/>
  <c r="F242" i="14606"/>
  <c r="M244" i="14606"/>
  <c r="A244" i="14606"/>
  <c r="L245" i="14606"/>
  <c r="H240" i="14606"/>
  <c r="I240" i="14606"/>
  <c r="B243" i="14606"/>
  <c r="C243" i="14606"/>
  <c r="D241" i="14606"/>
  <c r="E241" i="14606"/>
  <c r="J240" i="14606"/>
  <c r="M245" i="14606"/>
  <c r="A245" i="14606"/>
  <c r="L246" i="14606"/>
  <c r="G244" i="14606"/>
  <c r="I244" i="14606"/>
  <c r="C244" i="14606"/>
  <c r="J244" i="14606"/>
  <c r="F244" i="14606"/>
  <c r="B244" i="14606"/>
  <c r="H244" i="14606"/>
  <c r="D244" i="14606"/>
  <c r="E244" i="14606"/>
  <c r="F241" i="14606"/>
  <c r="G241" i="14606"/>
  <c r="D243" i="14606"/>
  <c r="G242" i="14606"/>
  <c r="H242" i="14606"/>
  <c r="H241" i="14606"/>
  <c r="I241" i="14606"/>
  <c r="J241" i="14606"/>
  <c r="M246" i="14606"/>
  <c r="A246" i="14606"/>
  <c r="L247" i="14606"/>
  <c r="I245" i="14606"/>
  <c r="C245" i="14606"/>
  <c r="G245" i="14606"/>
  <c r="E245" i="14606"/>
  <c r="H245" i="14606"/>
  <c r="F245" i="14606"/>
  <c r="B245" i="14606"/>
  <c r="D245" i="14606"/>
  <c r="J245" i="14606"/>
  <c r="I242" i="14606"/>
  <c r="J242" i="14606"/>
  <c r="E243" i="14606"/>
  <c r="F243" i="14606"/>
  <c r="G243" i="14606"/>
  <c r="L248" i="14606"/>
  <c r="M247" i="14606"/>
  <c r="A247" i="14606"/>
  <c r="D246" i="14606"/>
  <c r="E246" i="14606"/>
  <c r="B246" i="14606"/>
  <c r="G246" i="14606"/>
  <c r="C246" i="14606"/>
  <c r="J246" i="14606"/>
  <c r="F246" i="14606"/>
  <c r="H246" i="14606"/>
  <c r="I246" i="14606"/>
  <c r="H243" i="14606"/>
  <c r="I243" i="14606"/>
  <c r="M248" i="14606"/>
  <c r="A248" i="14606"/>
  <c r="L249" i="14606"/>
  <c r="G247" i="14606"/>
  <c r="H247" i="14606"/>
  <c r="D247" i="14606"/>
  <c r="I247" i="14606"/>
  <c r="E247" i="14606"/>
  <c r="C247" i="14606"/>
  <c r="B247" i="14606"/>
  <c r="F247" i="14606"/>
  <c r="J247" i="14606"/>
  <c r="E248" i="14606"/>
  <c r="H248" i="14606"/>
  <c r="D248" i="14606"/>
  <c r="G248" i="14606"/>
  <c r="I248" i="14606"/>
  <c r="C248" i="14606"/>
  <c r="J248" i="14606"/>
  <c r="B248" i="14606"/>
  <c r="F248" i="14606"/>
  <c r="M249" i="14606"/>
  <c r="A249" i="14606"/>
  <c r="L250" i="14606"/>
  <c r="J243" i="14606"/>
  <c r="M250" i="14606"/>
  <c r="A250" i="14606"/>
  <c r="L251" i="14606"/>
  <c r="E249" i="14606"/>
  <c r="J249" i="14606"/>
  <c r="F249" i="14606"/>
  <c r="B249" i="14606"/>
  <c r="I249" i="14606"/>
  <c r="C249" i="14606"/>
  <c r="D249" i="14606"/>
  <c r="H249" i="14606"/>
  <c r="G249" i="14606"/>
  <c r="M251" i="14606"/>
  <c r="A251" i="14606"/>
  <c r="L252" i="14606"/>
  <c r="E250" i="14606"/>
  <c r="H250" i="14606"/>
  <c r="D250" i="14606"/>
  <c r="G250" i="14606"/>
  <c r="I250" i="14606"/>
  <c r="C250" i="14606"/>
  <c r="F250" i="14606"/>
  <c r="J250" i="14606"/>
  <c r="B250" i="14606"/>
  <c r="M252" i="14606"/>
  <c r="A252" i="14606"/>
  <c r="L253" i="14606"/>
  <c r="E251" i="14606"/>
  <c r="J251" i="14606"/>
  <c r="F251" i="14606"/>
  <c r="B251" i="14606"/>
  <c r="I251" i="14606"/>
  <c r="C251" i="14606"/>
  <c r="H251" i="14606"/>
  <c r="G251" i="14606"/>
  <c r="D251" i="14606"/>
  <c r="M253" i="14606"/>
  <c r="A253" i="14606"/>
  <c r="L254" i="14606"/>
  <c r="I252" i="14606"/>
  <c r="C252" i="14606"/>
  <c r="J252" i="14606"/>
  <c r="B252" i="14606"/>
  <c r="F252" i="14606"/>
  <c r="E252" i="14606"/>
  <c r="H252" i="14606"/>
  <c r="D252" i="14606"/>
  <c r="G252" i="14606"/>
  <c r="M254" i="14606"/>
  <c r="A254" i="14606"/>
  <c r="L255" i="14606"/>
  <c r="I253" i="14606"/>
  <c r="C253" i="14606"/>
  <c r="D253" i="14606"/>
  <c r="H253" i="14606"/>
  <c r="G253" i="14606"/>
  <c r="E253" i="14606"/>
  <c r="J253" i="14606"/>
  <c r="F253" i="14606"/>
  <c r="B253" i="14606"/>
  <c r="M255" i="14606"/>
  <c r="A255" i="14606"/>
  <c r="L256" i="14606"/>
  <c r="I254" i="14606"/>
  <c r="C254" i="14606"/>
  <c r="F254" i="14606"/>
  <c r="J254" i="14606"/>
  <c r="B254" i="14606"/>
  <c r="E254" i="14606"/>
  <c r="H254" i="14606"/>
  <c r="D254" i="14606"/>
  <c r="G254" i="14606"/>
  <c r="I255" i="14606"/>
  <c r="C255" i="14606"/>
  <c r="H255" i="14606"/>
  <c r="F255" i="14606"/>
  <c r="D255" i="14606"/>
  <c r="E255" i="14606"/>
  <c r="J255" i="14606"/>
  <c r="G255" i="14606"/>
  <c r="B255" i="14606"/>
  <c r="M256" i="14606"/>
  <c r="A256" i="14606"/>
  <c r="L257" i="14606"/>
  <c r="I256" i="14606"/>
  <c r="C256" i="14606"/>
  <c r="J256" i="14606"/>
  <c r="G256" i="14606"/>
  <c r="F256" i="14606"/>
  <c r="E256" i="14606"/>
  <c r="H256" i="14606"/>
  <c r="D256" i="14606"/>
  <c r="B256" i="14606"/>
  <c r="M257" i="14606"/>
  <c r="A257" i="14606"/>
  <c r="L258" i="14606"/>
  <c r="I257" i="14606"/>
  <c r="C257" i="14606"/>
  <c r="D257" i="14606"/>
  <c r="B257" i="14606"/>
  <c r="H257" i="14606"/>
  <c r="E257" i="14606"/>
  <c r="J257" i="14606"/>
  <c r="F257" i="14606"/>
  <c r="G257" i="14606"/>
  <c r="M258" i="14606"/>
  <c r="A258" i="14606"/>
  <c r="L259" i="14606"/>
  <c r="J258" i="14606"/>
  <c r="B258" i="14606"/>
  <c r="H258" i="14606"/>
  <c r="C258" i="14606"/>
  <c r="D258" i="14606"/>
  <c r="G258" i="14606"/>
  <c r="E258" i="14606"/>
  <c r="I258" i="14606"/>
  <c r="F258" i="14606"/>
  <c r="M259" i="14606"/>
  <c r="A259" i="14606"/>
  <c r="L260" i="14606"/>
  <c r="M260" i="14606"/>
  <c r="A260" i="14606"/>
  <c r="G259" i="14606"/>
  <c r="D259" i="14606"/>
  <c r="C259" i="14606"/>
  <c r="E259" i="14606"/>
  <c r="F259" i="14606"/>
  <c r="B259" i="14606"/>
  <c r="I259" i="14606"/>
  <c r="J259" i="14606"/>
  <c r="H259" i="14606"/>
  <c r="C260" i="14606"/>
  <c r="J260" i="14606"/>
  <c r="B260" i="14606"/>
  <c r="I260" i="14606"/>
  <c r="F260" i="14606"/>
  <c r="H260" i="14606"/>
  <c r="D260" i="14606"/>
  <c r="G260" i="14606"/>
  <c r="E260" i="14606"/>
  <c r="AB2" i="14607"/>
  <c r="H2" i="14607"/>
  <c r="G2" i="14607"/>
  <c r="F2" i="14607"/>
  <c r="D1" i="14607"/>
  <c r="C1" i="14607"/>
  <c r="BQ3" i="2"/>
  <c r="AK15" i="2"/>
  <c r="AK12" i="2"/>
  <c r="AK13" i="2"/>
  <c r="AK19" i="2"/>
  <c r="AK24" i="2"/>
  <c r="BQ4" i="2"/>
  <c r="BQ5" i="2"/>
  <c r="BQ6" i="2"/>
  <c r="BQ7" i="2"/>
  <c r="BQ8" i="2"/>
  <c r="BQ1" i="2"/>
  <c r="AK10" i="2"/>
  <c r="AK11" i="2"/>
  <c r="AK36" i="2"/>
  <c r="AK38" i="2"/>
  <c r="AK44" i="2"/>
  <c r="AK43" i="2"/>
  <c r="AK31" i="2"/>
  <c r="AK48" i="2"/>
  <c r="AK40" i="2"/>
  <c r="AK42" i="2"/>
  <c r="AK41" i="2"/>
  <c r="BQ2" i="2"/>
  <c r="AK27" i="2"/>
  <c r="AK34" i="2"/>
  <c r="AK39" i="2"/>
  <c r="AK29" i="2"/>
  <c r="AK26" i="2"/>
  <c r="AK28" i="2"/>
  <c r="AK47" i="2"/>
  <c r="AK50" i="2"/>
  <c r="AK32" i="2"/>
  <c r="AK49" i="2"/>
  <c r="AK45" i="2"/>
  <c r="AK35" i="2"/>
  <c r="AK33" i="2"/>
  <c r="AK30" i="2"/>
  <c r="AK46" i="2"/>
  <c r="AK37" i="2"/>
  <c r="AK25" i="2"/>
  <c r="AK23" i="2"/>
  <c r="AK18" i="2"/>
  <c r="AK14" i="2"/>
  <c r="AK16" i="2"/>
  <c r="AK22" i="2"/>
  <c r="AK21" i="2"/>
  <c r="AK20" i="2"/>
  <c r="AK17" i="2"/>
  <c r="AK56" i="2"/>
  <c r="AK64" i="2"/>
  <c r="AK63" i="2"/>
  <c r="AK52" i="2"/>
  <c r="AK58" i="2"/>
  <c r="AK51" i="2"/>
  <c r="AK61" i="2"/>
  <c r="AK65" i="2"/>
  <c r="AK53" i="2"/>
  <c r="AK62" i="2"/>
  <c r="AK57" i="2"/>
  <c r="AK72" i="2"/>
  <c r="AK69" i="2"/>
  <c r="AK66" i="2"/>
  <c r="AK60" i="2"/>
  <c r="AK71" i="2"/>
  <c r="AK68" i="2"/>
  <c r="AK55" i="2"/>
  <c r="AK70" i="2"/>
  <c r="AK67" i="2"/>
  <c r="AK54" i="2"/>
  <c r="AK59" i="2"/>
</calcChain>
</file>

<file path=xl/sharedStrings.xml><?xml version="1.0" encoding="utf-8"?>
<sst xmlns="http://schemas.openxmlformats.org/spreadsheetml/2006/main" count="1882" uniqueCount="624">
  <si>
    <t>Name</t>
  </si>
  <si>
    <t>Age</t>
  </si>
  <si>
    <t>Lot #</t>
  </si>
  <si>
    <t>Coeff</t>
  </si>
  <si>
    <t>How</t>
  </si>
  <si>
    <t>LOAD</t>
  </si>
  <si>
    <t>Many?</t>
  </si>
  <si>
    <t>Plates</t>
  </si>
  <si>
    <t>on Bar</t>
  </si>
  <si>
    <t>Men</t>
  </si>
  <si>
    <t>Women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</si>
  <si>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</si>
  <si>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</si>
  <si>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</si>
  <si>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</si>
  <si>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</si>
  <si>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</si>
  <si>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</si>
  <si>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</si>
  <si>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</si>
  <si>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</si>
  <si>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</si>
  <si>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</si>
  <si>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</si>
  <si>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</si>
  <si>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</si>
  <si>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RH Sq</t>
  </si>
  <si>
    <t>RH BP</t>
  </si>
  <si>
    <t>Bench  4</t>
  </si>
  <si>
    <t>Div</t>
  </si>
  <si>
    <t/>
  </si>
  <si>
    <t>Pl-Div-WtCl</t>
  </si>
  <si>
    <t>Sort data</t>
  </si>
  <si>
    <t>A</t>
  </si>
  <si>
    <t>B</t>
  </si>
  <si>
    <t>C</t>
  </si>
  <si>
    <t>D</t>
  </si>
  <si>
    <t>sort #</t>
  </si>
  <si>
    <t>Team Pts</t>
  </si>
  <si>
    <t>lbs/kg</t>
  </si>
  <si>
    <t>Weight Classes (Kg)</t>
  </si>
  <si>
    <t>Copyright - Joe Marksteiner - 2005</t>
  </si>
  <si>
    <t>Wt Cls</t>
  </si>
  <si>
    <t>Pound</t>
  </si>
  <si>
    <t>Kilo</t>
  </si>
  <si>
    <t>Team</t>
  </si>
  <si>
    <t>It is copyrighted because I wouldn't want sombody else to sell it.</t>
  </si>
  <si>
    <t>In January 2002 we lost our 16 year old daughter - Liz Marksteiner - after a 16-month fight with cancer.</t>
  </si>
  <si>
    <t>When she was old enough she almost always found a way to help out - if she were here she'd be running this program.</t>
  </si>
  <si>
    <t>The ranch is a retreat for kids with cancer and it meant so much to her and us.</t>
  </si>
  <si>
    <t>Best of luck with the program.</t>
  </si>
  <si>
    <t>Sincerely</t>
  </si>
  <si>
    <t>Joe Marksteiner</t>
  </si>
  <si>
    <t>e-mail</t>
  </si>
  <si>
    <t>home</t>
  </si>
  <si>
    <t>steinmark@aol.com</t>
  </si>
  <si>
    <t>work</t>
  </si>
  <si>
    <t>joe.marksteiner@ae.ge.com</t>
  </si>
  <si>
    <t>phone</t>
  </si>
  <si>
    <t>513-755-6878</t>
  </si>
  <si>
    <t>513-552-2122</t>
  </si>
  <si>
    <t>cell</t>
  </si>
  <si>
    <t>Pounds</t>
  </si>
  <si>
    <t>Powerlifting (3 lift meet)</t>
  </si>
  <si>
    <t>Bench Press Only</t>
  </si>
  <si>
    <t>Squat Only</t>
  </si>
  <si>
    <t>Deadlift Only</t>
  </si>
  <si>
    <t>Push Pull (Bench &amp; Deadlift)</t>
  </si>
  <si>
    <t>Push Pull Total</t>
  </si>
  <si>
    <t>PL Total</t>
  </si>
  <si>
    <t>$BB$1:$BE$1</t>
  </si>
  <si>
    <t>$BB$1:$BM$1</t>
  </si>
  <si>
    <t>$BB$1:$BI$1</t>
  </si>
  <si>
    <t>Foster Age Multiples</t>
  </si>
  <si>
    <t>McCulloch Numbers</t>
  </si>
  <si>
    <t>Div-Wilks</t>
  </si>
  <si>
    <t>513-477-0775</t>
  </si>
  <si>
    <t>Kilos</t>
  </si>
  <si>
    <t>Sort-on</t>
  </si>
  <si>
    <t>Place</t>
  </si>
  <si>
    <t>Squat</t>
  </si>
  <si>
    <t>BP &amp; DL</t>
  </si>
  <si>
    <t>Bar plus Collars</t>
  </si>
  <si>
    <t>Platform Weight Set</t>
  </si>
  <si>
    <t>1.000</t>
  </si>
  <si>
    <t>1.010</t>
  </si>
  <si>
    <t>1.020</t>
  </si>
  <si>
    <t>1.031</t>
  </si>
  <si>
    <t>1.043</t>
  </si>
  <si>
    <t>1.055</t>
  </si>
  <si>
    <t>1.068</t>
  </si>
  <si>
    <t>1.082</t>
  </si>
  <si>
    <t>1.097</t>
  </si>
  <si>
    <t>1.113</t>
  </si>
  <si>
    <t>1.130</t>
  </si>
  <si>
    <t>1.147</t>
  </si>
  <si>
    <t>1.165</t>
  </si>
  <si>
    <t>1.184</t>
  </si>
  <si>
    <t>1.204</t>
  </si>
  <si>
    <t>1.225</t>
  </si>
  <si>
    <t>1.246</t>
  </si>
  <si>
    <t>1.268</t>
  </si>
  <si>
    <t>1.291</t>
  </si>
  <si>
    <t>1.315</t>
  </si>
  <si>
    <t>1.340</t>
  </si>
  <si>
    <t>1.366</t>
  </si>
  <si>
    <t>1.393</t>
  </si>
  <si>
    <t>1.421</t>
  </si>
  <si>
    <t>1.450</t>
  </si>
  <si>
    <t>1.480</t>
  </si>
  <si>
    <t>1.543</t>
  </si>
  <si>
    <t>1.576</t>
  </si>
  <si>
    <t>1.610</t>
  </si>
  <si>
    <t>1.645</t>
  </si>
  <si>
    <t>1.681</t>
  </si>
  <si>
    <t>1.718</t>
  </si>
  <si>
    <t>1.756</t>
  </si>
  <si>
    <t>1.795</t>
  </si>
  <si>
    <t>1.835</t>
  </si>
  <si>
    <t>1.876</t>
  </si>
  <si>
    <t>1.918</t>
  </si>
  <si>
    <t>1.961</t>
  </si>
  <si>
    <t>2.005</t>
  </si>
  <si>
    <t>2.050</t>
  </si>
  <si>
    <t>status</t>
  </si>
  <si>
    <t>SHW</t>
  </si>
  <si>
    <t>KG</t>
  </si>
  <si>
    <t>LB</t>
  </si>
  <si>
    <t>Weight Classes</t>
  </si>
  <si>
    <t>limit</t>
  </si>
  <si>
    <t>Divisions</t>
  </si>
  <si>
    <t>Abbrev</t>
  </si>
  <si>
    <t>Description</t>
  </si>
  <si>
    <t>Scoring</t>
  </si>
  <si>
    <t>Coeff Score</t>
  </si>
  <si>
    <t>Men-Wilks</t>
  </si>
  <si>
    <t>Women Wilks</t>
  </si>
  <si>
    <t>,5212</t>
  </si>
  <si>
    <t>Wilks Coeff</t>
  </si>
  <si>
    <t>Age  &amp; Coeff</t>
  </si>
  <si>
    <t>Division</t>
  </si>
  <si>
    <t>WtCls</t>
  </si>
  <si>
    <t>scoring value</t>
  </si>
  <si>
    <t>rank</t>
  </si>
  <si>
    <t>Place code</t>
  </si>
  <si>
    <t>Events</t>
  </si>
  <si>
    <t>Event check</t>
  </si>
  <si>
    <t>WtCls (Kg)</t>
  </si>
  <si>
    <t xml:space="preserve">  Bench 1</t>
  </si>
  <si>
    <t>Flt B</t>
  </si>
  <si>
    <t>Events Entered</t>
  </si>
  <si>
    <t>Flight</t>
  </si>
  <si>
    <t>Reset for New Contest</t>
  </si>
  <si>
    <t>Team Points</t>
  </si>
  <si>
    <t>Points</t>
  </si>
  <si>
    <t>valid score?</t>
  </si>
  <si>
    <t>M/F</t>
  </si>
  <si>
    <t>Bench 4</t>
  </si>
  <si>
    <t>automatic</t>
  </si>
  <si>
    <t>Best Lifter Coeff</t>
  </si>
  <si>
    <t>Men's Coeff</t>
  </si>
  <si>
    <t>Women's Coeff</t>
  </si>
  <si>
    <t>Men G'brenner</t>
  </si>
  <si>
    <t>Women G'Brenner</t>
  </si>
  <si>
    <t>Women Malone</t>
  </si>
  <si>
    <t>Men Schwartz</t>
  </si>
  <si>
    <t>E</t>
  </si>
  <si>
    <t>F</t>
  </si>
  <si>
    <t>G</t>
  </si>
  <si>
    <t>H</t>
  </si>
  <si>
    <t>Female open</t>
  </si>
  <si>
    <t>contest logo here</t>
  </si>
  <si>
    <t>This program is free.</t>
  </si>
  <si>
    <t>Anybody may use, copy or share it and it may be freely distributed.</t>
  </si>
  <si>
    <t>You can find them on the web at http://www.littlestar.org/</t>
  </si>
  <si>
    <t>All I ask, is if you use the program and you like it that you consider a contribution in my daughter's name to the Little Star Foundation.</t>
  </si>
  <si>
    <t>The summer before her death she spent a magical week at the foundation's Silver Lining Ranch in the Colorado mountains she loved.</t>
  </si>
  <si>
    <t>She grew up around powerlifting and though Liz never had any desire to lift, she was so proud of my wife and me when we were competing.</t>
  </si>
  <si>
    <t>Upper limit (lbs)</t>
  </si>
  <si>
    <t>------</t>
  </si>
  <si>
    <t>Pl code</t>
  </si>
  <si>
    <t>Tm Pts</t>
  </si>
  <si>
    <t>Div wt</t>
  </si>
  <si>
    <t>Div rank</t>
  </si>
  <si>
    <t>place</t>
  </si>
  <si>
    <t>Available</t>
  </si>
  <si>
    <t>Bar &amp; Collars</t>
  </si>
  <si>
    <t>Index</t>
  </si>
  <si>
    <t>Weight</t>
  </si>
  <si>
    <t>Wt w/o bar</t>
  </si>
  <si>
    <t>bwt</t>
  </si>
  <si>
    <t>bwt rank</t>
  </si>
  <si>
    <t>Results - Lbs &amp; Kgs?</t>
  </si>
  <si>
    <t>abs score</t>
  </si>
  <si>
    <t>Web Upload</t>
  </si>
  <si>
    <t>FTP site</t>
  </si>
  <si>
    <t>nextlifter.com</t>
  </si>
  <si>
    <t>User Name</t>
  </si>
  <si>
    <t>jpm75usafa</t>
  </si>
  <si>
    <t>Folder/File Name</t>
  </si>
  <si>
    <t>Website</t>
  </si>
  <si>
    <t>OnlineScoreBoard/GenericTest</t>
  </si>
  <si>
    <t>Disable</t>
  </si>
  <si>
    <t>Men Reshel</t>
  </si>
  <si>
    <t>Women Reshel</t>
  </si>
  <si>
    <t>http://nextlifter.com/OnlineScoreBoard/GenericTest.htm</t>
  </si>
  <si>
    <t>yes</t>
  </si>
  <si>
    <t>Kg</t>
  </si>
  <si>
    <t>BWt (Lb)</t>
  </si>
  <si>
    <t>M-M1</t>
  </si>
  <si>
    <t>M-M2</t>
  </si>
  <si>
    <t>M-M3</t>
  </si>
  <si>
    <t>M-J</t>
  </si>
  <si>
    <t>M-T1</t>
  </si>
  <si>
    <t>M-T2</t>
  </si>
  <si>
    <t>M-T3</t>
  </si>
  <si>
    <t>PL</t>
  </si>
  <si>
    <t>Glossbrenner</t>
  </si>
  <si>
    <t>F-G</t>
  </si>
  <si>
    <t>F-T1</t>
  </si>
  <si>
    <t>F-T2</t>
  </si>
  <si>
    <t>F-T3</t>
  </si>
  <si>
    <t>F-J</t>
  </si>
  <si>
    <t>F-O</t>
  </si>
  <si>
    <t>F-S</t>
  </si>
  <si>
    <t>F-M1</t>
  </si>
  <si>
    <t>F-M2</t>
  </si>
  <si>
    <t>F-M3</t>
  </si>
  <si>
    <t>F-M4</t>
  </si>
  <si>
    <t>F-M5</t>
  </si>
  <si>
    <t>F-M6</t>
  </si>
  <si>
    <t>F-M7</t>
  </si>
  <si>
    <t xml:space="preserve">F-M8 </t>
  </si>
  <si>
    <t>F-M9</t>
  </si>
  <si>
    <t>F-GR</t>
  </si>
  <si>
    <t>F-T1R</t>
  </si>
  <si>
    <t>F-T2R</t>
  </si>
  <si>
    <t>F-T3R</t>
  </si>
  <si>
    <t>F-JR</t>
  </si>
  <si>
    <t>F-OR</t>
  </si>
  <si>
    <t>F-SR</t>
  </si>
  <si>
    <t>F-M1R</t>
  </si>
  <si>
    <t>F-M2R</t>
  </si>
  <si>
    <t>F-M3R</t>
  </si>
  <si>
    <t>F-M4R</t>
  </si>
  <si>
    <t>F-M5R</t>
  </si>
  <si>
    <t>F-M6R</t>
  </si>
  <si>
    <t>F-M7R</t>
  </si>
  <si>
    <t>F-M8R</t>
  </si>
  <si>
    <t>F-M9R</t>
  </si>
  <si>
    <t>M-G</t>
  </si>
  <si>
    <t>M-O</t>
  </si>
  <si>
    <t>M-S</t>
  </si>
  <si>
    <t>M-M4</t>
  </si>
  <si>
    <t>M-M5</t>
  </si>
  <si>
    <t>M-M6</t>
  </si>
  <si>
    <t>M-M7</t>
  </si>
  <si>
    <t>M-M8</t>
  </si>
  <si>
    <t>M-M9</t>
  </si>
  <si>
    <t>M-GR</t>
  </si>
  <si>
    <t>M-T1R</t>
  </si>
  <si>
    <t>M-T2R</t>
  </si>
  <si>
    <t>M-T3R</t>
  </si>
  <si>
    <t>M-JR</t>
  </si>
  <si>
    <t>M-OR</t>
  </si>
  <si>
    <t>M-SR</t>
  </si>
  <si>
    <t>M-M1R</t>
  </si>
  <si>
    <t>M-M2R</t>
  </si>
  <si>
    <t>M-M3R</t>
  </si>
  <si>
    <t>M-M4R</t>
  </si>
  <si>
    <t>M-M5R</t>
  </si>
  <si>
    <t>M-M6R</t>
  </si>
  <si>
    <t>M-M7R</t>
  </si>
  <si>
    <t>M-M8R</t>
  </si>
  <si>
    <t>M-M9R</t>
  </si>
  <si>
    <t>Female Guest</t>
  </si>
  <si>
    <t>Female Teen 13-15</t>
  </si>
  <si>
    <t>Female Teen 16-17</t>
  </si>
  <si>
    <t>Female Teen 18-19</t>
  </si>
  <si>
    <t>Female Junior</t>
  </si>
  <si>
    <t>Female Open</t>
  </si>
  <si>
    <t>Female Submaster</t>
  </si>
  <si>
    <t>Female Master 40-44</t>
  </si>
  <si>
    <t>Female Master 45-49</t>
  </si>
  <si>
    <t>Female Master 50-54</t>
  </si>
  <si>
    <t>Female Master 55-59</t>
  </si>
  <si>
    <t>Female Master 60-64</t>
  </si>
  <si>
    <t>Female Master 65-69</t>
  </si>
  <si>
    <t>Female Master 70-74</t>
  </si>
  <si>
    <t>Female Master 75-79</t>
  </si>
  <si>
    <t>Female Master 80+</t>
  </si>
  <si>
    <t>Female Guest Raw</t>
  </si>
  <si>
    <t>Female Teen 13-15 Raw</t>
  </si>
  <si>
    <t>Female Teen 16-17 Raw</t>
  </si>
  <si>
    <t>Female Teen 18-19 Raw</t>
  </si>
  <si>
    <t>Female Junior Raw</t>
  </si>
  <si>
    <t>Female Open Raw</t>
  </si>
  <si>
    <t>Female Submaster Raw</t>
  </si>
  <si>
    <t>Female Master 40-44 Raw</t>
  </si>
  <si>
    <t>Female Master 45-49 Raw</t>
  </si>
  <si>
    <t>Female Master 50-54 Raw</t>
  </si>
  <si>
    <t>Female Master 55-59 Raw</t>
  </si>
  <si>
    <t>Female Master 60-64 Raw</t>
  </si>
  <si>
    <t>Female Master 65-69 Raw</t>
  </si>
  <si>
    <t>Female Master70-74 Raw</t>
  </si>
  <si>
    <t>Female Master 75-79 Raw</t>
  </si>
  <si>
    <t>Female Master 80+ Raw</t>
  </si>
  <si>
    <t>Male Guest</t>
  </si>
  <si>
    <t>Male Teen 13-15</t>
  </si>
  <si>
    <t>Male Teen 16-17</t>
  </si>
  <si>
    <t>Male Teen 18-19</t>
  </si>
  <si>
    <t>Male Junior</t>
  </si>
  <si>
    <t>Male Open</t>
  </si>
  <si>
    <t>Male Submaster</t>
  </si>
  <si>
    <t>Male Master 40-44</t>
  </si>
  <si>
    <t>Male Master 45-49</t>
  </si>
  <si>
    <t>Male Master 50-54</t>
  </si>
  <si>
    <t>Male Master 55-59</t>
  </si>
  <si>
    <t>Male Master 60-64</t>
  </si>
  <si>
    <t>Male Master 65-69</t>
  </si>
  <si>
    <t>Male Master 70-74</t>
  </si>
  <si>
    <t>Male Master 75-79</t>
  </si>
  <si>
    <t>Male Master 80+</t>
  </si>
  <si>
    <t>Male Guest Raw</t>
  </si>
  <si>
    <t>Male Teen 13-15 Raw</t>
  </si>
  <si>
    <t>Male Teen 16-17 Raw</t>
  </si>
  <si>
    <t>Male Teen 18-19 Raw</t>
  </si>
  <si>
    <t>Male Junior Raw</t>
  </si>
  <si>
    <t>Male Open Raw</t>
  </si>
  <si>
    <t>Male Submaster Raw</t>
  </si>
  <si>
    <t>Male Master 40-44 Raw</t>
  </si>
  <si>
    <t>Male Master 45-49 Raw</t>
  </si>
  <si>
    <t>Male Master 50-54 Raw</t>
  </si>
  <si>
    <t>Male Master 55-59 Raw</t>
  </si>
  <si>
    <t>Male Master 60-64 Raw</t>
  </si>
  <si>
    <t>Male Master 65-69 Raw</t>
  </si>
  <si>
    <t>Male Master 70-74 Raw</t>
  </si>
  <si>
    <t>Male Master 75-79 Raw</t>
  </si>
  <si>
    <t>Male Master 80+ Raw</t>
  </si>
  <si>
    <t>BP</t>
  </si>
  <si>
    <t>F-OA</t>
  </si>
  <si>
    <t>M-ORA</t>
  </si>
  <si>
    <t>M-T3RA</t>
  </si>
  <si>
    <t>F-GA</t>
  </si>
  <si>
    <t>Female AAPF Guest</t>
  </si>
  <si>
    <t>F-T1A</t>
  </si>
  <si>
    <t>Female AAPF Teen 13-15</t>
  </si>
  <si>
    <t>F-T2A</t>
  </si>
  <si>
    <t>Female AAPF Teen 16-17</t>
  </si>
  <si>
    <t>F-T3A</t>
  </si>
  <si>
    <t>Female AAPF Teen 18-19</t>
  </si>
  <si>
    <t>F-JA</t>
  </si>
  <si>
    <t>Female AAPF Junior</t>
  </si>
  <si>
    <t>Female AAPF Open</t>
  </si>
  <si>
    <t>F-SA</t>
  </si>
  <si>
    <t>Female AAPF Submaster</t>
  </si>
  <si>
    <t>F-M1A</t>
  </si>
  <si>
    <t>Female AAPF Master 40-44</t>
  </si>
  <si>
    <t>F-M2A</t>
  </si>
  <si>
    <t>Female AAPF Master 45-49</t>
  </si>
  <si>
    <t>F-M3A</t>
  </si>
  <si>
    <t>Female AAPF Master 50-54</t>
  </si>
  <si>
    <t>F-M4A</t>
  </si>
  <si>
    <t>Female AAPF Master 55-59</t>
  </si>
  <si>
    <t>F-M5A</t>
  </si>
  <si>
    <t>Female AAPF Master 60-64</t>
  </si>
  <si>
    <t>F-M6A</t>
  </si>
  <si>
    <t>Female AAPF Master 65-69</t>
  </si>
  <si>
    <t>F-M7A</t>
  </si>
  <si>
    <t>Female AAPF Master 70-74</t>
  </si>
  <si>
    <t>F-M8A</t>
  </si>
  <si>
    <t>Female AAPF Master 75-79</t>
  </si>
  <si>
    <t>F-M9A</t>
  </si>
  <si>
    <t>Female AAPF Master 80+</t>
  </si>
  <si>
    <t>F-GRA</t>
  </si>
  <si>
    <t>Female AAPF Guest Raw</t>
  </si>
  <si>
    <t>F-T1RA</t>
  </si>
  <si>
    <t>Female AAPF Teen 13-15 Raw</t>
  </si>
  <si>
    <t>F-T2RA</t>
  </si>
  <si>
    <t>Female AAPF Teen 16-17 Raw</t>
  </si>
  <si>
    <t>F-T3RA</t>
  </si>
  <si>
    <t>Female AAPF Teen 18-19 Raw</t>
  </si>
  <si>
    <t>F-JRA</t>
  </si>
  <si>
    <t>Female AAPF Junior Raw</t>
  </si>
  <si>
    <t>F-ORA</t>
  </si>
  <si>
    <t>Female AAPF Open Raw</t>
  </si>
  <si>
    <t>F-SRA</t>
  </si>
  <si>
    <t>Female AAPF Submaster Raw</t>
  </si>
  <si>
    <t>F-M1RA</t>
  </si>
  <si>
    <t>Female AAPF Master 40-44 Raw</t>
  </si>
  <si>
    <t>F-M2RA</t>
  </si>
  <si>
    <t>Female AAPF Master 45-49 Raw</t>
  </si>
  <si>
    <t>F-M3RA</t>
  </si>
  <si>
    <t>Female AAPF Master 50-54 Raw</t>
  </si>
  <si>
    <t>F-M4RA</t>
  </si>
  <si>
    <t>Female AAPF Master 55-59 Raw</t>
  </si>
  <si>
    <t>F-M5RA</t>
  </si>
  <si>
    <t>Female AAPF Master 60-64 Raw</t>
  </si>
  <si>
    <t>F-M6RA</t>
  </si>
  <si>
    <t>Female AAPF Master 65-69 Raw</t>
  </si>
  <si>
    <t>F-M7RA</t>
  </si>
  <si>
    <t>Female AAPF Master 70-74 Raw</t>
  </si>
  <si>
    <t>F-M8RA</t>
  </si>
  <si>
    <t>Female AAPF Master 75-79 Raw</t>
  </si>
  <si>
    <t>F-M9RA</t>
  </si>
  <si>
    <t>Female AAPF Master 80+ Raw</t>
  </si>
  <si>
    <t>M-GA</t>
  </si>
  <si>
    <t>Male AAPF Guest</t>
  </si>
  <si>
    <t>M-T1A</t>
  </si>
  <si>
    <t>Male AAPF Teen 13-15</t>
  </si>
  <si>
    <t>M-T2A</t>
  </si>
  <si>
    <t>Male AAPF Teen 16-17</t>
  </si>
  <si>
    <t>M-T3A</t>
  </si>
  <si>
    <t>Male AAPF Teen 18-19</t>
  </si>
  <si>
    <t>M-JA</t>
  </si>
  <si>
    <t>Male AAPF Junior</t>
  </si>
  <si>
    <t>M-OA</t>
  </si>
  <si>
    <t>Male AAPF Open</t>
  </si>
  <si>
    <t>M-SA</t>
  </si>
  <si>
    <t xml:space="preserve">Male AAPF Submaster </t>
  </si>
  <si>
    <t>M-M1A</t>
  </si>
  <si>
    <t>Male AAPF Master 40-44</t>
  </si>
  <si>
    <t>M-M2A</t>
  </si>
  <si>
    <t>Male AAPF Master 45-49</t>
  </si>
  <si>
    <t>M-M3A</t>
  </si>
  <si>
    <t>Male AAPF Master 50-54</t>
  </si>
  <si>
    <t>M-M4A</t>
  </si>
  <si>
    <t>Male AAPF Master 55-59</t>
  </si>
  <si>
    <t>M-M5A</t>
  </si>
  <si>
    <t>Male AAPF Master 60-64</t>
  </si>
  <si>
    <t>M-M6A</t>
  </si>
  <si>
    <t>Male AAPF Master 65-69</t>
  </si>
  <si>
    <t>M-M7A</t>
  </si>
  <si>
    <t>Male AAPF Master 70-74</t>
  </si>
  <si>
    <t>M-M8A</t>
  </si>
  <si>
    <t>Male AAPF Master 75-79</t>
  </si>
  <si>
    <t>M-M9A</t>
  </si>
  <si>
    <t>Male AAPF Master 80+</t>
  </si>
  <si>
    <t>M-GRA</t>
  </si>
  <si>
    <t>Male AAPF Guest Raw</t>
  </si>
  <si>
    <t>M-T1RA</t>
  </si>
  <si>
    <t>Male AAPF Teen 13-15 Raw</t>
  </si>
  <si>
    <t>M-T2RA</t>
  </si>
  <si>
    <t>Male AAPF Teen 16-17 Raw</t>
  </si>
  <si>
    <t>Male AAPF Teen 18-19 Raw</t>
  </si>
  <si>
    <t>M-JRA</t>
  </si>
  <si>
    <t>Male AAPF Junior Raw</t>
  </si>
  <si>
    <t>Male AAPF Open Raw</t>
  </si>
  <si>
    <t>M-SRA</t>
  </si>
  <si>
    <t>Male AAPF Submaster Raw</t>
  </si>
  <si>
    <t>M-M1RA</t>
  </si>
  <si>
    <t>Male AAPF Master 40-44 Raw</t>
  </si>
  <si>
    <t>M-M2RA</t>
  </si>
  <si>
    <t>Male AAPF Master 45-49 Raw</t>
  </si>
  <si>
    <t>M-M3RA</t>
  </si>
  <si>
    <t>Male AAPF Master 50-54 Raw</t>
  </si>
  <si>
    <t>M-M4RA</t>
  </si>
  <si>
    <t>Male AAPF Master 55-59 Raw</t>
  </si>
  <si>
    <t>M-M5RA</t>
  </si>
  <si>
    <t>Male AAPF Master 60-64 Raw</t>
  </si>
  <si>
    <t>M-M6RA</t>
  </si>
  <si>
    <t>Male AAPF Master 65-69 Raw</t>
  </si>
  <si>
    <t>M-M7RA</t>
  </si>
  <si>
    <t>Male AAPF Master 70-74 Raw</t>
  </si>
  <si>
    <t>M-M8RA</t>
  </si>
  <si>
    <t>Male AAPF Master 75-79 Raw</t>
  </si>
  <si>
    <t>M-M9RA</t>
  </si>
  <si>
    <t>Male AAPF Master 80+ Raw</t>
  </si>
  <si>
    <t>DL</t>
  </si>
  <si>
    <t>APF</t>
  </si>
  <si>
    <t>Laura DeLugue</t>
  </si>
  <si>
    <t>F-OCR</t>
  </si>
  <si>
    <t>17-0</t>
  </si>
  <si>
    <t>Patsy Lockett</t>
  </si>
  <si>
    <t>F-M5CR</t>
  </si>
  <si>
    <t>16-0</t>
  </si>
  <si>
    <t>Candice Kotz</t>
  </si>
  <si>
    <t>15-O</t>
  </si>
  <si>
    <t>Paula Collins</t>
  </si>
  <si>
    <t>11-0</t>
  </si>
  <si>
    <t>Erika Fuentes</t>
  </si>
  <si>
    <t>F-SCR</t>
  </si>
  <si>
    <t>13-0</t>
  </si>
  <si>
    <t>Aaron Lee</t>
  </si>
  <si>
    <t>22-I</t>
  </si>
  <si>
    <t>Tristen Bresnahan(Open)</t>
  </si>
  <si>
    <t>18-I</t>
  </si>
  <si>
    <t>SO</t>
  </si>
  <si>
    <t>Tristen Bresnahan(Teen)</t>
  </si>
  <si>
    <t>Jesse Brunet(Open)</t>
  </si>
  <si>
    <t>20-O</t>
  </si>
  <si>
    <t>Jesse Brunet(Sub)</t>
  </si>
  <si>
    <t>Richard James</t>
  </si>
  <si>
    <t>18-O</t>
  </si>
  <si>
    <t>Cody Trahan</t>
  </si>
  <si>
    <t>M-JCR</t>
  </si>
  <si>
    <t>19-O</t>
  </si>
  <si>
    <t>Edgar Najera</t>
  </si>
  <si>
    <t>M-SCR</t>
  </si>
  <si>
    <t>13-O</t>
  </si>
  <si>
    <t>Mike Jenkins(Full)</t>
  </si>
  <si>
    <t>M-M4CR</t>
  </si>
  <si>
    <t>21-I</t>
  </si>
  <si>
    <t>Mike Jenkins(BP)</t>
  </si>
  <si>
    <t>Mohammed Elzubier</t>
  </si>
  <si>
    <t>M-OCR</t>
  </si>
  <si>
    <t>Jonathan Drummond</t>
  </si>
  <si>
    <t>M-M3CR</t>
  </si>
  <si>
    <t>Lazaro Navarro</t>
  </si>
  <si>
    <t>19-I</t>
  </si>
  <si>
    <t>Justin Tripp</t>
  </si>
  <si>
    <t>Roman Esparza</t>
  </si>
  <si>
    <t>Stewart Beasley</t>
  </si>
  <si>
    <t>M-M2CR</t>
  </si>
  <si>
    <t>20-I</t>
  </si>
  <si>
    <t>Derek Jarman(Open)</t>
  </si>
  <si>
    <t>Derek Jarman(Master)</t>
  </si>
  <si>
    <t>M-M1CR</t>
  </si>
  <si>
    <t>Jimmy Keating</t>
  </si>
  <si>
    <t>Roy Thelin</t>
  </si>
  <si>
    <t>Logan Ziegelmann</t>
  </si>
  <si>
    <t>Ceideah Walker</t>
  </si>
  <si>
    <t>Sydney McGraw</t>
  </si>
  <si>
    <t>Sarah Bates</t>
  </si>
  <si>
    <t>12-O</t>
  </si>
  <si>
    <t>Linsey Tackett</t>
  </si>
  <si>
    <t>10-O</t>
  </si>
  <si>
    <t>Lacey Tackett</t>
  </si>
  <si>
    <t>Brookelyn Hoerner</t>
  </si>
  <si>
    <t>Sadie Stone</t>
  </si>
  <si>
    <t>11-O</t>
  </si>
  <si>
    <t>Jayden Curringham</t>
  </si>
  <si>
    <t>April Hammond</t>
  </si>
  <si>
    <t>14-O</t>
  </si>
  <si>
    <t>Hope Pridgen</t>
  </si>
  <si>
    <t>Amber Pickering</t>
  </si>
  <si>
    <t>8-O</t>
  </si>
  <si>
    <t>Jenna Hoffman</t>
  </si>
  <si>
    <t>Scout Bebee</t>
  </si>
  <si>
    <t>Lacey Pender</t>
  </si>
  <si>
    <t>Madison Taylor</t>
  </si>
  <si>
    <t>Jaci Miller</t>
  </si>
  <si>
    <t>Hayley Kinard</t>
  </si>
  <si>
    <t>4-O</t>
  </si>
  <si>
    <t>Mallory Becks</t>
  </si>
  <si>
    <t>Bethany Duncan</t>
  </si>
  <si>
    <t>Lee Denmon(BP)</t>
  </si>
  <si>
    <t>Lee Denmon(DL)</t>
  </si>
  <si>
    <t>Megan Fontenot(BP)</t>
  </si>
  <si>
    <t>Austin Taylor</t>
  </si>
  <si>
    <t>Brady Price</t>
  </si>
  <si>
    <t>Ethan McKay</t>
  </si>
  <si>
    <t>Colt LeBleu</t>
  </si>
  <si>
    <t>Jack Fontenot</t>
  </si>
  <si>
    <t>Hunter Angelo</t>
  </si>
  <si>
    <t>Grant Briggs(Open)</t>
  </si>
  <si>
    <t>17-O</t>
  </si>
  <si>
    <t>Dillon Kotz</t>
  </si>
  <si>
    <t>14-I</t>
  </si>
  <si>
    <t>Larry Mistric</t>
  </si>
  <si>
    <t>16-O</t>
  </si>
  <si>
    <t>Troy Angelo</t>
  </si>
  <si>
    <t>Taylor Brown</t>
  </si>
  <si>
    <t>Grant Briggs(BP)</t>
  </si>
  <si>
    <t>Vince Breaux (BP)</t>
  </si>
  <si>
    <t>Vince Breaux (DL)</t>
  </si>
  <si>
    <t>Derek Moss</t>
  </si>
  <si>
    <t>Bethani Duncan</t>
  </si>
  <si>
    <t>April Hamon</t>
  </si>
  <si>
    <t>Flt C</t>
  </si>
  <si>
    <t>16-I</t>
  </si>
  <si>
    <t>17-I</t>
  </si>
  <si>
    <t>13-I</t>
  </si>
  <si>
    <t>15-I</t>
  </si>
  <si>
    <t>Laura DeLuque</t>
  </si>
  <si>
    <t>Y21</t>
  </si>
  <si>
    <t>WtCls (Lb)</t>
  </si>
  <si>
    <t>2-M-T1-114</t>
  </si>
  <si>
    <t>1-M-T1-114</t>
  </si>
  <si>
    <t>1-M-T2-242</t>
  </si>
  <si>
    <t>1-M-T1-181</t>
  </si>
  <si>
    <t>1-M-O-220</t>
  </si>
  <si>
    <t>1-M-M5-242</t>
  </si>
  <si>
    <t>1-M-T2-165</t>
  </si>
  <si>
    <t>1-M-O-198</t>
  </si>
  <si>
    <t>1-M-T2-220</t>
  </si>
  <si>
    <t>1-M-O-275</t>
  </si>
  <si>
    <t>1-M-J-220</t>
  </si>
  <si>
    <t>1-F-OR-132</t>
  </si>
  <si>
    <t>1-F-M5R-165</t>
  </si>
  <si>
    <t>2-M-OR-181</t>
  </si>
  <si>
    <t>1-M-T3R-181</t>
  </si>
  <si>
    <t>1-M-OR-181</t>
  </si>
  <si>
    <t>1-M-M2R-181</t>
  </si>
  <si>
    <t>2-M-OR-198</t>
  </si>
  <si>
    <t>1-M-SR-198</t>
  </si>
  <si>
    <t>1-M-OR-198</t>
  </si>
  <si>
    <t>1-F-T1-97</t>
  </si>
  <si>
    <t>2-F-T2-114</t>
  </si>
  <si>
    <t>2-F-T2-181</t>
  </si>
  <si>
    <t>1-F-T2-181</t>
  </si>
  <si>
    <t>1-F-T1-105</t>
  </si>
  <si>
    <t>1-F-T1-123</t>
  </si>
  <si>
    <t>1-F-T1-114</t>
  </si>
  <si>
    <t>1-F-O-105</t>
  </si>
  <si>
    <t>1-F-T2-165</t>
  </si>
  <si>
    <t>1-F-S-114</t>
  </si>
  <si>
    <t>1-F-T2-123</t>
  </si>
  <si>
    <t>1-F-T2-114</t>
  </si>
  <si>
    <t>1-F-T2-148</t>
  </si>
  <si>
    <t>1-F-T3-148</t>
  </si>
  <si>
    <t>1-F-T2-132</t>
  </si>
  <si>
    <t>1-F-T3-165</t>
  </si>
  <si>
    <t>3-F-T2-132</t>
  </si>
  <si>
    <t>2-F-T2-132</t>
  </si>
  <si>
    <t>1-F-O-148</t>
  </si>
  <si>
    <t>APF-Kg Results</t>
  </si>
  <si>
    <t>APF-Lb Results</t>
  </si>
  <si>
    <t>1-M-M7-220</t>
  </si>
  <si>
    <t>1-M-O-308</t>
  </si>
  <si>
    <t>1-M-M4R-308</t>
  </si>
  <si>
    <t>1-F-M3-123</t>
  </si>
  <si>
    <t>1-M-O-242</t>
  </si>
  <si>
    <t>1-M-T3R-132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</si>
</sst>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"/>
    <numFmt numFmtId="167" formatCode="0.00000000000"/>
    <numFmt numFmtId="168" formatCode="0.000000000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7"/>
      <color indexed="9"/>
      <name val="Arial"/>
      <family val="2"/>
    </font>
    <font>
      <sz val="10"/>
      <color indexed="55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28"/>
      <color indexed="9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u/>
      <sz val="20"/>
      <color indexed="9"/>
      <name val="Arial"/>
      <family val="2"/>
    </font>
    <font>
      <sz val="16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55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4" fillId="0" borderId="0"/>
  </cellStyleXfs>
  <cellXfs count="3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67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0" fontId="3" fillId="0" borderId="0" xfId="1" applyAlignment="1" applyProtection="1"/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0" xfId="0" applyBorder="1" applyProtection="1"/>
    <xf numFmtId="0" fontId="0" fillId="0" borderId="6" xfId="0" applyBorder="1" applyProtection="1"/>
    <xf numFmtId="0" fontId="0" fillId="2" borderId="1" xfId="0" applyFill="1" applyBorder="1" applyProtection="1"/>
    <xf numFmtId="0" fontId="0" fillId="0" borderId="9" xfId="0" applyBorder="1" applyProtection="1"/>
    <xf numFmtId="0" fontId="2" fillId="2" borderId="1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2" fillId="2" borderId="11" xfId="0" applyFont="1" applyFill="1" applyBorder="1" applyAlignment="1" applyProtection="1">
      <alignment horizontal="center"/>
    </xf>
    <xf numFmtId="0" fontId="0" fillId="0" borderId="12" xfId="0" applyBorder="1" applyProtection="1"/>
    <xf numFmtId="0" fontId="0" fillId="2" borderId="10" xfId="0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3" xfId="0" applyBorder="1" applyProtection="1"/>
    <xf numFmtId="0" fontId="16" fillId="2" borderId="0" xfId="0" applyFont="1" applyFill="1" applyBorder="1" applyAlignment="1" applyProtection="1">
      <alignment horizontal="center"/>
    </xf>
    <xf numFmtId="0" fontId="2" fillId="2" borderId="1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5" borderId="15" xfId="0" applyFont="1" applyFill="1" applyBorder="1" applyAlignment="1">
      <alignment horizontal="center" wrapText="1"/>
    </xf>
    <xf numFmtId="0" fontId="4" fillId="5" borderId="16" xfId="0" applyFont="1" applyFill="1" applyBorder="1" applyAlignment="1">
      <alignment horizontal="center" wrapText="1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0" fontId="11" fillId="0" borderId="6" xfId="0" applyFont="1" applyBorder="1" applyAlignment="1" applyProtection="1">
      <alignment horizontal="center"/>
      <protection locked="0"/>
    </xf>
    <xf numFmtId="165" fontId="11" fillId="0" borderId="6" xfId="0" applyNumberFormat="1" applyFont="1" applyBorder="1" applyAlignment="1" applyProtection="1">
      <alignment horizontal="center"/>
      <protection locked="0"/>
    </xf>
    <xf numFmtId="166" fontId="11" fillId="0" borderId="6" xfId="0" applyNumberFormat="1" applyFont="1" applyBorder="1" applyAlignment="1" applyProtection="1">
      <alignment horizontal="center"/>
      <protection locked="0"/>
    </xf>
    <xf numFmtId="165" fontId="11" fillId="0" borderId="0" xfId="0" applyNumberFormat="1" applyFont="1" applyBorder="1" applyAlignment="1" applyProtection="1">
      <alignment horizontal="center"/>
      <protection locked="0"/>
    </xf>
    <xf numFmtId="164" fontId="11" fillId="0" borderId="0" xfId="0" applyNumberFormat="1" applyFont="1" applyBorder="1" applyAlignment="1" applyProtection="1">
      <alignment horizontal="center"/>
      <protection locked="0"/>
    </xf>
    <xf numFmtId="166" fontId="11" fillId="0" borderId="0" xfId="0" applyNumberFormat="1" applyFont="1" applyBorder="1" applyAlignment="1" applyProtection="1">
      <alignment horizontal="center"/>
      <protection locked="0"/>
    </xf>
    <xf numFmtId="164" fontId="11" fillId="0" borderId="6" xfId="0" applyNumberFormat="1" applyFont="1" applyBorder="1" applyAlignment="1" applyProtection="1">
      <alignment horizontal="center"/>
      <protection locked="0"/>
    </xf>
    <xf numFmtId="2" fontId="11" fillId="0" borderId="0" xfId="0" applyNumberFormat="1" applyFont="1" applyBorder="1" applyAlignment="1" applyProtection="1">
      <alignment horizontal="center"/>
      <protection locked="0"/>
    </xf>
    <xf numFmtId="2" fontId="11" fillId="0" borderId="6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shrinkToFit="1"/>
      <protection locked="0"/>
    </xf>
    <xf numFmtId="0" fontId="11" fillId="0" borderId="6" xfId="0" applyFont="1" applyBorder="1" applyAlignment="1" applyProtection="1">
      <alignment horizontal="center" shrinkToFit="1"/>
      <protection locked="0"/>
    </xf>
    <xf numFmtId="0" fontId="0" fillId="0" borderId="1" xfId="0" applyFill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1" fontId="0" fillId="0" borderId="0" xfId="0" applyNumberForma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Fill="1"/>
    <xf numFmtId="0" fontId="2" fillId="0" borderId="17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0" borderId="19" xfId="0" applyFont="1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/>
    </xf>
    <xf numFmtId="164" fontId="17" fillId="0" borderId="4" xfId="0" applyNumberFormat="1" applyFont="1" applyFill="1" applyBorder="1" applyAlignment="1" applyProtection="1">
      <alignment vertical="center" shrinkToFit="1"/>
    </xf>
    <xf numFmtId="164" fontId="17" fillId="0" borderId="5" xfId="0" applyNumberFormat="1" applyFont="1" applyFill="1" applyBorder="1" applyAlignment="1" applyProtection="1">
      <alignment vertical="center" shrinkToFit="1"/>
    </xf>
    <xf numFmtId="164" fontId="17" fillId="0" borderId="18" xfId="0" applyNumberFormat="1" applyFont="1" applyFill="1" applyBorder="1" applyAlignment="1" applyProtection="1">
      <alignment vertical="center" shrinkToFit="1"/>
    </xf>
    <xf numFmtId="0" fontId="0" fillId="2" borderId="6" xfId="0" applyFill="1" applyBorder="1" applyProtection="1"/>
    <xf numFmtId="0" fontId="2" fillId="2" borderId="21" xfId="0" applyFont="1" applyFill="1" applyBorder="1" applyAlignment="1" applyProtection="1">
      <alignment horizontal="center" vertical="center" wrapText="1"/>
    </xf>
    <xf numFmtId="0" fontId="14" fillId="7" borderId="22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8" fillId="2" borderId="25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9" fillId="8" borderId="25" xfId="0" applyFont="1" applyFill="1" applyBorder="1" applyAlignment="1" applyProtection="1">
      <alignment horizontal="center" vertical="center" wrapText="1"/>
    </xf>
    <xf numFmtId="0" fontId="18" fillId="2" borderId="19" xfId="0" applyFont="1" applyFill="1" applyBorder="1" applyAlignment="1" applyProtection="1">
      <alignment horizontal="center" vertical="center" shrinkToFit="1"/>
      <protection locked="0"/>
    </xf>
    <xf numFmtId="164" fontId="17" fillId="0" borderId="26" xfId="0" applyNumberFormat="1" applyFont="1" applyFill="1" applyBorder="1" applyAlignment="1" applyProtection="1">
      <alignment vertical="center" shrinkToFit="1"/>
    </xf>
    <xf numFmtId="164" fontId="17" fillId="0" borderId="6" xfId="0" applyNumberFormat="1" applyFont="1" applyFill="1" applyBorder="1" applyAlignment="1" applyProtection="1">
      <alignment vertical="center" shrinkToFit="1"/>
    </xf>
    <xf numFmtId="164" fontId="17" fillId="0" borderId="20" xfId="0" applyNumberFormat="1" applyFont="1" applyFill="1" applyBorder="1" applyAlignment="1" applyProtection="1">
      <alignment vertical="center" shrinkToFit="1"/>
    </xf>
    <xf numFmtId="0" fontId="18" fillId="2" borderId="19" xfId="0" applyFont="1" applyFill="1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1" fontId="0" fillId="0" borderId="6" xfId="0" applyNumberFormat="1" applyFill="1" applyBorder="1" applyAlignment="1" applyProtection="1">
      <alignment horizontal="center"/>
    </xf>
    <xf numFmtId="0" fontId="20" fillId="2" borderId="0" xfId="0" applyFont="1" applyFill="1" applyBorder="1" applyProtection="1"/>
    <xf numFmtId="0" fontId="20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left"/>
    </xf>
    <xf numFmtId="0" fontId="14" fillId="8" borderId="25" xfId="0" applyFont="1" applyFill="1" applyBorder="1" applyAlignment="1" applyProtection="1">
      <alignment horizontal="center" vertical="center" wrapText="1"/>
      <protection locked="0"/>
    </xf>
    <xf numFmtId="2" fontId="11" fillId="0" borderId="6" xfId="0" applyNumberFormat="1" applyFont="1" applyBorder="1" applyAlignment="1" applyProtection="1">
      <alignment horizontal="center" shrinkToFit="1"/>
      <protection locked="0"/>
    </xf>
    <xf numFmtId="2" fontId="11" fillId="0" borderId="0" xfId="0" applyNumberFormat="1" applyFont="1" applyBorder="1" applyAlignment="1" applyProtection="1">
      <alignment horizontal="center" shrinkToFit="1"/>
      <protection locked="0"/>
    </xf>
    <xf numFmtId="0" fontId="0" fillId="2" borderId="0" xfId="0" applyFill="1" applyBorder="1" applyProtection="1"/>
    <xf numFmtId="0" fontId="2" fillId="2" borderId="22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0" fontId="4" fillId="2" borderId="12" xfId="0" applyFont="1" applyFill="1" applyBorder="1" applyProtection="1"/>
    <xf numFmtId="0" fontId="11" fillId="2" borderId="12" xfId="0" applyFont="1" applyFill="1" applyBorder="1" applyAlignment="1" applyProtection="1">
      <alignment wrapText="1"/>
    </xf>
    <xf numFmtId="0" fontId="0" fillId="2" borderId="18" xfId="0" applyFill="1" applyBorder="1" applyProtection="1"/>
    <xf numFmtId="0" fontId="11" fillId="2" borderId="18" xfId="0" applyFont="1" applyFill="1" applyBorder="1" applyProtection="1"/>
    <xf numFmtId="0" fontId="11" fillId="2" borderId="0" xfId="0" applyFont="1" applyFill="1" applyBorder="1" applyAlignment="1" applyProtection="1">
      <alignment wrapText="1"/>
    </xf>
    <xf numFmtId="0" fontId="0" fillId="2" borderId="0" xfId="0" quotePrefix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shrinkToFit="1"/>
      <protection locked="0"/>
    </xf>
    <xf numFmtId="0" fontId="4" fillId="0" borderId="6" xfId="0" applyFont="1" applyFill="1" applyBorder="1" applyAlignment="1" applyProtection="1">
      <alignment horizontal="center" shrinkToFit="1"/>
      <protection locked="0"/>
    </xf>
    <xf numFmtId="0" fontId="0" fillId="0" borderId="6" xfId="0" applyFill="1" applyBorder="1" applyAlignment="1" applyProtection="1">
      <alignment horizontal="center" shrinkToFit="1"/>
    </xf>
    <xf numFmtId="0" fontId="0" fillId="2" borderId="6" xfId="0" applyFill="1" applyBorder="1" applyAlignment="1" applyProtection="1">
      <alignment horizontal="center" shrinkToFit="1"/>
    </xf>
    <xf numFmtId="166" fontId="0" fillId="2" borderId="6" xfId="0" applyNumberFormat="1" applyFill="1" applyBorder="1" applyAlignment="1" applyProtection="1">
      <alignment horizontal="center" shrinkToFit="1"/>
    </xf>
    <xf numFmtId="0" fontId="0" fillId="0" borderId="28" xfId="0" applyBorder="1" applyAlignment="1" applyProtection="1">
      <alignment horizontal="center" shrinkToFit="1"/>
    </xf>
    <xf numFmtId="0" fontId="12" fillId="2" borderId="22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14" fillId="7" borderId="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Protection="1"/>
    <xf numFmtId="0" fontId="16" fillId="0" borderId="1" xfId="0" applyFont="1" applyBorder="1" applyAlignment="1">
      <alignment horizontal="center"/>
    </xf>
    <xf numFmtId="0" fontId="23" fillId="8" borderId="0" xfId="0" applyFont="1" applyFill="1" applyBorder="1" applyProtection="1">
      <protection locked="0"/>
    </xf>
    <xf numFmtId="0" fontId="23" fillId="8" borderId="0" xfId="0" applyFont="1" applyFill="1" applyBorder="1" applyAlignment="1" applyProtection="1">
      <alignment horizontal="center"/>
      <protection locked="0"/>
    </xf>
    <xf numFmtId="0" fontId="23" fillId="8" borderId="0" xfId="0" applyFont="1" applyFill="1" applyProtection="1">
      <protection locked="0"/>
    </xf>
    <xf numFmtId="0" fontId="23" fillId="8" borderId="0" xfId="0" applyFont="1" applyFill="1" applyAlignment="1" applyProtection="1">
      <alignment horizontal="center"/>
      <protection locked="0"/>
    </xf>
    <xf numFmtId="0" fontId="25" fillId="8" borderId="0" xfId="0" applyFont="1" applyFill="1" applyBorder="1" applyAlignment="1" applyProtection="1">
      <alignment horizontal="center" wrapText="1"/>
      <protection locked="0"/>
    </xf>
    <xf numFmtId="0" fontId="23" fillId="8" borderId="0" xfId="0" applyFont="1" applyFill="1" applyAlignment="1" applyProtection="1">
      <alignment horizontal="center" vertical="center" wrapText="1"/>
      <protection locked="0"/>
    </xf>
    <xf numFmtId="2" fontId="27" fillId="8" borderId="0" xfId="0" applyNumberFormat="1" applyFont="1" applyFill="1" applyAlignment="1" applyProtection="1">
      <alignment horizontal="center" vertical="center" wrapText="1"/>
    </xf>
    <xf numFmtId="0" fontId="27" fillId="8" borderId="0" xfId="0" applyFont="1" applyFill="1" applyAlignment="1" applyProtection="1">
      <alignment horizontal="center" vertical="center" wrapText="1"/>
      <protection locked="0"/>
    </xf>
    <xf numFmtId="2" fontId="23" fillId="8" borderId="0" xfId="0" applyNumberFormat="1" applyFont="1" applyFill="1" applyAlignment="1" applyProtection="1">
      <alignment horizontal="center"/>
      <protection locked="0"/>
    </xf>
    <xf numFmtId="0" fontId="26" fillId="8" borderId="0" xfId="0" applyFont="1" applyFill="1" applyAlignment="1" applyProtection="1">
      <alignment horizontal="left" vertical="center" wrapText="1"/>
    </xf>
    <xf numFmtId="0" fontId="23" fillId="8" borderId="0" xfId="0" applyFont="1" applyFill="1" applyAlignment="1" applyProtection="1">
      <alignment horizontal="center"/>
    </xf>
    <xf numFmtId="0" fontId="23" fillId="8" borderId="0" xfId="0" applyFont="1" applyFill="1" applyProtection="1"/>
    <xf numFmtId="0" fontId="27" fillId="8" borderId="0" xfId="0" applyFont="1" applyFill="1" applyBorder="1" applyAlignment="1" applyProtection="1">
      <alignment horizontal="center" vertical="center" wrapText="1"/>
      <protection locked="0"/>
    </xf>
    <xf numFmtId="0" fontId="29" fillId="8" borderId="0" xfId="0" applyFont="1" applyFill="1" applyAlignment="1" applyProtection="1">
      <alignment horizontal="center" vertical="center" wrapText="1"/>
    </xf>
    <xf numFmtId="0" fontId="29" fillId="8" borderId="0" xfId="0" applyFont="1" applyFill="1" applyAlignment="1" applyProtection="1">
      <alignment horizontal="left" vertical="center" wrapText="1"/>
    </xf>
    <xf numFmtId="0" fontId="27" fillId="8" borderId="0" xfId="0" applyFont="1" applyFill="1" applyAlignment="1" applyProtection="1">
      <alignment horizontal="center" vertical="center" wrapText="1"/>
    </xf>
    <xf numFmtId="0" fontId="23" fillId="8" borderId="0" xfId="0" applyFont="1" applyFill="1" applyAlignment="1" applyProtection="1">
      <alignment horizontal="left" vertical="center"/>
      <protection locked="0"/>
    </xf>
    <xf numFmtId="0" fontId="29" fillId="8" borderId="0" xfId="0" applyFont="1" applyFill="1" applyAlignment="1" applyProtection="1">
      <alignment horizontal="center" vertical="center" wrapText="1"/>
      <protection locked="0"/>
    </xf>
    <xf numFmtId="0" fontId="29" fillId="8" borderId="0" xfId="0" applyFont="1" applyFill="1" applyAlignment="1" applyProtection="1">
      <alignment horizontal="left" vertical="center" wrapText="1"/>
      <protection locked="0"/>
    </xf>
    <xf numFmtId="2" fontId="27" fillId="8" borderId="0" xfId="0" applyNumberFormat="1" applyFont="1" applyFill="1" applyAlignment="1" applyProtection="1">
      <alignment horizontal="center" vertical="center" wrapText="1"/>
      <protection locked="0"/>
    </xf>
    <xf numFmtId="0" fontId="23" fillId="8" borderId="0" xfId="0" applyFont="1" applyFill="1" applyBorder="1" applyAlignment="1" applyProtection="1">
      <alignment horizontal="center" vertical="center" wrapText="1"/>
      <protection locked="0"/>
    </xf>
    <xf numFmtId="15" fontId="6" fillId="0" borderId="23" xfId="0" applyNumberFormat="1" applyFont="1" applyBorder="1" applyAlignment="1" applyProtection="1">
      <alignment horizontal="center" shrinkToFit="1"/>
      <protection locked="0"/>
    </xf>
    <xf numFmtId="0" fontId="12" fillId="0" borderId="0" xfId="0" applyFont="1" applyFill="1" applyBorder="1" applyAlignment="1" applyProtection="1">
      <alignment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29" xfId="0" applyFont="1" applyFill="1" applyBorder="1" applyAlignment="1" applyProtection="1">
      <alignment horizontal="center" vertical="center" shrinkToFit="1"/>
    </xf>
    <xf numFmtId="0" fontId="12" fillId="0" borderId="29" xfId="0" applyFont="1" applyFill="1" applyBorder="1" applyAlignment="1" applyProtection="1">
      <alignment horizontal="center" vertical="center" wrapText="1"/>
    </xf>
    <xf numFmtId="165" fontId="12" fillId="0" borderId="29" xfId="0" applyNumberFormat="1" applyFont="1" applyFill="1" applyBorder="1" applyAlignment="1" applyProtection="1">
      <alignment horizontal="center" vertical="center" wrapText="1"/>
    </xf>
    <xf numFmtId="164" fontId="12" fillId="0" borderId="29" xfId="0" applyNumberFormat="1" applyFont="1" applyFill="1" applyBorder="1" applyAlignment="1" applyProtection="1">
      <alignment horizontal="center" vertical="center" wrapText="1"/>
    </xf>
    <xf numFmtId="2" fontId="12" fillId="0" borderId="29" xfId="0" applyNumberFormat="1" applyFont="1" applyFill="1" applyBorder="1" applyAlignment="1" applyProtection="1">
      <alignment horizontal="center" vertical="center" wrapText="1"/>
    </xf>
    <xf numFmtId="166" fontId="12" fillId="0" borderId="29" xfId="0" applyNumberFormat="1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/>
    </xf>
    <xf numFmtId="0" fontId="30" fillId="2" borderId="0" xfId="0" applyFont="1" applyFill="1" applyBorder="1" applyProtection="1"/>
    <xf numFmtId="0" fontId="30" fillId="0" borderId="0" xfId="0" applyFont="1" applyBorder="1" applyProtection="1"/>
    <xf numFmtId="0" fontId="31" fillId="2" borderId="22" xfId="0" applyFont="1" applyFill="1" applyBorder="1" applyAlignment="1" applyProtection="1">
      <alignment horizontal="center" vertical="center" wrapText="1"/>
    </xf>
    <xf numFmtId="0" fontId="30" fillId="0" borderId="6" xfId="0" applyFont="1" applyBorder="1" applyAlignment="1" applyProtection="1">
      <alignment horizontal="center"/>
    </xf>
    <xf numFmtId="0" fontId="30" fillId="0" borderId="1" xfId="0" applyFont="1" applyBorder="1" applyProtection="1"/>
    <xf numFmtId="168" fontId="7" fillId="2" borderId="0" xfId="0" applyNumberFormat="1" applyFont="1" applyFill="1" applyBorder="1" applyAlignment="1" applyProtection="1">
      <alignment horizontal="center"/>
    </xf>
    <xf numFmtId="168" fontId="0" fillId="0" borderId="0" xfId="0" applyNumberFormat="1" applyBorder="1" applyAlignment="1" applyProtection="1">
      <alignment horizontal="center"/>
    </xf>
    <xf numFmtId="168" fontId="2" fillId="2" borderId="22" xfId="0" applyNumberFormat="1" applyFont="1" applyFill="1" applyBorder="1" applyAlignment="1" applyProtection="1">
      <alignment horizontal="center" vertical="center" wrapText="1"/>
    </xf>
    <xf numFmtId="168" fontId="0" fillId="0" borderId="1" xfId="0" applyNumberFormat="1" applyBorder="1" applyAlignment="1" applyProtection="1">
      <alignment horizontal="center"/>
    </xf>
    <xf numFmtId="166" fontId="2" fillId="2" borderId="2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6" fontId="2" fillId="2" borderId="3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wrapText="1"/>
    </xf>
    <xf numFmtId="165" fontId="32" fillId="0" borderId="0" xfId="0" applyNumberFormat="1" applyFont="1" applyFill="1" applyAlignment="1">
      <alignment horizontal="center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27" xfId="0" applyNumberFormat="1" applyFill="1" applyBorder="1" applyAlignment="1" applyProtection="1">
      <alignment horizontal="center"/>
      <protection locked="0"/>
    </xf>
    <xf numFmtId="0" fontId="28" fillId="8" borderId="0" xfId="0" applyNumberFormat="1" applyFont="1" applyFill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shrinkToFit="1"/>
    </xf>
    <xf numFmtId="1" fontId="0" fillId="0" borderId="6" xfId="0" applyNumberFormat="1" applyBorder="1" applyAlignment="1" applyProtection="1">
      <alignment horizontal="center"/>
    </xf>
    <xf numFmtId="164" fontId="35" fillId="0" borderId="1" xfId="2" applyNumberFormat="1" applyFont="1" applyBorder="1" applyAlignment="1">
      <alignment horizontal="center" wrapText="1"/>
    </xf>
    <xf numFmtId="0" fontId="33" fillId="2" borderId="1" xfId="2" applyFont="1" applyFill="1" applyBorder="1" applyAlignment="1" applyProtection="1">
      <alignment horizontal="center" wrapText="1"/>
      <protection locked="0"/>
    </xf>
    <xf numFmtId="0" fontId="33" fillId="0" borderId="1" xfId="2" applyFont="1" applyFill="1" applyBorder="1" applyAlignment="1" applyProtection="1">
      <alignment horizontal="center" wrapText="1"/>
      <protection locked="0"/>
    </xf>
    <xf numFmtId="0" fontId="34" fillId="0" borderId="0" xfId="2" applyAlignment="1">
      <alignment horizontal="center" wrapText="1"/>
    </xf>
    <xf numFmtId="0" fontId="34" fillId="0" borderId="0" xfId="2" applyAlignment="1">
      <alignment wrapText="1"/>
    </xf>
    <xf numFmtId="164" fontId="35" fillId="0" borderId="1" xfId="2" applyNumberFormat="1" applyFont="1" applyBorder="1" applyAlignment="1" applyProtection="1">
      <alignment horizontal="center"/>
      <protection locked="0"/>
    </xf>
    <xf numFmtId="0" fontId="33" fillId="2" borderId="1" xfId="2" applyFont="1" applyFill="1" applyBorder="1" applyAlignment="1">
      <alignment horizontal="center"/>
    </xf>
    <xf numFmtId="0" fontId="33" fillId="0" borderId="1" xfId="2" applyFont="1" applyFill="1" applyBorder="1" applyAlignment="1">
      <alignment horizontal="center"/>
    </xf>
    <xf numFmtId="0" fontId="33" fillId="0" borderId="1" xfId="2" applyFont="1" applyFill="1" applyBorder="1" applyAlignment="1" applyProtection="1">
      <alignment horizontal="center"/>
      <protection locked="0"/>
    </xf>
    <xf numFmtId="0" fontId="34" fillId="0" borderId="0" xfId="2" applyAlignment="1">
      <alignment horizontal="center"/>
    </xf>
    <xf numFmtId="0" fontId="34" fillId="0" borderId="0" xfId="2"/>
    <xf numFmtId="164" fontId="35" fillId="0" borderId="1" xfId="2" applyNumberFormat="1" applyFont="1" applyBorder="1" applyAlignment="1">
      <alignment horizontal="center"/>
    </xf>
    <xf numFmtId="0" fontId="16" fillId="0" borderId="0" xfId="2" applyFont="1" applyAlignment="1">
      <alignment horizontal="center"/>
    </xf>
    <xf numFmtId="0" fontId="1" fillId="2" borderId="0" xfId="2" applyFont="1" applyFill="1"/>
    <xf numFmtId="0" fontId="1" fillId="0" borderId="0" xfId="2" applyFont="1" applyFill="1"/>
    <xf numFmtId="0" fontId="2" fillId="2" borderId="1" xfId="0" applyFont="1" applyFill="1" applyBorder="1" applyAlignment="1" applyProtection="1">
      <alignment wrapText="1"/>
    </xf>
    <xf numFmtId="0" fontId="2" fillId="2" borderId="30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wrapText="1"/>
      <protection locked="0"/>
    </xf>
    <xf numFmtId="166" fontId="0" fillId="0" borderId="6" xfId="0" applyNumberFormat="1" applyFill="1" applyBorder="1" applyAlignment="1" applyProtection="1">
      <alignment horizontal="center"/>
    </xf>
    <xf numFmtId="0" fontId="36" fillId="8" borderId="0" xfId="0" applyFont="1" applyFill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49" fontId="7" fillId="2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0" fillId="0" borderId="0" xfId="0" applyNumberFormat="1" applyBorder="1" applyAlignment="1" applyProtection="1">
      <alignment horizontal="center"/>
    </xf>
    <xf numFmtId="49" fontId="2" fillId="2" borderId="25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 applyProtection="1">
      <alignment horizontal="center" shrinkToFit="1"/>
      <protection locked="0"/>
    </xf>
    <xf numFmtId="49" fontId="0" fillId="0" borderId="1" xfId="0" applyNumberFormat="1" applyBorder="1" applyAlignment="1" applyProtection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Alignment="1"/>
    <xf numFmtId="0" fontId="3" fillId="0" borderId="0" xfId="1" applyFill="1" applyBorder="1" applyAlignment="1" applyProtection="1"/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4" fillId="9" borderId="6" xfId="0" applyFont="1" applyFill="1" applyBorder="1" applyAlignment="1" applyProtection="1">
      <alignment horizontal="center" shrinkToFit="1"/>
      <protection locked="0"/>
    </xf>
    <xf numFmtId="0" fontId="1" fillId="9" borderId="6" xfId="0" applyFont="1" applyFill="1" applyBorder="1" applyAlignment="1" applyProtection="1">
      <alignment horizontal="center" shrinkToFit="1"/>
      <protection locked="0"/>
    </xf>
    <xf numFmtId="0" fontId="1" fillId="0" borderId="6" xfId="0" applyFont="1" applyFill="1" applyBorder="1" applyAlignment="1" applyProtection="1">
      <alignment horizont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2" fillId="2" borderId="25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shrinkToFit="1"/>
    </xf>
    <xf numFmtId="0" fontId="9" fillId="0" borderId="0" xfId="0" applyFont="1" applyAlignment="1">
      <alignment horizontal="center" vertical="center" wrapText="1" shrinkToFit="1"/>
    </xf>
    <xf numFmtId="0" fontId="14" fillId="8" borderId="25" xfId="0" applyFont="1" applyFill="1" applyBorder="1" applyAlignment="1" applyProtection="1">
      <alignment horizontal="center" vertical="center" wrapText="1" shrinkToFit="1"/>
      <protection locked="0"/>
    </xf>
    <xf numFmtId="0" fontId="2" fillId="2" borderId="25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9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 shrinkToFit="1"/>
    </xf>
    <xf numFmtId="0" fontId="37" fillId="0" borderId="0" xfId="0" applyFont="1" applyAlignment="1">
      <alignment horizontal="center" vertical="center" shrinkToFit="1"/>
    </xf>
    <xf numFmtId="15" fontId="37" fillId="0" borderId="0" xfId="0" applyNumberFormat="1" applyFont="1" applyAlignment="1">
      <alignment horizontal="left" vertical="center"/>
    </xf>
    <xf numFmtId="0" fontId="13" fillId="2" borderId="25" xfId="0" applyFont="1" applyFill="1" applyBorder="1" applyAlignment="1" applyProtection="1">
      <alignment vertical="center" wrapText="1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 wrapText="1"/>
    </xf>
    <xf numFmtId="0" fontId="38" fillId="8" borderId="25" xfId="0" applyFont="1" applyFill="1" applyBorder="1" applyAlignment="1" applyProtection="1">
      <alignment horizontal="center" vertical="center" wrapText="1"/>
    </xf>
    <xf numFmtId="0" fontId="38" fillId="8" borderId="25" xfId="0" applyFont="1" applyFill="1" applyBorder="1" applyAlignment="1" applyProtection="1">
      <alignment horizontal="center" vertical="center" wrapText="1" shrinkToFit="1"/>
      <protection locked="0"/>
    </xf>
    <xf numFmtId="0" fontId="13" fillId="2" borderId="25" xfId="0" applyFont="1" applyFill="1" applyBorder="1" applyAlignment="1" applyProtection="1">
      <alignment horizontal="center" vertical="center" wrapText="1" shrinkToFit="1"/>
    </xf>
    <xf numFmtId="0" fontId="13" fillId="2" borderId="25" xfId="0" applyFont="1" applyFill="1" applyBorder="1" applyAlignment="1" applyProtection="1">
      <alignment horizontal="center" vertical="center" shrinkToFit="1"/>
    </xf>
    <xf numFmtId="0" fontId="13" fillId="2" borderId="23" xfId="0" applyFont="1" applyFill="1" applyBorder="1" applyAlignment="1" applyProtection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 wrapText="1"/>
    </xf>
    <xf numFmtId="0" fontId="37" fillId="0" borderId="0" xfId="0" applyFont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 wrapText="1" shrinkToFit="1"/>
    </xf>
    <xf numFmtId="0" fontId="37" fillId="0" borderId="0" xfId="0" applyFont="1" applyAlignment="1">
      <alignment horizontal="center" shrinkToFit="1"/>
    </xf>
    <xf numFmtId="0" fontId="15" fillId="8" borderId="47" xfId="0" applyFont="1" applyFill="1" applyBorder="1" applyAlignment="1" applyProtection="1">
      <alignment horizontal="center" vertical="center" shrinkToFit="1"/>
      <protection locked="0"/>
    </xf>
    <xf numFmtId="0" fontId="15" fillId="8" borderId="48" xfId="0" applyFont="1" applyFill="1" applyBorder="1" applyAlignment="1" applyProtection="1">
      <alignment horizontal="center" vertical="center" shrinkToFit="1"/>
      <protection locked="0"/>
    </xf>
    <xf numFmtId="0" fontId="15" fillId="8" borderId="49" xfId="0" applyFont="1" applyFill="1" applyBorder="1" applyAlignment="1" applyProtection="1">
      <alignment horizontal="center" vertical="center" shrinkToFit="1"/>
      <protection locked="0"/>
    </xf>
    <xf numFmtId="0" fontId="15" fillId="8" borderId="31" xfId="0" applyFont="1" applyFill="1" applyBorder="1" applyAlignment="1" applyProtection="1">
      <alignment horizontal="center" vertical="center" shrinkToFit="1"/>
      <protection locked="0"/>
    </xf>
    <xf numFmtId="0" fontId="15" fillId="8" borderId="7" xfId="0" applyFont="1" applyFill="1" applyBorder="1" applyAlignment="1" applyProtection="1">
      <alignment horizontal="center" vertical="center" shrinkToFit="1"/>
      <protection locked="0"/>
    </xf>
    <xf numFmtId="0" fontId="15" fillId="8" borderId="39" xfId="0" applyFont="1" applyFill="1" applyBorder="1" applyAlignment="1" applyProtection="1">
      <alignment horizontal="center" vertical="center" shrinkToFit="1"/>
      <protection locked="0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8" fillId="2" borderId="32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41" xfId="0" applyFont="1" applyFill="1" applyBorder="1" applyAlignment="1" applyProtection="1">
      <alignment horizontal="center" vertical="center"/>
      <protection locked="0"/>
    </xf>
    <xf numFmtId="0" fontId="13" fillId="2" borderId="42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21" fillId="2" borderId="8" xfId="0" applyFont="1" applyFill="1" applyBorder="1" applyAlignment="1">
      <alignment horizontal="center" vertical="center" shrinkToFit="1"/>
    </xf>
    <xf numFmtId="0" fontId="21" fillId="2" borderId="19" xfId="0" applyFont="1" applyFill="1" applyBorder="1" applyAlignment="1">
      <alignment horizontal="center" vertical="center" shrinkToFit="1"/>
    </xf>
    <xf numFmtId="0" fontId="10" fillId="2" borderId="3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21" fillId="2" borderId="8" xfId="0" applyFont="1" applyFill="1" applyBorder="1" applyAlignment="1" applyProtection="1">
      <alignment horizontal="center" vertical="center" shrinkToFit="1"/>
      <protection locked="0"/>
    </xf>
    <xf numFmtId="0" fontId="21" fillId="2" borderId="40" xfId="0" applyFont="1" applyFill="1" applyBorder="1" applyAlignment="1" applyProtection="1">
      <alignment horizontal="center" vertical="center" shrinkToFit="1"/>
      <protection locked="0"/>
    </xf>
    <xf numFmtId="0" fontId="21" fillId="2" borderId="19" xfId="0" applyFont="1" applyFill="1" applyBorder="1" applyAlignment="1" applyProtection="1">
      <alignment horizontal="center" vertical="center" shrinkToFit="1"/>
      <protection locked="0"/>
    </xf>
    <xf numFmtId="15" fontId="21" fillId="2" borderId="8" xfId="0" applyNumberFormat="1" applyFont="1" applyFill="1" applyBorder="1" applyAlignment="1">
      <alignment horizontal="center" vertical="center" shrinkToFit="1"/>
    </xf>
    <xf numFmtId="0" fontId="21" fillId="2" borderId="40" xfId="0" applyFont="1" applyFill="1" applyBorder="1" applyAlignment="1">
      <alignment horizontal="center" vertical="center" shrinkToFit="1"/>
    </xf>
    <xf numFmtId="0" fontId="15" fillId="8" borderId="43" xfId="0" applyFont="1" applyFill="1" applyBorder="1" applyAlignment="1">
      <alignment horizontal="center" vertical="center"/>
    </xf>
    <xf numFmtId="0" fontId="15" fillId="8" borderId="2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5" fillId="8" borderId="44" xfId="0" applyFont="1" applyFill="1" applyBorder="1" applyAlignment="1" applyProtection="1">
      <alignment horizontal="center" vertical="center"/>
      <protection locked="0"/>
    </xf>
    <xf numFmtId="0" fontId="15" fillId="8" borderId="0" xfId="0" applyFont="1" applyFill="1" applyBorder="1" applyAlignment="1" applyProtection="1">
      <alignment horizontal="center" vertical="center"/>
      <protection locked="0"/>
    </xf>
    <xf numFmtId="0" fontId="15" fillId="8" borderId="45" xfId="0" applyFont="1" applyFill="1" applyBorder="1" applyAlignment="1" applyProtection="1">
      <alignment horizontal="center" vertical="center"/>
      <protection locked="0"/>
    </xf>
    <xf numFmtId="0" fontId="15" fillId="8" borderId="31" xfId="0" applyFont="1" applyFill="1" applyBorder="1" applyAlignment="1" applyProtection="1">
      <alignment horizontal="center" vertical="center"/>
      <protection locked="0"/>
    </xf>
    <xf numFmtId="0" fontId="15" fillId="8" borderId="7" xfId="0" applyFont="1" applyFill="1" applyBorder="1" applyAlignment="1" applyProtection="1">
      <alignment horizontal="center" vertical="center"/>
      <protection locked="0"/>
    </xf>
    <xf numFmtId="0" fontId="15" fillId="8" borderId="39" xfId="0" applyFont="1" applyFill="1" applyBorder="1" applyAlignment="1" applyProtection="1">
      <alignment horizontal="center" vertical="center"/>
      <protection locked="0"/>
    </xf>
    <xf numFmtId="0" fontId="13" fillId="2" borderId="3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textRotation="90" shrinkToFit="1"/>
    </xf>
    <xf numFmtId="0" fontId="0" fillId="0" borderId="0" xfId="0" applyAlignment="1" applyProtection="1">
      <alignment horizontal="center" textRotation="90" shrinkToFit="1"/>
    </xf>
    <xf numFmtId="164" fontId="9" fillId="9" borderId="8" xfId="0" applyNumberFormat="1" applyFont="1" applyFill="1" applyBorder="1" applyAlignment="1" applyProtection="1">
      <alignment horizontal="center" vertical="center"/>
    </xf>
    <xf numFmtId="164" fontId="9" fillId="9" borderId="40" xfId="0" applyNumberFormat="1" applyFont="1" applyFill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</xf>
    <xf numFmtId="0" fontId="9" fillId="0" borderId="56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164" fontId="14" fillId="10" borderId="53" xfId="0" applyNumberFormat="1" applyFont="1" applyFill="1" applyBorder="1" applyAlignment="1" applyProtection="1">
      <alignment horizontal="center" vertical="center" shrinkToFit="1"/>
      <protection locked="0"/>
    </xf>
    <xf numFmtId="164" fontId="14" fillId="10" borderId="55" xfId="0" applyNumberFormat="1" applyFont="1" applyFill="1" applyBorder="1" applyAlignment="1" applyProtection="1">
      <alignment horizontal="center" vertical="center" shrinkToFit="1"/>
      <protection locked="0"/>
    </xf>
    <xf numFmtId="0" fontId="10" fillId="6" borderId="21" xfId="0" applyFont="1" applyFill="1" applyBorder="1" applyAlignment="1" applyProtection="1">
      <alignment horizontal="center" vertical="center" shrinkToFit="1"/>
    </xf>
    <xf numFmtId="0" fontId="10" fillId="6" borderId="56" xfId="0" applyFont="1" applyFill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10" fillId="6" borderId="25" xfId="0" applyFont="1" applyFill="1" applyBorder="1" applyAlignment="1" applyProtection="1">
      <alignment horizontal="center" vertical="center" shrinkToFit="1"/>
    </xf>
    <xf numFmtId="0" fontId="2" fillId="0" borderId="57" xfId="0" applyFont="1" applyFill="1" applyBorder="1" applyAlignment="1">
      <alignment horizontal="center" wrapText="1"/>
    </xf>
    <xf numFmtId="0" fontId="2" fillId="0" borderId="58" xfId="0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textRotation="90" wrapText="1"/>
    </xf>
    <xf numFmtId="0" fontId="6" fillId="0" borderId="8" xfId="0" applyFont="1" applyBorder="1" applyAlignment="1" applyProtection="1">
      <alignment horizontal="center" shrinkToFit="1"/>
      <protection locked="0"/>
    </xf>
    <xf numFmtId="0" fontId="6" fillId="0" borderId="40" xfId="0" applyFont="1" applyBorder="1" applyAlignment="1" applyProtection="1">
      <alignment horizontal="center" shrinkToFit="1"/>
      <protection locked="0"/>
    </xf>
    <xf numFmtId="0" fontId="6" fillId="0" borderId="19" xfId="0" applyFont="1" applyBorder="1" applyAlignment="1" applyProtection="1">
      <alignment horizontal="center" shrinkToFit="1"/>
      <protection locked="0"/>
    </xf>
    <xf numFmtId="0" fontId="28" fillId="8" borderId="0" xfId="0" applyFont="1" applyFill="1" applyAlignment="1" applyProtection="1">
      <alignment horizontal="center" vertical="center"/>
      <protection locked="0"/>
    </xf>
    <xf numFmtId="0" fontId="28" fillId="8" borderId="0" xfId="0" applyFont="1" applyFill="1" applyAlignment="1" applyProtection="1">
      <alignment horizontal="center" vertical="center" wrapText="1"/>
      <protection locked="0"/>
    </xf>
    <xf numFmtId="0" fontId="24" fillId="8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left"/>
    </xf>
  </cellXfs>
  <cellStyles count="3">
    <cellStyle name="Hyperlink" xfId="1" builtinId="8"/>
    <cellStyle name="Normal" xfId="0" builtinId="0"/>
    <cellStyle name="Normal_BarLoader" xfId="2"/>
  </cellStyles>
  <dxfs count="66"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81318861788113E-2"/>
          <c:y val="4.819291284154055E-2"/>
          <c:w val="0.8318342712857526"/>
          <c:h val="0.89156888756849961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22"/>
          <c:spPr>
            <a:blipFill dpi="0" rotWithShape="0">
              <a:blip xmlns:r="http://schemas.openxmlformats.org/officeDocument/2006/relationships" r:embed="rId2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83223208"/>
        <c:axId val="583223600"/>
      </c:barChart>
      <c:catAx>
        <c:axId val="583223208"/>
        <c:scaling>
          <c:orientation val="minMax"/>
        </c:scaling>
        <c:delete val="1"/>
        <c:axPos val="l"/>
        <c:majorTickMark val="out"/>
        <c:minorTickMark val="none"/>
        <c:tickLblPos val="none"/>
        <c:crossAx val="583223600"/>
        <c:crosses val="autoZero"/>
        <c:auto val="1"/>
        <c:lblAlgn val="ctr"/>
        <c:lblOffset val="100"/>
        <c:noMultiLvlLbl val="0"/>
      </c:catAx>
      <c:valAx>
        <c:axId val="583223600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583223208"/>
        <c:crosses val="autoZero"/>
        <c:crossBetween val="between"/>
      </c:valAx>
      <c:spPr>
        <a:blipFill dpi="0" rotWithShape="0">
          <a:blip xmlns:r="http://schemas.openxmlformats.org/officeDocument/2006/relationships" r:embed="rId24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27</xdr:row>
      <xdr:rowOff>28575</xdr:rowOff>
    </xdr:from>
    <xdr:to>
      <xdr:col>6</xdr:col>
      <xdr:colOff>476250</xdr:colOff>
      <xdr:row>28</xdr:row>
      <xdr:rowOff>133350</xdr:rowOff>
    </xdr:to>
    <xdr:sp macro="Reset" textlink="">
      <xdr:nvSpPr>
        <xdr:cNvPr id="27747" name="Rectangle 16"/>
        <xdr:cNvSpPr>
          <a:spLocks noChangeArrowheads="1"/>
        </xdr:cNvSpPr>
      </xdr:nvSpPr>
      <xdr:spPr bwMode="auto">
        <a:xfrm>
          <a:off x="723900" y="4686300"/>
          <a:ext cx="207645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57150</xdr:rowOff>
    </xdr:from>
    <xdr:to>
      <xdr:col>2</xdr:col>
      <xdr:colOff>1609725</xdr:colOff>
      <xdr:row>0</xdr:row>
      <xdr:rowOff>409575</xdr:rowOff>
    </xdr:to>
    <xdr:sp macro="[0]!WeighIn" textlink="">
      <xdr:nvSpPr>
        <xdr:cNvPr id="24578" name="Rectangle 2"/>
        <xdr:cNvSpPr>
          <a:spLocks noChangeArrowheads="1"/>
        </xdr:cNvSpPr>
      </xdr:nvSpPr>
      <xdr:spPr bwMode="auto">
        <a:xfrm>
          <a:off x="1152525" y="57150"/>
          <a:ext cx="1543050" cy="3524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Click here to copy Weigh-in data to Lifting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1" textlink="">
      <xdr:nvSpPr>
        <xdr:cNvPr id="57510" name="Rectangle 9"/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2" textlink="">
      <xdr:nvSpPr>
        <xdr:cNvPr id="57511" name="Rectangle 10"/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3" textlink="">
      <xdr:nvSpPr>
        <xdr:cNvPr id="57512" name="Rectangle 11"/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4" textlink="">
      <xdr:nvSpPr>
        <xdr:cNvPr id="57513" name="Rectangle 12"/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295275</xdr:colOff>
      <xdr:row>3</xdr:row>
      <xdr:rowOff>0</xdr:rowOff>
    </xdr:to>
    <xdr:sp macro="[0]!Good" textlink="">
      <xdr:nvSpPr>
        <xdr:cNvPr id="1121" name="Rectangle 97"/>
        <xdr:cNvSpPr>
          <a:spLocks noChangeArrowheads="1"/>
        </xdr:cNvSpPr>
      </xdr:nvSpPr>
      <xdr:spPr bwMode="auto">
        <a:xfrm>
          <a:off x="3095625" y="409575"/>
          <a:ext cx="800100" cy="31432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Good</a:t>
          </a:r>
        </a:p>
      </xdr:txBody>
    </xdr:sp>
    <xdr:clientData/>
  </xdr:twoCellAnchor>
  <xdr:twoCellAnchor>
    <xdr:from>
      <xdr:col>7</xdr:col>
      <xdr:colOff>9525</xdr:colOff>
      <xdr:row>2</xdr:row>
      <xdr:rowOff>314325</xdr:rowOff>
    </xdr:from>
    <xdr:to>
      <xdr:col>8</xdr:col>
      <xdr:colOff>295275</xdr:colOff>
      <xdr:row>3</xdr:row>
      <xdr:rowOff>314325</xdr:rowOff>
    </xdr:to>
    <xdr:sp macro="[0]!NoLift" textlink="">
      <xdr:nvSpPr>
        <xdr:cNvPr id="1122" name="Rectangle 98"/>
        <xdr:cNvSpPr>
          <a:spLocks noChangeArrowheads="1"/>
        </xdr:cNvSpPr>
      </xdr:nvSpPr>
      <xdr:spPr bwMode="auto">
        <a:xfrm>
          <a:off x="3095625" y="714375"/>
          <a:ext cx="800100" cy="323850"/>
        </a:xfrm>
        <a:prstGeom prst="rect">
          <a:avLst/>
        </a:prstGeom>
        <a:solidFill>
          <a:srgbClr val="FF00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sngStrike" baseline="0">
              <a:solidFill>
                <a:srgbClr val="FFFFFF"/>
              </a:solidFill>
              <a:latin typeface="Arial"/>
              <a:cs typeface="Arial"/>
            </a:rPr>
            <a:t>No Lift</a:t>
          </a:r>
        </a:p>
      </xdr:txBody>
    </xdr:sp>
    <xdr:clientData/>
  </xdr:twoCellAnchor>
  <xdr:twoCellAnchor>
    <xdr:from>
      <xdr:col>5</xdr:col>
      <xdr:colOff>19050</xdr:colOff>
      <xdr:row>4</xdr:row>
      <xdr:rowOff>28575</xdr:rowOff>
    </xdr:from>
    <xdr:to>
      <xdr:col>6</xdr:col>
      <xdr:colOff>381000</xdr:colOff>
      <xdr:row>4</xdr:row>
      <xdr:rowOff>247650</xdr:rowOff>
    </xdr:to>
    <xdr:sp macro="[0]!Results" textlink="">
      <xdr:nvSpPr>
        <xdr:cNvPr id="1172" name="Rectangle 148"/>
        <xdr:cNvSpPr>
          <a:spLocks noChangeArrowheads="1"/>
        </xdr:cNvSpPr>
      </xdr:nvSpPr>
      <xdr:spPr bwMode="auto">
        <a:xfrm>
          <a:off x="2295525" y="1076325"/>
          <a:ext cx="762000" cy="219075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PrintSheet </a:t>
          </a:r>
        </a:p>
      </xdr:txBody>
    </xdr:sp>
    <xdr:clientData/>
  </xdr:twoCellAnchor>
  <xdr:twoCellAnchor>
    <xdr:from>
      <xdr:col>5</xdr:col>
      <xdr:colOff>95250</xdr:colOff>
      <xdr:row>5</xdr:row>
      <xdr:rowOff>28575</xdr:rowOff>
    </xdr:from>
    <xdr:to>
      <xdr:col>6</xdr:col>
      <xdr:colOff>304800</xdr:colOff>
      <xdr:row>5</xdr:row>
      <xdr:rowOff>219075</xdr:rowOff>
    </xdr:to>
    <xdr:sp macro="[0]!FullResults" textlink="">
      <xdr:nvSpPr>
        <xdr:cNvPr id="2024" name="Rectangle 182"/>
        <xdr:cNvSpPr>
          <a:spLocks noChangeArrowheads="1"/>
        </xdr:cNvSpPr>
      </xdr:nvSpPr>
      <xdr:spPr bwMode="auto">
        <a:xfrm>
          <a:off x="2371725" y="1343025"/>
          <a:ext cx="609600" cy="190500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28</xdr:col>
      <xdr:colOff>212725</xdr:colOff>
      <xdr:row>6</xdr:row>
      <xdr:rowOff>0</xdr:rowOff>
    </xdr:to>
    <xdr:graphicFrame macro="">
      <xdr:nvGraphicFramePr>
        <xdr:cNvPr id="57518" name="Chart 3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9</xdr:col>
      <xdr:colOff>0</xdr:colOff>
      <xdr:row>5</xdr:row>
      <xdr:rowOff>0</xdr:rowOff>
    </xdr:to>
    <xdr:sp macro="[0]!NextLifter" textlink="">
      <xdr:nvSpPr>
        <xdr:cNvPr id="1653" name="Rectangle 629"/>
        <xdr:cNvSpPr>
          <a:spLocks noChangeArrowheads="1"/>
        </xdr:cNvSpPr>
      </xdr:nvSpPr>
      <xdr:spPr bwMode="auto">
        <a:xfrm>
          <a:off x="3086100" y="1047750"/>
          <a:ext cx="819150" cy="2667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Next Lifter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mailto:joe.marksteiner@ae.ge.com" TargetMode="External"/><Relationship Id="rId1" Type="http://schemas.openxmlformats.org/officeDocument/2006/relationships/hyperlink" Target="mailto:steinmark@aol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F135"/>
  <sheetViews>
    <sheetView tabSelected="1" topLeftCell="B31" zoomScale="75" workbookViewId="0">
      <selection activeCell="P60" sqref="P60"/>
    </sheetView>
  </sheetViews>
  <sheetFormatPr defaultColWidth="9.140625" defaultRowHeight="12.75" x14ac:dyDescent="0.2"/>
  <cols>
    <col min="1" max="1" width="3.42578125" style="7" hidden="1" customWidth="1"/>
    <col min="2" max="2" width="1.85546875" style="7" customWidth="1"/>
    <col min="3" max="3" width="8.5703125" style="8" customWidth="1"/>
    <col min="4" max="4" width="7.85546875" style="8" customWidth="1"/>
    <col min="5" max="5" width="8" style="8" customWidth="1"/>
    <col min="6" max="6" width="8.5703125" style="7" customWidth="1"/>
    <col min="7" max="7" width="7.85546875" style="7" customWidth="1"/>
    <col min="8" max="8" width="8" style="7" customWidth="1"/>
    <col min="9" max="9" width="1.85546875" style="7" customWidth="1"/>
    <col min="10" max="10" width="9.140625" style="8" hidden="1" customWidth="1"/>
    <col min="11" max="11" width="9.140625" style="84"/>
    <col min="12" max="12" width="9.140625" style="7" hidden="1" customWidth="1"/>
    <col min="13" max="13" width="9.140625" style="188"/>
    <col min="14" max="14" width="2" style="7" customWidth="1"/>
    <col min="15" max="15" width="7.140625" style="8" customWidth="1"/>
    <col min="16" max="16" width="23" style="7" customWidth="1"/>
    <col min="17" max="17" width="8.7109375" style="7" customWidth="1"/>
    <col min="18" max="18" width="2" style="7" customWidth="1"/>
    <col min="19" max="19" width="8.7109375" style="7" customWidth="1"/>
    <col min="20" max="20" width="8.5703125" style="7" customWidth="1"/>
    <col min="21" max="16384" width="9.140625" style="7"/>
  </cols>
  <sheetData>
    <row r="1" spans="3:58" ht="13.5" thickBot="1" x14ac:dyDescent="0.25">
      <c r="L1" s="7" t="str">
        <f>IF(K6="BWt (Lb)",CONCATENATE("DATA!F14:F28"),CONCATENATE("DATA!E14:E28"))</f>
        <v>DATA!F14:F28</v>
      </c>
      <c r="BB1" s="7" t="s">
        <v>63</v>
      </c>
      <c r="BC1" s="7" t="s">
        <v>64</v>
      </c>
      <c r="BD1" s="7" t="s">
        <v>65</v>
      </c>
      <c r="BE1" s="7" t="s">
        <v>66</v>
      </c>
      <c r="BF1" s="7" t="s">
        <v>67</v>
      </c>
    </row>
    <row r="2" spans="3:58" ht="28.5" customHeight="1" thickBot="1" x14ac:dyDescent="0.25">
      <c r="C2" s="323" t="s">
        <v>469</v>
      </c>
      <c r="D2" s="324"/>
      <c r="E2" s="324"/>
      <c r="F2" s="324"/>
      <c r="G2" s="324"/>
      <c r="H2" s="325"/>
      <c r="K2" s="326">
        <v>2018</v>
      </c>
      <c r="L2" s="327"/>
      <c r="M2" s="314"/>
      <c r="O2" s="323" t="s">
        <v>63</v>
      </c>
      <c r="P2" s="324"/>
      <c r="Q2" s="325"/>
      <c r="S2" s="313" t="s">
        <v>153</v>
      </c>
      <c r="T2" s="314"/>
    </row>
    <row r="3" spans="3:58" ht="13.5" thickBot="1" x14ac:dyDescent="0.25"/>
    <row r="4" spans="3:58" ht="13.5" customHeight="1" x14ac:dyDescent="0.2">
      <c r="C4" s="286" t="s">
        <v>83</v>
      </c>
      <c r="D4" s="287"/>
      <c r="E4" s="287"/>
      <c r="F4" s="287"/>
      <c r="G4" s="288"/>
      <c r="H4" s="328" t="s">
        <v>207</v>
      </c>
      <c r="K4" s="300" t="s">
        <v>128</v>
      </c>
      <c r="L4" s="301"/>
      <c r="M4" s="302"/>
      <c r="O4" s="286" t="s">
        <v>130</v>
      </c>
      <c r="P4" s="287"/>
      <c r="Q4" s="321"/>
      <c r="S4" s="315" t="s">
        <v>79</v>
      </c>
      <c r="T4" s="317" t="s">
        <v>154</v>
      </c>
    </row>
    <row r="5" spans="3:58" ht="13.5" customHeight="1" x14ac:dyDescent="0.2">
      <c r="C5" s="289"/>
      <c r="D5" s="290"/>
      <c r="E5" s="290"/>
      <c r="F5" s="290"/>
      <c r="G5" s="291"/>
      <c r="H5" s="329"/>
      <c r="K5" s="339"/>
      <c r="L5" s="340"/>
      <c r="M5" s="341"/>
      <c r="O5" s="289"/>
      <c r="P5" s="290"/>
      <c r="Q5" s="322"/>
      <c r="S5" s="316"/>
      <c r="T5" s="318"/>
    </row>
    <row r="6" spans="3:58" ht="13.5" customHeight="1" x14ac:dyDescent="0.2">
      <c r="C6" s="284" t="s">
        <v>62</v>
      </c>
      <c r="D6" s="285"/>
      <c r="E6" s="285"/>
      <c r="F6" s="285" t="s">
        <v>77</v>
      </c>
      <c r="G6" s="285"/>
      <c r="H6" s="330"/>
      <c r="K6" s="333" t="s">
        <v>208</v>
      </c>
      <c r="L6" s="334"/>
      <c r="M6" s="335"/>
      <c r="O6" s="89" t="s">
        <v>131</v>
      </c>
      <c r="P6" s="81" t="s">
        <v>132</v>
      </c>
      <c r="Q6" s="90" t="s">
        <v>133</v>
      </c>
      <c r="S6" s="86">
        <v>1</v>
      </c>
      <c r="T6" s="140">
        <v>7</v>
      </c>
    </row>
    <row r="7" spans="3:58" x14ac:dyDescent="0.2">
      <c r="C7" s="74" t="str">
        <f>TRIM(Lifting!B3)</f>
        <v>Deadlift 3</v>
      </c>
      <c r="D7" s="6">
        <f ca="1">ABS(Lifting!D3)</f>
        <v>0</v>
      </c>
      <c r="E7" s="6"/>
      <c r="F7" s="6"/>
      <c r="G7" s="6">
        <f ca="1">ABS(Lifting!D3)</f>
        <v>0</v>
      </c>
      <c r="H7" s="10"/>
      <c r="I7" s="8"/>
      <c r="K7" s="336"/>
      <c r="L7" s="337"/>
      <c r="M7" s="338"/>
      <c r="O7" s="13" t="s">
        <v>218</v>
      </c>
      <c r="P7" s="142" t="s">
        <v>275</v>
      </c>
      <c r="Q7" s="140">
        <v>1</v>
      </c>
      <c r="S7" s="86">
        <v>2</v>
      </c>
      <c r="T7" s="140">
        <v>5</v>
      </c>
    </row>
    <row r="8" spans="3:58" ht="12.75" customHeight="1" x14ac:dyDescent="0.2">
      <c r="C8" s="9" t="s">
        <v>4</v>
      </c>
      <c r="D8" s="6" t="s">
        <v>43</v>
      </c>
      <c r="E8" s="6" t="s">
        <v>5</v>
      </c>
      <c r="F8" s="6" t="s">
        <v>4</v>
      </c>
      <c r="G8" s="6" t="s">
        <v>44</v>
      </c>
      <c r="H8" s="10" t="s">
        <v>5</v>
      </c>
      <c r="J8" s="8" t="s">
        <v>129</v>
      </c>
      <c r="K8" s="187" t="s">
        <v>9</v>
      </c>
      <c r="L8" s="85"/>
      <c r="M8" s="189" t="s">
        <v>10</v>
      </c>
      <c r="O8" s="13" t="s">
        <v>219</v>
      </c>
      <c r="P8" s="142" t="s">
        <v>276</v>
      </c>
      <c r="Q8" s="140">
        <v>1</v>
      </c>
      <c r="S8" s="86">
        <v>3</v>
      </c>
      <c r="T8" s="140">
        <v>3</v>
      </c>
    </row>
    <row r="9" spans="3:58" ht="12.75" customHeight="1" x14ac:dyDescent="0.2">
      <c r="C9" s="9" t="s">
        <v>6</v>
      </c>
      <c r="D9" s="6" t="s">
        <v>7</v>
      </c>
      <c r="E9" s="6" t="s">
        <v>8</v>
      </c>
      <c r="F9" s="6" t="s">
        <v>6</v>
      </c>
      <c r="G9" s="6" t="s">
        <v>7</v>
      </c>
      <c r="H9" s="10" t="s">
        <v>8</v>
      </c>
      <c r="I9" s="8"/>
      <c r="J9" s="191">
        <v>10</v>
      </c>
      <c r="K9" s="192">
        <v>114</v>
      </c>
      <c r="L9" s="191">
        <v>10</v>
      </c>
      <c r="M9" s="194">
        <v>97</v>
      </c>
      <c r="O9" s="13" t="s">
        <v>220</v>
      </c>
      <c r="P9" s="142" t="s">
        <v>277</v>
      </c>
      <c r="Q9" s="140">
        <v>1</v>
      </c>
      <c r="S9" s="86">
        <v>4</v>
      </c>
      <c r="T9" s="140">
        <v>2</v>
      </c>
    </row>
    <row r="10" spans="3:58" x14ac:dyDescent="0.2">
      <c r="C10" s="13">
        <v>0</v>
      </c>
      <c r="D10" s="6">
        <v>110</v>
      </c>
      <c r="E10" s="6">
        <f ca="1">IF(OR(D7=0,H4="Kg"),0,MIN(INT((D7-IF(LEFT($C$7,1)="S",$D$22,$D$23))/(2*D10)),C10/2))</f>
        <v>0</v>
      </c>
      <c r="F10" s="70">
        <v>2</v>
      </c>
      <c r="G10" s="6">
        <v>50</v>
      </c>
      <c r="H10" s="10">
        <f ca="1">IF(OR(G7=0,H4="Lb"),0,MIN(INT((G7-IF(LEFT($C$7,1)="S",$G$22,$G$23))/(2*G10)),F10/2))</f>
        <v>0</v>
      </c>
      <c r="I10" s="8"/>
      <c r="J10" s="191">
        <f>IF(K9="SHW",1000,IF(K10="",J9+1,IF(ISERROR(VLOOKUP(K9,DATA!$F$32:$G$59,2,FALSE)),K9,VLOOKUP(K9,DATA!$F$32:$G$59,2,FALSE))+0.0001))</f>
        <v>114.63930000000001</v>
      </c>
      <c r="K10" s="192">
        <v>123</v>
      </c>
      <c r="L10" s="191">
        <f>IF(M9="SHW",1000,IF(M10="",L9+1,IF(ISERROR(VLOOKUP(M9,DATA!$F$32:$G$59,2,FALSE)),M9,VLOOKUP(M9,DATA!$F$32:$G$59,2,FALSE))+0.0001))</f>
        <v>97.002500000000012</v>
      </c>
      <c r="M10" s="194">
        <v>105</v>
      </c>
      <c r="O10" s="13" t="s">
        <v>221</v>
      </c>
      <c r="P10" s="142" t="s">
        <v>278</v>
      </c>
      <c r="Q10" s="140">
        <v>1</v>
      </c>
      <c r="S10" s="86">
        <v>5</v>
      </c>
      <c r="T10" s="140">
        <v>1</v>
      </c>
    </row>
    <row r="11" spans="3:58" x14ac:dyDescent="0.2">
      <c r="C11" s="13">
        <v>2</v>
      </c>
      <c r="D11" s="6">
        <v>100</v>
      </c>
      <c r="E11" s="6">
        <f ca="1">IF(OR(D7=0,H4="Kg"),0,MIN(INT((D7-IF(LEFT($C$7,1)="S",$D$22,$D$23)-2*E10*D10)/(2*D11)),C11/2))</f>
        <v>0</v>
      </c>
      <c r="F11" s="70">
        <v>0</v>
      </c>
      <c r="G11" s="6">
        <v>45</v>
      </c>
      <c r="H11" s="10">
        <f ca="1">IF(OR(G7=0,H4="Lb"),0,MIN(INT((G7-IF(LEFT($C$7,1)="S",$G$22,$G$23)-2*H10*G10)/(2*G11)),F11/2))</f>
        <v>0</v>
      </c>
      <c r="I11" s="8"/>
      <c r="J11" s="191">
        <f>IF(K10="SHW",1000,IF(K11="",J10+1,IF(ISERROR(VLOOKUP(K10,DATA!$F$32:$G$59,2,FALSE)),K10,VLOOKUP(K10,DATA!$F$32:$G$59,2,FALSE))+0.001))</f>
        <v>123.45860000000002</v>
      </c>
      <c r="K11" s="192">
        <v>132</v>
      </c>
      <c r="L11" s="191">
        <f>IF(M10="SHW",1000,IF(M11="",L10+1,IF(ISERROR(VLOOKUP(M10,DATA!$F$32:$G$59,2,FALSE)),M10,VLOOKUP(M10,DATA!$F$32:$G$59,2,FALSE))+0.001))</f>
        <v>105.82180000000001</v>
      </c>
      <c r="M11" s="194">
        <v>114</v>
      </c>
      <c r="O11" s="13" t="s">
        <v>222</v>
      </c>
      <c r="P11" s="142" t="s">
        <v>279</v>
      </c>
      <c r="Q11" s="140">
        <v>1</v>
      </c>
      <c r="S11" s="86"/>
      <c r="T11" s="140">
        <v>0</v>
      </c>
    </row>
    <row r="12" spans="3:58" x14ac:dyDescent="0.2">
      <c r="C12" s="13">
        <v>0</v>
      </c>
      <c r="D12" s="6">
        <v>50</v>
      </c>
      <c r="E12" s="6">
        <f ca="1">IF(OR(D7=0,H4="Kg"),0,MIN(INT((D7-IF(LEFT($C$7,1)="S",$D$22,$D$23)-2*E10*D10-2*E11*D11)/(2*D12)),C12/2))</f>
        <v>0</v>
      </c>
      <c r="F12" s="70">
        <v>10</v>
      </c>
      <c r="G12" s="6">
        <v>25</v>
      </c>
      <c r="H12" s="10">
        <f ca="1">IF(OR(G7=0,H4="Lb"),0,MIN(INT((G7-IF(LEFT($C$7,1)="S",$G$22,$G$23)-2*H10*G10-2*H11*G11)/(2*G12)),F12/2))</f>
        <v>0</v>
      </c>
      <c r="I12" s="8"/>
      <c r="J12" s="191">
        <f>IF(K11="SHW",1000,IF(K12="",J11+1,IF(ISERROR(VLOOKUP(K11,DATA!$F$32:$G$59,2,FALSE)),K11,VLOOKUP(K11,DATA!$F$32:$G$59,2,FALSE))+0.001))</f>
        <v>132.27700000000002</v>
      </c>
      <c r="K12" s="192">
        <v>148</v>
      </c>
      <c r="L12" s="191">
        <f>IF(M11="SHW",1000,IF(M12="",L11+1,IF(ISERROR(VLOOKUP(M11,DATA!$F$32:$G$59,2,FALSE)),M11,VLOOKUP(M11,DATA!$F$32:$G$59,2,FALSE))+0.001))</f>
        <v>114.64020000000001</v>
      </c>
      <c r="M12" s="194">
        <v>123</v>
      </c>
      <c r="O12" s="13" t="s">
        <v>223</v>
      </c>
      <c r="P12" s="142" t="s">
        <v>280</v>
      </c>
      <c r="Q12" s="140">
        <v>1</v>
      </c>
      <c r="S12" s="86"/>
      <c r="T12" s="140">
        <v>0</v>
      </c>
    </row>
    <row r="13" spans="3:58" x14ac:dyDescent="0.2">
      <c r="C13" s="13">
        <v>6</v>
      </c>
      <c r="D13" s="6">
        <v>45</v>
      </c>
      <c r="E13" s="6">
        <f ca="1">IF(OR(D7=0,H4="Kg"),0,MIN(INT((D7-IF(LEFT($C$7,1)="S",$D$22,$D$23)-2*E10*D10-2*E11*D11-2*E12*D12)/(2*D13)),C13/2))</f>
        <v>0</v>
      </c>
      <c r="F13" s="70">
        <v>2</v>
      </c>
      <c r="G13" s="6">
        <v>20</v>
      </c>
      <c r="H13" s="10">
        <f ca="1">IF(OR(G7=0,H4="Lb"),0,MIN(INT((G7-IF(LEFT($C$7,1)="S",$G$22,$G$23)-2*H10*G10-2*H11*G11-2*H12*G12)/(2*G13)),F13/2))</f>
        <v>0</v>
      </c>
      <c r="I13" s="8"/>
      <c r="J13" s="191">
        <f>IF(K12="SHW",1000,IF(K13="",J12+1,IF(ISERROR(VLOOKUP(K12,DATA!$F$32:$G$59,2,FALSE)),K12,VLOOKUP(K12,DATA!$F$32:$G$59,2,FALSE))+0.001))</f>
        <v>148.81150000000002</v>
      </c>
      <c r="K13" s="192">
        <v>165</v>
      </c>
      <c r="L13" s="191">
        <f>IF(M12="SHW",1000,IF(M13="",L12+1,IF(ISERROR(VLOOKUP(M12,DATA!$F$32:$G$59,2,FALSE)),M12,VLOOKUP(M12,DATA!$F$32:$G$59,2,FALSE))+0.001))</f>
        <v>123.45860000000002</v>
      </c>
      <c r="M13" s="194">
        <v>132</v>
      </c>
      <c r="O13" s="13" t="s">
        <v>224</v>
      </c>
      <c r="P13" s="142" t="s">
        <v>281</v>
      </c>
      <c r="Q13" s="140">
        <v>1</v>
      </c>
      <c r="S13" s="86"/>
      <c r="T13" s="140">
        <v>0</v>
      </c>
    </row>
    <row r="14" spans="3:58" x14ac:dyDescent="0.2">
      <c r="C14" s="13">
        <v>4</v>
      </c>
      <c r="D14" s="6">
        <v>35</v>
      </c>
      <c r="E14" s="6">
        <f ca="1">IF(OR(D7=0,H4="Kg"),0,MIN(INT((D7-IF(LEFT($C$7,1)="S",$D$22,$D$23)-2*E10*D10-2*E11*D11-2*E12*D12-2*E13*D13)/(2*D14)),C14/2))</f>
        <v>0</v>
      </c>
      <c r="F14" s="70">
        <v>2</v>
      </c>
      <c r="G14" s="6">
        <v>15</v>
      </c>
      <c r="H14" s="10">
        <f ca="1">IF(OR(G7=0,H4="Lb"),0,MIN(INT((G7-IF(LEFT($C$7,1)="S",$G$22,$G$23)-2*H10*G10-2*H11*G11-2*H12*G12-2*H13*G13)/(2*G14)),F14/2))</f>
        <v>0</v>
      </c>
      <c r="I14" s="8"/>
      <c r="J14" s="191">
        <f>IF(K13="SHW",1000,IF(K14="",J13+1,IF(ISERROR(VLOOKUP(K13,DATA!$F$32:$G$59,2,FALSE)),K13,VLOOKUP(K13,DATA!$F$32:$G$59,2,FALSE))+0.001))</f>
        <v>165.346</v>
      </c>
      <c r="K14" s="192">
        <v>181</v>
      </c>
      <c r="L14" s="191">
        <f>IF(M13="SHW",1000,IF(M14="",L13+1,IF(ISERROR(VLOOKUP(M13,DATA!$F$32:$G$59,2,FALSE)),M13,VLOOKUP(M13,DATA!$F$32:$G$59,2,FALSE))+0.001))</f>
        <v>132.27700000000002</v>
      </c>
      <c r="M14" s="194">
        <v>148</v>
      </c>
      <c r="O14" s="13" t="s">
        <v>225</v>
      </c>
      <c r="P14" s="142" t="s">
        <v>282</v>
      </c>
      <c r="Q14" s="140">
        <v>1</v>
      </c>
      <c r="S14" s="86"/>
      <c r="T14" s="140">
        <v>0</v>
      </c>
    </row>
    <row r="15" spans="3:58" ht="13.5" thickBot="1" x14ac:dyDescent="0.25">
      <c r="C15" s="13">
        <v>2</v>
      </c>
      <c r="D15" s="6">
        <v>25</v>
      </c>
      <c r="E15" s="6">
        <f ca="1">IF(OR(D7=0,H4="Kg"),0,MIN(INT((D7-IF(LEFT($C$7,1)="S",$D$22,$D$23)-2*E10*D10-2*E11*D11-2*E12*D12-2*E13*D13-2*E14*D14)/(2*D15)),C15/2))</f>
        <v>0</v>
      </c>
      <c r="F15" s="70">
        <v>2</v>
      </c>
      <c r="G15" s="6">
        <v>10</v>
      </c>
      <c r="H15" s="10">
        <f ca="1">IF(OR(G7=0,H4="Lb"),0,MIN(INT((G7-IF(LEFT($C$7,1)="S",$G$22,$G$23)-2*H10*G10-2*H11*G11-2*H12*G12-2*H13*G13-2*H14*G14)/(2*G15)),F15/2))</f>
        <v>0</v>
      </c>
      <c r="I15" s="8"/>
      <c r="J15" s="191">
        <f>IF(K14="SHW",1000,IF(K15="",J14+1,IF(ISERROR(VLOOKUP(K14,DATA!$F$32:$G$59,2,FALSE)),K14,VLOOKUP(K14,DATA!$F$32:$G$59,2,FALSE))+0.001))</f>
        <v>181.88050000000001</v>
      </c>
      <c r="K15" s="192">
        <v>198</v>
      </c>
      <c r="L15" s="191">
        <f>IF(M14="SHW",1000,IF(M15="",L14+1,IF(ISERROR(VLOOKUP(M14,DATA!$F$32:$G$59,2,FALSE)),M14,VLOOKUP(M14,DATA!$F$32:$G$59,2,FALSE))+0.001))</f>
        <v>148.81150000000002</v>
      </c>
      <c r="M15" s="194">
        <v>165</v>
      </c>
      <c r="O15" s="13" t="s">
        <v>226</v>
      </c>
      <c r="P15" s="142" t="s">
        <v>283</v>
      </c>
      <c r="Q15" s="140">
        <v>1</v>
      </c>
      <c r="S15" s="87"/>
      <c r="T15" s="141">
        <v>0</v>
      </c>
    </row>
    <row r="16" spans="3:58" x14ac:dyDescent="0.2">
      <c r="C16" s="13">
        <v>6</v>
      </c>
      <c r="D16" s="6">
        <v>10</v>
      </c>
      <c r="E16" s="6">
        <f ca="1">IF(OR(D7=0,H4="Kg"),0,MIN(INT((D7-IF(LEFT($C$7,1)="S",$D$22,$D$23)-2*E10*D10-2*E11*D11-2*E12*D12-2*E13*D13-2*E14*D14-2*E15*D15)/(2*D16)),C16/2))</f>
        <v>0</v>
      </c>
      <c r="F16" s="70">
        <v>2</v>
      </c>
      <c r="G16" s="6">
        <v>5</v>
      </c>
      <c r="H16" s="10">
        <f ca="1">IF(OR(G7=0,H4="Lb"),0,MIN(INT((G7-IF(LEFT($C$7,1)="S",$G$22,$G$23)-2*H10*G10-2*H11*G11-2*H12*G12-2*H13*G13-2*H14*G14-2*H15*G15)/(2*G16)),F16/2))</f>
        <v>0</v>
      </c>
      <c r="I16" s="8"/>
      <c r="J16" s="191">
        <f>IF(K15="SHW",1000,IF(K16="",J15+1,IF(ISERROR(VLOOKUP(K15,DATA!$F$32:$G$59,2,FALSE)),K15,VLOOKUP(K15,DATA!$F$32:$G$59,2,FALSE))+0.001))</f>
        <v>198.41500000000002</v>
      </c>
      <c r="K16" s="192">
        <v>220</v>
      </c>
      <c r="L16" s="191">
        <f>IF(M15="SHW",1000,IF(M16="",L15+1,IF(ISERROR(VLOOKUP(M15,DATA!$F$32:$G$59,2,FALSE)),M15,VLOOKUP(M15,DATA!$F$32:$G$59,2,FALSE))+0.001))</f>
        <v>165.346</v>
      </c>
      <c r="M16" s="194">
        <v>181</v>
      </c>
      <c r="O16" s="13" t="s">
        <v>227</v>
      </c>
      <c r="P16" s="142" t="s">
        <v>284</v>
      </c>
      <c r="Q16" s="140">
        <v>1</v>
      </c>
    </row>
    <row r="17" spans="3:17" x14ac:dyDescent="0.2">
      <c r="C17" s="13">
        <v>4</v>
      </c>
      <c r="D17" s="6">
        <v>5</v>
      </c>
      <c r="E17" s="6">
        <f ca="1">IF(OR(D7=0,H4="Kg"),0,MIN(INT((D7-IF(LEFT($C$7,1)="S",$D$22,$D$23)-2*E10*D10-2*E11*D11-2*E12*D12-2*E13*D13-2*E14*D14-2*E15*D15-2*E16*D16)/(2*D17)),C17/2))</f>
        <v>0</v>
      </c>
      <c r="F17" s="70">
        <v>2</v>
      </c>
      <c r="G17" s="6">
        <v>2.5</v>
      </c>
      <c r="H17" s="10">
        <f ca="1">IF(OR(G7=0,H4="Lb"),0,MIN(INT((G7-IF(LEFT($C$7,1)="S",$G$22,$G$23)-2*H10*G10-2*H11*G11-2*H12*G12-2*H13*G13-2*H14*G14-2*H15*G15-2*H16*G16)/(2*G17)),F17/2))</f>
        <v>0</v>
      </c>
      <c r="I17" s="8"/>
      <c r="J17" s="191">
        <f>IF(K16="SHW",1000,IF(K17="",J16+1,IF(ISERROR(VLOOKUP(K16,DATA!$F$32:$G$59,2,FALSE)),K16,VLOOKUP(K16,DATA!$F$32:$G$59,2,FALSE))+0.001))</f>
        <v>220.46100000000001</v>
      </c>
      <c r="K17" s="192">
        <v>242</v>
      </c>
      <c r="L17" s="191">
        <f>IF(M16="SHW",1000,IF(M17="",L16+1,IF(ISERROR(VLOOKUP(M16,DATA!$F$32:$G$59,2,FALSE)),M16,VLOOKUP(M16,DATA!$F$32:$G$59,2,FALSE))+0.001))</f>
        <v>181.88050000000001</v>
      </c>
      <c r="M17" s="194">
        <v>198</v>
      </c>
      <c r="O17" s="13" t="s">
        <v>228</v>
      </c>
      <c r="P17" s="142" t="s">
        <v>285</v>
      </c>
      <c r="Q17" s="140">
        <v>1</v>
      </c>
    </row>
    <row r="18" spans="3:17" x14ac:dyDescent="0.2">
      <c r="C18" s="13">
        <v>4</v>
      </c>
      <c r="D18" s="6">
        <v>2.5</v>
      </c>
      <c r="E18" s="6">
        <f ca="1">IF(OR(D7=0,H4="Kg"),0,MIN(INT((D7-IF(LEFT($C$7,1)="S",$D$22,$D$23)-2*E10*D10-2*E11*D11-2*E12*D12-2*E13*D13-2*E14*D14-2*E15*D15-2*E16*D16-2*E17*D17)/(2*D18)),C18/2))</f>
        <v>0</v>
      </c>
      <c r="F18" s="70">
        <v>2</v>
      </c>
      <c r="G18" s="6">
        <v>1.25</v>
      </c>
      <c r="H18" s="10">
        <f ca="1">IF(OR(G7=0,H4="Lb"),0,INT((G7-IF(LEFT($C$7,1)="S",$G$22,$G$23)-2*H10*G10-2*H11*G11-2*H12*G12-2*H13*G13-2*H14*G14-2*H15*G15-2*H16*G16-2*H17*G17)/(2*G18)))</f>
        <v>0</v>
      </c>
      <c r="I18" s="8"/>
      <c r="J18" s="191">
        <f>IF(K17="SHW",1000,IF(K18="",J17+1,IF(ISERROR(VLOOKUP(K17,DATA!$F$32:$G$59,2,FALSE)),K17,VLOOKUP(K17,DATA!$F$32:$G$59,2,FALSE))+0.001))</f>
        <v>242.50700000000001</v>
      </c>
      <c r="K18" s="192">
        <v>275</v>
      </c>
      <c r="L18" s="191">
        <f>IF(M17="SHW",1000,IF(M18="",L17+1,IF(ISERROR(VLOOKUP(M17,DATA!$F$32:$G$59,2,FALSE)),M17,VLOOKUP(M17,DATA!$F$32:$G$59,2,FALSE))+0.001))</f>
        <v>198.41500000000002</v>
      </c>
      <c r="M18" s="194" t="s">
        <v>125</v>
      </c>
      <c r="O18" s="13" t="s">
        <v>229</v>
      </c>
      <c r="P18" s="142" t="s">
        <v>286</v>
      </c>
      <c r="Q18" s="140">
        <v>1</v>
      </c>
    </row>
    <row r="19" spans="3:17" x14ac:dyDescent="0.2">
      <c r="C19" s="13">
        <v>0</v>
      </c>
      <c r="D19" s="6">
        <v>1</v>
      </c>
      <c r="E19" s="6">
        <f ca="1">IF(OR(D7=0,H4="Kg"),0,MIN(INT((D7-IF(LEFT($C$7,1)="S",$D$22,$D$23)-2*E10*D10-2*E11*D11-2*E12*D12-2*E13*D13-2*E14*D14-2*E15*D15-2*E16*D16-2*E17*D17-2*E18*D18)/(2*D19)),C19/2))</f>
        <v>0</v>
      </c>
      <c r="F19" s="70">
        <v>0</v>
      </c>
      <c r="G19" s="6">
        <v>0.5</v>
      </c>
      <c r="H19" s="10">
        <f ca="1">IF(OR(G7=0,H4="Lb"),0,INT((G7-IF(LEFT($C$7,1)="S",$G$22,$G$23)-2*H10*G10-2*H11*G11-2*H12*G12-2*H13*G13-2*H14*G14-2*H15*G15-2*H16*G16-2*H17*G17-2*H18*G18)/(2*G19)))</f>
        <v>0</v>
      </c>
      <c r="I19" s="8"/>
      <c r="J19" s="191">
        <f>IF(K18="SHW",1000,IF(K19="",J18+1,IF(ISERROR(VLOOKUP(K18,DATA!$F$32:$G$59,2,FALSE)),K18,VLOOKUP(K18,DATA!$F$32:$G$59,2,FALSE))+0.001))</f>
        <v>275.57599999999996</v>
      </c>
      <c r="K19" s="192">
        <v>308</v>
      </c>
      <c r="L19" s="191">
        <f>IF(M18="SHW",1000,IF(M19="",L18+1,IF(ISERROR(VLOOKUP(M18,DATA!$F$32:$G$59,2,FALSE)),M18,VLOOKUP(M18,DATA!$F$32:$G$59,2,FALSE))+0.001))</f>
        <v>1000</v>
      </c>
      <c r="M19" s="194"/>
      <c r="O19" s="13" t="s">
        <v>230</v>
      </c>
      <c r="P19" s="142" t="s">
        <v>287</v>
      </c>
      <c r="Q19" s="140">
        <v>1</v>
      </c>
    </row>
    <row r="20" spans="3:17" x14ac:dyDescent="0.2">
      <c r="C20" s="13">
        <v>0</v>
      </c>
      <c r="D20" s="6">
        <v>0.5</v>
      </c>
      <c r="E20" s="6">
        <f ca="1">IF(OR(D7=0,H4="Kg"),0,MIN(INT((D7-IF(LEFT($C$7,1)="S",$D$22,$D$23)-2*E10*D10-2*E11*D11-2*E12*D12-2*E13*D13-2*E14*D14-2*E15*D15-2*E16*D16-2*E17*D17-2*E18*D18-2*E19*D19)/(2*D20)),C20/2))</f>
        <v>0</v>
      </c>
      <c r="F20" s="70">
        <v>0</v>
      </c>
      <c r="G20" s="6">
        <v>0.25</v>
      </c>
      <c r="H20" s="10">
        <f ca="1">IF(OR(G7=0,H4="Lb"),0,INT((G7-IF(LEFT($C$7,1)="S",$G$22,$G$23)-2*H10*G10-2*H11*G11-2*H12*G12-2*H13*G13-2*H14*G14-2*H15*G15-2*H16*G16-2*H17*G17-2*H18*G18-2*H19*G19)/(2*G20)))</f>
        <v>0</v>
      </c>
      <c r="I20" s="8"/>
      <c r="J20" s="191">
        <f>IF(K19="SHW",1000,IF(K20="",J19+1,IF(ISERROR(VLOOKUP(K19,DATA!$F$32:$G$59,2,FALSE)),K19,VLOOKUP(K19,DATA!$F$32:$G$59,2,FALSE))+0.001))</f>
        <v>308.64499999999998</v>
      </c>
      <c r="K20" s="192" t="s">
        <v>125</v>
      </c>
      <c r="L20" s="191">
        <f>IF(M19="SHW",1000,IF(M20="",L19+1,IF(ISERROR(VLOOKUP(M19,DATA!$F$32:$G$59,2,FALSE)),M19,VLOOKUP(M19,DATA!$F$32:$G$59,2,FALSE))+0.001))</f>
        <v>1001</v>
      </c>
      <c r="M20" s="194"/>
      <c r="O20" s="13" t="s">
        <v>231</v>
      </c>
      <c r="P20" s="142" t="s">
        <v>288</v>
      </c>
      <c r="Q20" s="140">
        <v>1</v>
      </c>
    </row>
    <row r="21" spans="3:17" x14ac:dyDescent="0.2">
      <c r="C21" s="284" t="s">
        <v>82</v>
      </c>
      <c r="D21" s="285"/>
      <c r="E21" s="6">
        <v>1</v>
      </c>
      <c r="F21" s="285" t="s">
        <v>82</v>
      </c>
      <c r="G21" s="285"/>
      <c r="H21" s="10">
        <v>1</v>
      </c>
      <c r="I21" s="8"/>
      <c r="J21" s="191">
        <f>IF(K20="SHW",1000,IF(K21="",J20+1,IF(ISERROR(VLOOKUP(K20,DATA!$F$32:$G$59,2,FALSE)),K20,VLOOKUP(K20,DATA!$F$32:$G$59,2,FALSE))+0.001))</f>
        <v>1000</v>
      </c>
      <c r="K21" s="192"/>
      <c r="L21" s="191">
        <f>IF(M20="SHW",1000,IF(M21="",L20+1,IF(ISERROR(VLOOKUP(M20,DATA!$F$32:$G$59,2,FALSE)),M20,VLOOKUP(M20,DATA!$F$32:$G$59,2,FALSE))+0.001))</f>
        <v>1002</v>
      </c>
      <c r="M21" s="194"/>
      <c r="O21" s="13" t="s">
        <v>232</v>
      </c>
      <c r="P21" s="142" t="s">
        <v>289</v>
      </c>
      <c r="Q21" s="140">
        <v>1</v>
      </c>
    </row>
    <row r="22" spans="3:17" x14ac:dyDescent="0.2">
      <c r="C22" s="9" t="s">
        <v>80</v>
      </c>
      <c r="D22" s="65">
        <v>65</v>
      </c>
      <c r="E22" s="331" t="s">
        <v>62</v>
      </c>
      <c r="F22" s="6" t="s">
        <v>80</v>
      </c>
      <c r="G22" s="72">
        <v>25</v>
      </c>
      <c r="H22" s="319" t="s">
        <v>77</v>
      </c>
      <c r="I22" s="8"/>
      <c r="J22" s="191">
        <f>IF(K21="SHW",1000,IF(K22="",J21+1,IF(ISERROR(VLOOKUP(K21,DATA!$F$32:$G$59,2,FALSE)),K21,VLOOKUP(K21,DATA!$F$32:$G$59,2,FALSE))+0.001))</f>
        <v>1001</v>
      </c>
      <c r="K22" s="192"/>
      <c r="L22" s="191">
        <f>IF(M21="SHW",1000,IF(M22="",L21+1,IF(ISERROR(VLOOKUP(M21,DATA!$F$32:$G$59,2,FALSE)),M21,VLOOKUP(M21,DATA!$F$32:$G$59,2,FALSE))+0.001))</f>
        <v>1003</v>
      </c>
      <c r="M22" s="194"/>
      <c r="O22" s="13" t="s">
        <v>233</v>
      </c>
      <c r="P22" s="142" t="s">
        <v>290</v>
      </c>
      <c r="Q22" s="140">
        <v>1</v>
      </c>
    </row>
    <row r="23" spans="3:17" ht="13.5" thickBot="1" x14ac:dyDescent="0.25">
      <c r="C23" s="11" t="s">
        <v>81</v>
      </c>
      <c r="D23" s="71">
        <v>55</v>
      </c>
      <c r="E23" s="332"/>
      <c r="F23" s="12" t="s">
        <v>81</v>
      </c>
      <c r="G23" s="73">
        <v>20</v>
      </c>
      <c r="H23" s="320"/>
      <c r="I23" s="8"/>
      <c r="J23" s="191">
        <f>IF(K22="SHW",1000,IF(K23="",J22+1,IF(ISERROR(VLOOKUP(K22,DATA!$F$32:$G$59,2,FALSE)),K22,VLOOKUP(K22,DATA!$F$32:$G$59,2,FALSE))+0.001))</f>
        <v>1002</v>
      </c>
      <c r="K23" s="193"/>
      <c r="L23" s="191">
        <f>IF(M22="SHW",1000,IF(M23="",L22+1,IF(ISERROR(VLOOKUP(M22,DATA!$F$32:$G$59,2,FALSE)),M22,VLOOKUP(M22,DATA!$F$32:$G$59,2,FALSE))+0.001))</f>
        <v>1004</v>
      </c>
      <c r="M23" s="195"/>
      <c r="O23" s="13" t="s">
        <v>234</v>
      </c>
      <c r="P23" s="142" t="s">
        <v>291</v>
      </c>
      <c r="Q23" s="140">
        <v>1</v>
      </c>
    </row>
    <row r="24" spans="3:17" ht="13.5" thickBot="1" x14ac:dyDescent="0.25">
      <c r="H24" s="14"/>
      <c r="I24" s="8"/>
      <c r="O24" s="13" t="s">
        <v>235</v>
      </c>
      <c r="P24" s="142" t="s">
        <v>292</v>
      </c>
      <c r="Q24" s="140">
        <v>1</v>
      </c>
    </row>
    <row r="25" spans="3:17" ht="12.75" customHeight="1" x14ac:dyDescent="0.2">
      <c r="D25" s="300" t="s">
        <v>192</v>
      </c>
      <c r="E25" s="301"/>
      <c r="F25" s="302"/>
      <c r="G25" s="306" t="s">
        <v>206</v>
      </c>
      <c r="H25" s="14"/>
      <c r="I25" s="8"/>
      <c r="O25" s="13" t="s">
        <v>236</v>
      </c>
      <c r="P25" s="142" t="s">
        <v>293</v>
      </c>
      <c r="Q25" s="140">
        <v>1</v>
      </c>
    </row>
    <row r="26" spans="3:17" ht="12.75" customHeight="1" thickBot="1" x14ac:dyDescent="0.25">
      <c r="D26" s="303"/>
      <c r="E26" s="304"/>
      <c r="F26" s="305"/>
      <c r="G26" s="307"/>
      <c r="H26" s="14"/>
      <c r="I26" s="8"/>
      <c r="O26" s="13" t="s">
        <v>237</v>
      </c>
      <c r="P26" s="142" t="s">
        <v>294</v>
      </c>
      <c r="Q26" s="140">
        <v>1</v>
      </c>
    </row>
    <row r="27" spans="3:17" ht="13.5" thickBot="1" x14ac:dyDescent="0.25">
      <c r="H27" s="14"/>
      <c r="I27" s="8"/>
      <c r="O27" s="13" t="s">
        <v>238</v>
      </c>
      <c r="P27" s="142" t="s">
        <v>295</v>
      </c>
      <c r="Q27" s="140">
        <v>1</v>
      </c>
    </row>
    <row r="28" spans="3:17" x14ac:dyDescent="0.2">
      <c r="D28" s="269" t="s">
        <v>152</v>
      </c>
      <c r="E28" s="270"/>
      <c r="F28" s="270"/>
      <c r="G28" s="271"/>
      <c r="H28" s="14"/>
      <c r="I28" s="8"/>
      <c r="K28" s="275" t="s">
        <v>159</v>
      </c>
      <c r="L28" s="276"/>
      <c r="M28" s="277"/>
      <c r="O28" s="13" t="s">
        <v>239</v>
      </c>
      <c r="P28" s="142" t="s">
        <v>296</v>
      </c>
      <c r="Q28" s="140">
        <v>1</v>
      </c>
    </row>
    <row r="29" spans="3:17" ht="13.5" thickBot="1" x14ac:dyDescent="0.25">
      <c r="C29" s="88"/>
      <c r="D29" s="272"/>
      <c r="E29" s="273"/>
      <c r="F29" s="273"/>
      <c r="G29" s="274"/>
      <c r="H29" s="14"/>
      <c r="I29" s="8"/>
      <c r="K29" s="278"/>
      <c r="L29" s="279"/>
      <c r="M29" s="280"/>
      <c r="O29" s="13" t="s">
        <v>240</v>
      </c>
      <c r="P29" s="142" t="s">
        <v>297</v>
      </c>
      <c r="Q29" s="140">
        <v>1</v>
      </c>
    </row>
    <row r="30" spans="3:17" x14ac:dyDescent="0.2">
      <c r="H30" s="14"/>
      <c r="I30" s="8"/>
      <c r="K30" s="263" t="s">
        <v>217</v>
      </c>
      <c r="L30" s="264"/>
      <c r="M30" s="265"/>
      <c r="O30" s="13" t="s">
        <v>241</v>
      </c>
      <c r="P30" s="142" t="s">
        <v>298</v>
      </c>
      <c r="Q30" s="140">
        <v>1</v>
      </c>
    </row>
    <row r="31" spans="3:17" x14ac:dyDescent="0.2">
      <c r="K31" s="266"/>
      <c r="L31" s="267"/>
      <c r="M31" s="268"/>
      <c r="O31" s="13" t="s">
        <v>242</v>
      </c>
      <c r="P31" s="142" t="s">
        <v>299</v>
      </c>
      <c r="Q31" s="140">
        <v>1</v>
      </c>
    </row>
    <row r="32" spans="3:17" ht="13.5" thickBot="1" x14ac:dyDescent="0.25">
      <c r="O32" s="13" t="s">
        <v>243</v>
      </c>
      <c r="P32" s="142" t="s">
        <v>300</v>
      </c>
      <c r="Q32" s="140">
        <v>1</v>
      </c>
    </row>
    <row r="33" spans="3:17" x14ac:dyDescent="0.2">
      <c r="C33" s="310" t="s">
        <v>194</v>
      </c>
      <c r="D33" s="311"/>
      <c r="E33" s="311"/>
      <c r="F33" s="311" t="s">
        <v>202</v>
      </c>
      <c r="G33" s="311"/>
      <c r="H33" s="312"/>
      <c r="O33" s="13" t="s">
        <v>244</v>
      </c>
      <c r="P33" s="142" t="s">
        <v>301</v>
      </c>
      <c r="Q33" s="140">
        <v>1</v>
      </c>
    </row>
    <row r="34" spans="3:17" x14ac:dyDescent="0.2">
      <c r="C34" s="284" t="s">
        <v>195</v>
      </c>
      <c r="D34" s="285"/>
      <c r="E34" s="308" t="s">
        <v>196</v>
      </c>
      <c r="F34" s="308"/>
      <c r="G34" s="308"/>
      <c r="H34" s="309"/>
      <c r="O34" s="13" t="s">
        <v>245</v>
      </c>
      <c r="P34" s="142" t="s">
        <v>302</v>
      </c>
      <c r="Q34" s="140">
        <v>1</v>
      </c>
    </row>
    <row r="35" spans="3:17" x14ac:dyDescent="0.2">
      <c r="C35" s="284" t="s">
        <v>197</v>
      </c>
      <c r="D35" s="285"/>
      <c r="E35" s="281" t="s">
        <v>198</v>
      </c>
      <c r="F35" s="282"/>
      <c r="G35" s="282"/>
      <c r="H35" s="283"/>
      <c r="O35" s="13" t="s">
        <v>246</v>
      </c>
      <c r="P35" s="142" t="s">
        <v>303</v>
      </c>
      <c r="Q35" s="140">
        <v>1</v>
      </c>
    </row>
    <row r="36" spans="3:17" ht="13.5" thickBot="1" x14ac:dyDescent="0.25">
      <c r="C36" s="298" t="s">
        <v>199</v>
      </c>
      <c r="D36" s="299"/>
      <c r="E36" s="292" t="s">
        <v>201</v>
      </c>
      <c r="F36" s="293"/>
      <c r="G36" s="293"/>
      <c r="H36" s="294"/>
      <c r="O36" s="13" t="s">
        <v>247</v>
      </c>
      <c r="P36" s="142" t="s">
        <v>304</v>
      </c>
      <c r="Q36" s="140">
        <v>1</v>
      </c>
    </row>
    <row r="37" spans="3:17" ht="13.5" thickBot="1" x14ac:dyDescent="0.25">
      <c r="O37" s="13" t="s">
        <v>248</v>
      </c>
      <c r="P37" s="142" t="s">
        <v>305</v>
      </c>
      <c r="Q37" s="140">
        <v>1</v>
      </c>
    </row>
    <row r="38" spans="3:17" ht="13.5" thickBot="1" x14ac:dyDescent="0.25">
      <c r="C38" s="230"/>
      <c r="D38" s="229"/>
      <c r="E38" s="296" t="s">
        <v>200</v>
      </c>
      <c r="F38" s="297"/>
      <c r="G38" s="228"/>
      <c r="H38" s="228"/>
      <c r="O38" s="13" t="s">
        <v>249</v>
      </c>
      <c r="P38" s="142" t="s">
        <v>306</v>
      </c>
      <c r="Q38" s="140">
        <v>1</v>
      </c>
    </row>
    <row r="39" spans="3:17" x14ac:dyDescent="0.2">
      <c r="C39" s="295" t="s">
        <v>205</v>
      </c>
      <c r="D39" s="295"/>
      <c r="E39" s="295"/>
      <c r="F39" s="295"/>
      <c r="G39" s="295"/>
      <c r="H39" s="295"/>
      <c r="O39" s="13" t="s">
        <v>250</v>
      </c>
      <c r="P39" s="142" t="s">
        <v>307</v>
      </c>
      <c r="Q39" s="140">
        <v>1</v>
      </c>
    </row>
    <row r="40" spans="3:17" x14ac:dyDescent="0.2">
      <c r="O40" s="13" t="s">
        <v>213</v>
      </c>
      <c r="P40" s="142" t="s">
        <v>308</v>
      </c>
      <c r="Q40" s="140">
        <v>1</v>
      </c>
    </row>
    <row r="41" spans="3:17" x14ac:dyDescent="0.2">
      <c r="O41" s="13" t="s">
        <v>214</v>
      </c>
      <c r="P41" s="142" t="s">
        <v>309</v>
      </c>
      <c r="Q41" s="140">
        <v>1</v>
      </c>
    </row>
    <row r="42" spans="3:17" x14ac:dyDescent="0.2">
      <c r="O42" s="13" t="s">
        <v>215</v>
      </c>
      <c r="P42" s="142" t="s">
        <v>310</v>
      </c>
      <c r="Q42" s="140">
        <v>1</v>
      </c>
    </row>
    <row r="43" spans="3:17" x14ac:dyDescent="0.2">
      <c r="O43" s="13" t="s">
        <v>212</v>
      </c>
      <c r="P43" s="142" t="s">
        <v>311</v>
      </c>
      <c r="Q43" s="140">
        <v>1</v>
      </c>
    </row>
    <row r="44" spans="3:17" x14ac:dyDescent="0.2">
      <c r="O44" s="13" t="s">
        <v>251</v>
      </c>
      <c r="P44" s="142" t="s">
        <v>312</v>
      </c>
      <c r="Q44" s="140">
        <v>1</v>
      </c>
    </row>
    <row r="45" spans="3:17" x14ac:dyDescent="0.2">
      <c r="O45" s="13" t="s">
        <v>252</v>
      </c>
      <c r="P45" s="142" t="s">
        <v>313</v>
      </c>
      <c r="Q45" s="140">
        <v>1</v>
      </c>
    </row>
    <row r="46" spans="3:17" x14ac:dyDescent="0.2">
      <c r="O46" s="13" t="s">
        <v>209</v>
      </c>
      <c r="P46" s="142" t="s">
        <v>314</v>
      </c>
      <c r="Q46" s="140">
        <v>1</v>
      </c>
    </row>
    <row r="47" spans="3:17" x14ac:dyDescent="0.2">
      <c r="O47" s="13" t="s">
        <v>210</v>
      </c>
      <c r="P47" s="142" t="s">
        <v>315</v>
      </c>
      <c r="Q47" s="140">
        <v>1</v>
      </c>
    </row>
    <row r="48" spans="3:17" x14ac:dyDescent="0.2">
      <c r="O48" s="13" t="s">
        <v>211</v>
      </c>
      <c r="P48" s="142" t="s">
        <v>316</v>
      </c>
      <c r="Q48" s="140">
        <v>1</v>
      </c>
    </row>
    <row r="49" spans="15:17" x14ac:dyDescent="0.2">
      <c r="O49" s="13" t="s">
        <v>253</v>
      </c>
      <c r="P49" s="142" t="s">
        <v>317</v>
      </c>
      <c r="Q49" s="140">
        <v>1</v>
      </c>
    </row>
    <row r="50" spans="15:17" x14ac:dyDescent="0.2">
      <c r="O50" s="13" t="s">
        <v>254</v>
      </c>
      <c r="P50" s="142" t="s">
        <v>318</v>
      </c>
      <c r="Q50" s="140">
        <v>1</v>
      </c>
    </row>
    <row r="51" spans="15:17" x14ac:dyDescent="0.2">
      <c r="O51" s="13" t="s">
        <v>255</v>
      </c>
      <c r="P51" s="142" t="s">
        <v>319</v>
      </c>
      <c r="Q51" s="140">
        <v>1</v>
      </c>
    </row>
    <row r="52" spans="15:17" x14ac:dyDescent="0.2">
      <c r="O52" s="13" t="s">
        <v>256</v>
      </c>
      <c r="P52" s="142" t="s">
        <v>320</v>
      </c>
      <c r="Q52" s="140">
        <v>1</v>
      </c>
    </row>
    <row r="53" spans="15:17" x14ac:dyDescent="0.2">
      <c r="O53" s="13" t="s">
        <v>257</v>
      </c>
      <c r="P53" s="142" t="s">
        <v>321</v>
      </c>
      <c r="Q53" s="140">
        <v>1</v>
      </c>
    </row>
    <row r="54" spans="15:17" x14ac:dyDescent="0.2">
      <c r="O54" s="13" t="s">
        <v>258</v>
      </c>
      <c r="P54" s="142" t="s">
        <v>322</v>
      </c>
      <c r="Q54" s="140">
        <v>1</v>
      </c>
    </row>
    <row r="55" spans="15:17" x14ac:dyDescent="0.2">
      <c r="O55" s="13" t="s">
        <v>259</v>
      </c>
      <c r="P55" s="142" t="s">
        <v>323</v>
      </c>
      <c r="Q55" s="140">
        <v>1</v>
      </c>
    </row>
    <row r="56" spans="15:17" x14ac:dyDescent="0.2">
      <c r="O56" s="13" t="s">
        <v>260</v>
      </c>
      <c r="P56" s="142" t="s">
        <v>324</v>
      </c>
      <c r="Q56" s="140">
        <v>1</v>
      </c>
    </row>
    <row r="57" spans="15:17" x14ac:dyDescent="0.2">
      <c r="O57" s="13" t="s">
        <v>261</v>
      </c>
      <c r="P57" s="142" t="s">
        <v>325</v>
      </c>
      <c r="Q57" s="140">
        <v>1</v>
      </c>
    </row>
    <row r="58" spans="15:17" x14ac:dyDescent="0.2">
      <c r="O58" s="13" t="s">
        <v>262</v>
      </c>
      <c r="P58" s="142" t="s">
        <v>326</v>
      </c>
      <c r="Q58" s="140">
        <v>1</v>
      </c>
    </row>
    <row r="59" spans="15:17" x14ac:dyDescent="0.2">
      <c r="O59" s="13" t="s">
        <v>263</v>
      </c>
      <c r="P59" s="142" t="s">
        <v>327</v>
      </c>
      <c r="Q59" s="140">
        <v>1</v>
      </c>
    </row>
    <row r="60" spans="15:17" x14ac:dyDescent="0.2">
      <c r="O60" s="13" t="s">
        <v>264</v>
      </c>
      <c r="P60" s="142" t="s">
        <v>328</v>
      </c>
      <c r="Q60" s="140">
        <v>1</v>
      </c>
    </row>
    <row r="61" spans="15:17" x14ac:dyDescent="0.2">
      <c r="O61" s="13" t="s">
        <v>265</v>
      </c>
      <c r="P61" s="142" t="s">
        <v>329</v>
      </c>
      <c r="Q61" s="140">
        <v>1</v>
      </c>
    </row>
    <row r="62" spans="15:17" x14ac:dyDescent="0.2">
      <c r="O62" s="13" t="s">
        <v>266</v>
      </c>
      <c r="P62" s="142" t="s">
        <v>330</v>
      </c>
      <c r="Q62" s="140">
        <v>1</v>
      </c>
    </row>
    <row r="63" spans="15:17" x14ac:dyDescent="0.2">
      <c r="O63" s="13" t="s">
        <v>267</v>
      </c>
      <c r="P63" s="142" t="s">
        <v>331</v>
      </c>
      <c r="Q63" s="140">
        <v>1</v>
      </c>
    </row>
    <row r="64" spans="15:17" x14ac:dyDescent="0.2">
      <c r="O64" s="13" t="s">
        <v>268</v>
      </c>
      <c r="P64" s="142" t="s">
        <v>332</v>
      </c>
      <c r="Q64" s="140">
        <v>1</v>
      </c>
    </row>
    <row r="65" spans="15:17" x14ac:dyDescent="0.2">
      <c r="O65" s="13" t="s">
        <v>269</v>
      </c>
      <c r="P65" s="142" t="s">
        <v>333</v>
      </c>
      <c r="Q65" s="140">
        <v>1</v>
      </c>
    </row>
    <row r="66" spans="15:17" x14ac:dyDescent="0.2">
      <c r="O66" s="13" t="s">
        <v>270</v>
      </c>
      <c r="P66" s="142" t="s">
        <v>334</v>
      </c>
      <c r="Q66" s="140">
        <v>1</v>
      </c>
    </row>
    <row r="67" spans="15:17" x14ac:dyDescent="0.2">
      <c r="O67" s="13" t="s">
        <v>271</v>
      </c>
      <c r="P67" s="142" t="s">
        <v>335</v>
      </c>
      <c r="Q67" s="140">
        <v>1</v>
      </c>
    </row>
    <row r="68" spans="15:17" x14ac:dyDescent="0.2">
      <c r="O68" s="13" t="s">
        <v>272</v>
      </c>
      <c r="P68" s="142" t="s">
        <v>336</v>
      </c>
      <c r="Q68" s="140">
        <v>1</v>
      </c>
    </row>
    <row r="69" spans="15:17" x14ac:dyDescent="0.2">
      <c r="O69" s="13" t="s">
        <v>273</v>
      </c>
      <c r="P69" s="142" t="s">
        <v>337</v>
      </c>
      <c r="Q69" s="140">
        <v>1</v>
      </c>
    </row>
    <row r="70" spans="15:17" x14ac:dyDescent="0.2">
      <c r="O70" s="13" t="s">
        <v>274</v>
      </c>
      <c r="P70" s="142" t="s">
        <v>338</v>
      </c>
      <c r="Q70" s="140">
        <v>1</v>
      </c>
    </row>
    <row r="71" spans="15:17" x14ac:dyDescent="0.2">
      <c r="O71" s="13" t="s">
        <v>343</v>
      </c>
      <c r="P71" s="142" t="s">
        <v>344</v>
      </c>
      <c r="Q71" s="140">
        <v>1</v>
      </c>
    </row>
    <row r="72" spans="15:17" x14ac:dyDescent="0.2">
      <c r="O72" s="13" t="s">
        <v>345</v>
      </c>
      <c r="P72" s="142" t="s">
        <v>346</v>
      </c>
      <c r="Q72" s="140">
        <v>1</v>
      </c>
    </row>
    <row r="73" spans="15:17" x14ac:dyDescent="0.2">
      <c r="O73" s="13" t="s">
        <v>347</v>
      </c>
      <c r="P73" s="142" t="s">
        <v>348</v>
      </c>
      <c r="Q73" s="140">
        <v>1</v>
      </c>
    </row>
    <row r="74" spans="15:17" x14ac:dyDescent="0.2">
      <c r="O74" s="13" t="s">
        <v>349</v>
      </c>
      <c r="P74" s="142" t="s">
        <v>350</v>
      </c>
      <c r="Q74" s="140">
        <v>1</v>
      </c>
    </row>
    <row r="75" spans="15:17" x14ac:dyDescent="0.2">
      <c r="O75" s="13" t="s">
        <v>351</v>
      </c>
      <c r="P75" s="142" t="s">
        <v>352</v>
      </c>
      <c r="Q75" s="140">
        <v>1</v>
      </c>
    </row>
    <row r="76" spans="15:17" x14ac:dyDescent="0.2">
      <c r="O76" s="13" t="s">
        <v>340</v>
      </c>
      <c r="P76" s="142" t="s">
        <v>353</v>
      </c>
      <c r="Q76" s="140">
        <v>1</v>
      </c>
    </row>
    <row r="77" spans="15:17" x14ac:dyDescent="0.2">
      <c r="O77" s="13" t="s">
        <v>354</v>
      </c>
      <c r="P77" s="142" t="s">
        <v>355</v>
      </c>
      <c r="Q77" s="140">
        <v>1</v>
      </c>
    </row>
    <row r="78" spans="15:17" x14ac:dyDescent="0.2">
      <c r="O78" s="13" t="s">
        <v>356</v>
      </c>
      <c r="P78" s="142" t="s">
        <v>357</v>
      </c>
      <c r="Q78" s="140">
        <v>1</v>
      </c>
    </row>
    <row r="79" spans="15:17" x14ac:dyDescent="0.2">
      <c r="O79" s="13" t="s">
        <v>358</v>
      </c>
      <c r="P79" s="142" t="s">
        <v>359</v>
      </c>
      <c r="Q79" s="140">
        <v>1</v>
      </c>
    </row>
    <row r="80" spans="15:17" x14ac:dyDescent="0.2">
      <c r="O80" s="13" t="s">
        <v>360</v>
      </c>
      <c r="P80" s="142" t="s">
        <v>361</v>
      </c>
      <c r="Q80" s="140">
        <v>1</v>
      </c>
    </row>
    <row r="81" spans="15:17" x14ac:dyDescent="0.2">
      <c r="O81" s="13" t="s">
        <v>362</v>
      </c>
      <c r="P81" s="142" t="s">
        <v>363</v>
      </c>
      <c r="Q81" s="140">
        <v>1</v>
      </c>
    </row>
    <row r="82" spans="15:17" x14ac:dyDescent="0.2">
      <c r="O82" s="13" t="s">
        <v>364</v>
      </c>
      <c r="P82" s="142" t="s">
        <v>365</v>
      </c>
      <c r="Q82" s="140">
        <v>1</v>
      </c>
    </row>
    <row r="83" spans="15:17" ht="13.5" thickBot="1" x14ac:dyDescent="0.25">
      <c r="O83" s="13" t="s">
        <v>366</v>
      </c>
      <c r="P83" s="142" t="s">
        <v>367</v>
      </c>
      <c r="Q83" s="141">
        <v>1</v>
      </c>
    </row>
    <row r="84" spans="15:17" x14ac:dyDescent="0.2">
      <c r="O84" s="13" t="s">
        <v>368</v>
      </c>
      <c r="P84" s="142" t="s">
        <v>369</v>
      </c>
      <c r="Q84" s="231">
        <v>1</v>
      </c>
    </row>
    <row r="85" spans="15:17" x14ac:dyDescent="0.2">
      <c r="O85" s="13" t="s">
        <v>370</v>
      </c>
      <c r="P85" s="142" t="s">
        <v>371</v>
      </c>
      <c r="Q85" s="231">
        <v>1</v>
      </c>
    </row>
    <row r="86" spans="15:17" x14ac:dyDescent="0.2">
      <c r="O86" s="13" t="s">
        <v>372</v>
      </c>
      <c r="P86" s="142" t="s">
        <v>373</v>
      </c>
      <c r="Q86" s="231">
        <v>1</v>
      </c>
    </row>
    <row r="87" spans="15:17" x14ac:dyDescent="0.2">
      <c r="O87" s="13" t="s">
        <v>374</v>
      </c>
      <c r="P87" s="142" t="s">
        <v>375</v>
      </c>
      <c r="Q87" s="231">
        <v>1</v>
      </c>
    </row>
    <row r="88" spans="15:17" x14ac:dyDescent="0.2">
      <c r="O88" s="13" t="s">
        <v>376</v>
      </c>
      <c r="P88" s="142" t="s">
        <v>377</v>
      </c>
      <c r="Q88" s="231">
        <v>1</v>
      </c>
    </row>
    <row r="89" spans="15:17" x14ac:dyDescent="0.2">
      <c r="O89" s="13" t="s">
        <v>378</v>
      </c>
      <c r="P89" s="142" t="s">
        <v>379</v>
      </c>
      <c r="Q89" s="231">
        <v>1</v>
      </c>
    </row>
    <row r="90" spans="15:17" x14ac:dyDescent="0.2">
      <c r="O90" s="13" t="s">
        <v>380</v>
      </c>
      <c r="P90" s="142" t="s">
        <v>381</v>
      </c>
      <c r="Q90" s="231">
        <v>1</v>
      </c>
    </row>
    <row r="91" spans="15:17" x14ac:dyDescent="0.2">
      <c r="O91" s="13" t="s">
        <v>382</v>
      </c>
      <c r="P91" s="142" t="s">
        <v>383</v>
      </c>
      <c r="Q91" s="231">
        <v>1</v>
      </c>
    </row>
    <row r="92" spans="15:17" x14ac:dyDescent="0.2">
      <c r="O92" s="13" t="s">
        <v>384</v>
      </c>
      <c r="P92" s="142" t="s">
        <v>385</v>
      </c>
      <c r="Q92" s="231">
        <v>1</v>
      </c>
    </row>
    <row r="93" spans="15:17" x14ac:dyDescent="0.2">
      <c r="O93" s="13" t="s">
        <v>386</v>
      </c>
      <c r="P93" s="142" t="s">
        <v>387</v>
      </c>
      <c r="Q93" s="231">
        <v>1</v>
      </c>
    </row>
    <row r="94" spans="15:17" x14ac:dyDescent="0.2">
      <c r="O94" s="13" t="s">
        <v>388</v>
      </c>
      <c r="P94" s="142" t="s">
        <v>389</v>
      </c>
      <c r="Q94" s="231">
        <v>1</v>
      </c>
    </row>
    <row r="95" spans="15:17" x14ac:dyDescent="0.2">
      <c r="O95" s="13" t="s">
        <v>390</v>
      </c>
      <c r="P95" s="142" t="s">
        <v>391</v>
      </c>
      <c r="Q95" s="231">
        <v>1</v>
      </c>
    </row>
    <row r="96" spans="15:17" x14ac:dyDescent="0.2">
      <c r="O96" s="13" t="s">
        <v>392</v>
      </c>
      <c r="P96" s="142" t="s">
        <v>393</v>
      </c>
      <c r="Q96" s="231">
        <v>1</v>
      </c>
    </row>
    <row r="97" spans="15:17" x14ac:dyDescent="0.2">
      <c r="O97" s="13" t="s">
        <v>394</v>
      </c>
      <c r="P97" s="142" t="s">
        <v>395</v>
      </c>
      <c r="Q97" s="231">
        <v>1</v>
      </c>
    </row>
    <row r="98" spans="15:17" x14ac:dyDescent="0.2">
      <c r="O98" s="13" t="s">
        <v>396</v>
      </c>
      <c r="P98" s="142" t="s">
        <v>397</v>
      </c>
      <c r="Q98" s="231">
        <v>1</v>
      </c>
    </row>
    <row r="99" spans="15:17" x14ac:dyDescent="0.2">
      <c r="O99" s="13" t="s">
        <v>398</v>
      </c>
      <c r="P99" s="142" t="s">
        <v>399</v>
      </c>
      <c r="Q99" s="231">
        <v>1</v>
      </c>
    </row>
    <row r="100" spans="15:17" x14ac:dyDescent="0.2">
      <c r="O100" s="13" t="s">
        <v>400</v>
      </c>
      <c r="P100" s="142" t="s">
        <v>401</v>
      </c>
      <c r="Q100" s="231">
        <v>1</v>
      </c>
    </row>
    <row r="101" spans="15:17" x14ac:dyDescent="0.2">
      <c r="O101" s="13" t="s">
        <v>402</v>
      </c>
      <c r="P101" s="142" t="s">
        <v>403</v>
      </c>
      <c r="Q101" s="231">
        <v>1</v>
      </c>
    </row>
    <row r="102" spans="15:17" x14ac:dyDescent="0.2">
      <c r="O102" s="13" t="s">
        <v>404</v>
      </c>
      <c r="P102" s="142" t="s">
        <v>405</v>
      </c>
      <c r="Q102" s="231">
        <v>1</v>
      </c>
    </row>
    <row r="103" spans="15:17" x14ac:dyDescent="0.2">
      <c r="O103" s="13" t="s">
        <v>406</v>
      </c>
      <c r="P103" s="142" t="s">
        <v>407</v>
      </c>
      <c r="Q103" s="231">
        <v>1</v>
      </c>
    </row>
    <row r="104" spans="15:17" x14ac:dyDescent="0.2">
      <c r="O104" s="13" t="s">
        <v>408</v>
      </c>
      <c r="P104" s="142" t="s">
        <v>409</v>
      </c>
      <c r="Q104" s="231">
        <v>1</v>
      </c>
    </row>
    <row r="105" spans="15:17" x14ac:dyDescent="0.2">
      <c r="O105" s="13" t="s">
        <v>410</v>
      </c>
      <c r="P105" s="142" t="s">
        <v>411</v>
      </c>
      <c r="Q105" s="231">
        <v>1</v>
      </c>
    </row>
    <row r="106" spans="15:17" x14ac:dyDescent="0.2">
      <c r="O106" s="13" t="s">
        <v>412</v>
      </c>
      <c r="P106" s="142" t="s">
        <v>413</v>
      </c>
      <c r="Q106" s="231">
        <v>1</v>
      </c>
    </row>
    <row r="107" spans="15:17" x14ac:dyDescent="0.2">
      <c r="O107" s="13" t="s">
        <v>414</v>
      </c>
      <c r="P107" s="142" t="s">
        <v>415</v>
      </c>
      <c r="Q107" s="231">
        <v>1</v>
      </c>
    </row>
    <row r="108" spans="15:17" x14ac:dyDescent="0.2">
      <c r="O108" s="13" t="s">
        <v>416</v>
      </c>
      <c r="P108" s="142" t="s">
        <v>417</v>
      </c>
      <c r="Q108" s="231">
        <v>1</v>
      </c>
    </row>
    <row r="109" spans="15:17" x14ac:dyDescent="0.2">
      <c r="O109" s="13" t="s">
        <v>418</v>
      </c>
      <c r="P109" s="142" t="s">
        <v>419</v>
      </c>
      <c r="Q109" s="231">
        <v>1</v>
      </c>
    </row>
    <row r="110" spans="15:17" x14ac:dyDescent="0.2">
      <c r="O110" s="13" t="s">
        <v>420</v>
      </c>
      <c r="P110" s="142" t="s">
        <v>421</v>
      </c>
      <c r="Q110" s="231">
        <v>1</v>
      </c>
    </row>
    <row r="111" spans="15:17" x14ac:dyDescent="0.2">
      <c r="O111" s="13" t="s">
        <v>422</v>
      </c>
      <c r="P111" s="142" t="s">
        <v>423</v>
      </c>
      <c r="Q111" s="231">
        <v>1</v>
      </c>
    </row>
    <row r="112" spans="15:17" x14ac:dyDescent="0.2">
      <c r="O112" s="13" t="s">
        <v>424</v>
      </c>
      <c r="P112" s="142" t="s">
        <v>425</v>
      </c>
      <c r="Q112" s="231">
        <v>1</v>
      </c>
    </row>
    <row r="113" spans="15:17" x14ac:dyDescent="0.2">
      <c r="O113" s="13" t="s">
        <v>426</v>
      </c>
      <c r="P113" s="142" t="s">
        <v>427</v>
      </c>
      <c r="Q113" s="231">
        <v>1</v>
      </c>
    </row>
    <row r="114" spans="15:17" x14ac:dyDescent="0.2">
      <c r="O114" s="13" t="s">
        <v>428</v>
      </c>
      <c r="P114" s="142" t="s">
        <v>429</v>
      </c>
      <c r="Q114" s="231">
        <v>1</v>
      </c>
    </row>
    <row r="115" spans="15:17" x14ac:dyDescent="0.2">
      <c r="O115" s="13" t="s">
        <v>430</v>
      </c>
      <c r="P115" s="142" t="s">
        <v>431</v>
      </c>
      <c r="Q115" s="231">
        <v>1</v>
      </c>
    </row>
    <row r="116" spans="15:17" x14ac:dyDescent="0.2">
      <c r="O116" s="13" t="s">
        <v>432</v>
      </c>
      <c r="P116" s="142" t="s">
        <v>433</v>
      </c>
      <c r="Q116" s="231">
        <v>1</v>
      </c>
    </row>
    <row r="117" spans="15:17" x14ac:dyDescent="0.2">
      <c r="O117" s="13" t="s">
        <v>434</v>
      </c>
      <c r="P117" s="142" t="s">
        <v>435</v>
      </c>
      <c r="Q117" s="231">
        <v>1</v>
      </c>
    </row>
    <row r="118" spans="15:17" x14ac:dyDescent="0.2">
      <c r="O118" s="13" t="s">
        <v>436</v>
      </c>
      <c r="P118" s="142" t="s">
        <v>437</v>
      </c>
      <c r="Q118" s="231">
        <v>1</v>
      </c>
    </row>
    <row r="119" spans="15:17" x14ac:dyDescent="0.2">
      <c r="O119" s="13" t="s">
        <v>438</v>
      </c>
      <c r="P119" s="142" t="s">
        <v>439</v>
      </c>
      <c r="Q119" s="231">
        <v>1</v>
      </c>
    </row>
    <row r="120" spans="15:17" x14ac:dyDescent="0.2">
      <c r="O120" s="13" t="s">
        <v>440</v>
      </c>
      <c r="P120" s="142" t="s">
        <v>441</v>
      </c>
      <c r="Q120" s="231">
        <v>1</v>
      </c>
    </row>
    <row r="121" spans="15:17" x14ac:dyDescent="0.2">
      <c r="O121" s="13" t="s">
        <v>442</v>
      </c>
      <c r="P121" s="142" t="s">
        <v>443</v>
      </c>
      <c r="Q121" s="231">
        <v>1</v>
      </c>
    </row>
    <row r="122" spans="15:17" x14ac:dyDescent="0.2">
      <c r="O122" s="13" t="s">
        <v>342</v>
      </c>
      <c r="P122" s="142" t="s">
        <v>444</v>
      </c>
      <c r="Q122" s="231">
        <v>1</v>
      </c>
    </row>
    <row r="123" spans="15:17" x14ac:dyDescent="0.2">
      <c r="O123" s="13" t="s">
        <v>445</v>
      </c>
      <c r="P123" s="142" t="s">
        <v>446</v>
      </c>
      <c r="Q123" s="231">
        <v>1</v>
      </c>
    </row>
    <row r="124" spans="15:17" x14ac:dyDescent="0.2">
      <c r="O124" s="13" t="s">
        <v>341</v>
      </c>
      <c r="P124" s="142" t="s">
        <v>447</v>
      </c>
      <c r="Q124" s="231">
        <v>1</v>
      </c>
    </row>
    <row r="125" spans="15:17" x14ac:dyDescent="0.2">
      <c r="O125" s="13" t="s">
        <v>448</v>
      </c>
      <c r="P125" s="142" t="s">
        <v>449</v>
      </c>
      <c r="Q125" s="231">
        <v>1</v>
      </c>
    </row>
    <row r="126" spans="15:17" x14ac:dyDescent="0.2">
      <c r="O126" s="13" t="s">
        <v>450</v>
      </c>
      <c r="P126" s="142" t="s">
        <v>451</v>
      </c>
      <c r="Q126" s="231">
        <v>1</v>
      </c>
    </row>
    <row r="127" spans="15:17" x14ac:dyDescent="0.2">
      <c r="O127" s="13" t="s">
        <v>452</v>
      </c>
      <c r="P127" s="142" t="s">
        <v>453</v>
      </c>
      <c r="Q127" s="231">
        <v>1</v>
      </c>
    </row>
    <row r="128" spans="15:17" x14ac:dyDescent="0.2">
      <c r="O128" s="13" t="s">
        <v>454</v>
      </c>
      <c r="P128" s="142" t="s">
        <v>455</v>
      </c>
      <c r="Q128" s="231">
        <v>1</v>
      </c>
    </row>
    <row r="129" spans="15:17" x14ac:dyDescent="0.2">
      <c r="O129" s="13" t="s">
        <v>456</v>
      </c>
      <c r="P129" s="142" t="s">
        <v>457</v>
      </c>
      <c r="Q129" s="231">
        <v>1</v>
      </c>
    </row>
    <row r="130" spans="15:17" x14ac:dyDescent="0.2">
      <c r="O130" s="13" t="s">
        <v>458</v>
      </c>
      <c r="P130" s="142" t="s">
        <v>459</v>
      </c>
      <c r="Q130" s="231">
        <v>1</v>
      </c>
    </row>
    <row r="131" spans="15:17" x14ac:dyDescent="0.2">
      <c r="O131" s="13" t="s">
        <v>460</v>
      </c>
      <c r="P131" s="142" t="s">
        <v>461</v>
      </c>
      <c r="Q131" s="231">
        <v>1</v>
      </c>
    </row>
    <row r="132" spans="15:17" x14ac:dyDescent="0.2">
      <c r="O132" s="13" t="s">
        <v>462</v>
      </c>
      <c r="P132" s="142" t="s">
        <v>463</v>
      </c>
      <c r="Q132" s="231">
        <v>1</v>
      </c>
    </row>
    <row r="133" spans="15:17" x14ac:dyDescent="0.2">
      <c r="O133" s="13" t="s">
        <v>464</v>
      </c>
      <c r="P133" s="142" t="s">
        <v>465</v>
      </c>
      <c r="Q133" s="231">
        <v>1</v>
      </c>
    </row>
    <row r="134" spans="15:17" x14ac:dyDescent="0.2">
      <c r="O134" s="13" t="s">
        <v>466</v>
      </c>
      <c r="P134" s="142" t="s">
        <v>467</v>
      </c>
      <c r="Q134" s="231">
        <v>1</v>
      </c>
    </row>
    <row r="135" spans="15:17" x14ac:dyDescent="0.2">
      <c r="Q135" s="231"/>
    </row>
  </sheetData>
  <mergeCells count="32">
    <mergeCell ref="S2:T2"/>
    <mergeCell ref="S4:S5"/>
    <mergeCell ref="T4:T5"/>
    <mergeCell ref="H22:H23"/>
    <mergeCell ref="C21:D21"/>
    <mergeCell ref="F21:G21"/>
    <mergeCell ref="O4:Q5"/>
    <mergeCell ref="O2:Q2"/>
    <mergeCell ref="C2:H2"/>
    <mergeCell ref="K2:M2"/>
    <mergeCell ref="H4:H5"/>
    <mergeCell ref="C6:E6"/>
    <mergeCell ref="F6:H6"/>
    <mergeCell ref="E22:E23"/>
    <mergeCell ref="K6:M7"/>
    <mergeCell ref="K4:M5"/>
    <mergeCell ref="C4:G5"/>
    <mergeCell ref="E36:H36"/>
    <mergeCell ref="C39:H39"/>
    <mergeCell ref="E38:F38"/>
    <mergeCell ref="C36:D36"/>
    <mergeCell ref="D25:F26"/>
    <mergeCell ref="G25:G26"/>
    <mergeCell ref="E34:H34"/>
    <mergeCell ref="C33:E33"/>
    <mergeCell ref="F33:H33"/>
    <mergeCell ref="K30:M31"/>
    <mergeCell ref="D28:G29"/>
    <mergeCell ref="K28:M29"/>
    <mergeCell ref="E35:H35"/>
    <mergeCell ref="C35:D35"/>
    <mergeCell ref="C34:D34"/>
  </mergeCells>
  <phoneticPr fontId="0" type="noConversion"/>
  <conditionalFormatting sqref="D6:E23 C6 C8:C23">
    <cfRule type="expression" dxfId="65" priority="1" stopIfTrue="1">
      <formula>AND($H$4="Kg")</formula>
    </cfRule>
  </conditionalFormatting>
  <conditionalFormatting sqref="F6:H23">
    <cfRule type="expression" dxfId="64" priority="2" stopIfTrue="1">
      <formula>AND($H$4="Lb")</formula>
    </cfRule>
  </conditionalFormatting>
  <dataValidations count="13">
    <dataValidation type="list" allowBlank="1" showInputMessage="1" showErrorMessage="1" sqref="O2 D2">
      <formula1>$BB$1:$BF$1</formula1>
    </dataValidation>
    <dataValidation type="list" allowBlank="1" showInputMessage="1" showErrorMessage="1" sqref="J24:J25 F10:F12 C14 F14 C10:C12">
      <formula1>"0,2,4,6,8,10,12,14,16,18,20"</formula1>
    </dataValidation>
    <dataValidation type="list" allowBlank="1" showInputMessage="1" showErrorMessage="1" sqref="J26:J28 C13 F13 F15:F18 C15:C18">
      <formula1>"2,4,6,8,10,12,14,16,18,20"</formula1>
    </dataValidation>
    <dataValidation type="list" allowBlank="1" showInputMessage="1" showErrorMessage="1" sqref="H4:H5">
      <formula1>"Lb,Kg"</formula1>
    </dataValidation>
    <dataValidation type="list" allowBlank="1" showInputMessage="1" showErrorMessage="1" promptTitle="Determine place using" prompt="1 = Division, Wt Class &amp; total_x000a_2 = Division &amp; Total x Coef_x000a_3 = Division &amp; Total x Coef x Age Coef" sqref="Q7:Q83">
      <formula1>"1,2,3"</formula1>
    </dataValidation>
    <dataValidation type="list" allowBlank="1" showInputMessage="1" showErrorMessage="1" promptTitle="Weigh In scales" prompt="Select Kg (kilograms) or Lb (pounds) depending on the scales used at weigh -in" sqref="K6:M7">
      <formula1>"BWt (Kg),BWt (Lb)"</formula1>
    </dataValidation>
    <dataValidation type="list" allowBlank="1" showInputMessage="1" showErrorMessage="1" promptTitle="Coefficients" prompt="Select Best Lifter Formula from list" sqref="K30:M31">
      <formula1>"Wilks,Schwartz,Schwartz/Malone,Glossbrenner,Reshel"</formula1>
    </dataValidation>
    <dataValidation type="list" errorStyle="information" allowBlank="1" showInputMessage="1" showErrorMessage="1" errorTitle="New Weight Class" error="The program will use this value as the upper lkimit for the class." promptTitle="Wt Class" prompt="Start with the lightest weight class and finish with SHW. _x000a_You may choose weight classes that are not on the list and the program will use the value you enter as the upper limit for the class._x000a_" sqref="K9:K23 M9:M23">
      <formula1>INDIRECT($L$1)</formula1>
    </dataValidation>
    <dataValidation type="list" allowBlank="1" showInputMessage="1" showErrorMessage="1" promptTitle="Weight of bar &amp; collars" prompt="select the weight of the Bar plus collars from the pulldown list" sqref="D22:D23">
      <formula1>"45,50,55,65,70"</formula1>
    </dataValidation>
    <dataValidation type="list" allowBlank="1" showInputMessage="1" showErrorMessage="1" promptTitle="Weight of bar &amp; collars" prompt="select the weight of the Bar plus collars from the pulldown list" sqref="G22:G23">
      <formula1>"20,22.5,25,30,32.5"</formula1>
    </dataValidation>
    <dataValidation type="list" allowBlank="1" showInputMessage="1" showErrorMessage="1" sqref="G25:G26">
      <formula1>"yes,no"</formula1>
    </dataValidation>
    <dataValidation type="list" allowBlank="1" showInputMessage="1" showErrorMessage="1" sqref="F33:H33">
      <formula1>"Enable,Disable"</formula1>
    </dataValidation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O7:O134">
      <formula1>OR(LEFT(O7,1)="M",LEFT(O7,1)="F")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464"/>
  <sheetViews>
    <sheetView showZeros="0" topLeftCell="C1" workbookViewId="0">
      <pane ySplit="2" topLeftCell="A3" activePane="bottomLeft" state="frozen"/>
      <selection activeCell="B1" sqref="B1"/>
      <selection pane="bottomLeft" activeCell="B3" sqref="B3:AI26"/>
    </sheetView>
  </sheetViews>
  <sheetFormatPr defaultColWidth="9.140625" defaultRowHeight="11.25" x14ac:dyDescent="0.2"/>
  <cols>
    <col min="1" max="1" width="9.140625" style="53" hidden="1" customWidth="1"/>
    <col min="2" max="2" width="3.140625" style="52" hidden="1" customWidth="1"/>
    <col min="3" max="3" width="15.85546875" style="63" customWidth="1"/>
    <col min="4" max="4" width="4.140625" style="52" customWidth="1"/>
    <col min="5" max="5" width="4.7109375" style="52" customWidth="1"/>
    <col min="6" max="6" width="5.85546875" style="52" customWidth="1"/>
    <col min="7" max="7" width="5.5703125" style="52" customWidth="1"/>
    <col min="8" max="8" width="8.28515625" style="57" customWidth="1"/>
    <col min="9" max="9" width="3.7109375" style="52" hidden="1" customWidth="1"/>
    <col min="10" max="10" width="5.7109375" style="52" hidden="1" customWidth="1"/>
    <col min="11" max="14" width="5.7109375" style="52" customWidth="1"/>
    <col min="15" max="16" width="5.7109375" style="52" hidden="1" customWidth="1"/>
    <col min="17" max="20" width="5.7109375" style="52" customWidth="1"/>
    <col min="21" max="22" width="5.7109375" style="52" hidden="1" customWidth="1"/>
    <col min="23" max="25" width="5.7109375" style="54" customWidth="1"/>
    <col min="26" max="26" width="5.7109375" style="52" customWidth="1"/>
    <col min="27" max="27" width="5.7109375" style="52" hidden="1" customWidth="1"/>
    <col min="28" max="28" width="7" style="58" customWidth="1"/>
    <col min="29" max="30" width="7" style="61" customWidth="1"/>
    <col min="31" max="31" width="5.28515625" style="121" customWidth="1"/>
    <col min="32" max="32" width="7.85546875" style="121" customWidth="1"/>
    <col min="33" max="33" width="7" style="61" customWidth="1"/>
    <col min="34" max="34" width="8.7109375" style="61" customWidth="1"/>
    <col min="35" max="35" width="8.42578125" style="59" customWidth="1"/>
    <col min="36" max="36" width="9.140625" style="53" hidden="1" customWidth="1"/>
    <col min="37" max="47" width="0" style="53" hidden="1" customWidth="1"/>
    <col min="48" max="16384" width="9.140625" style="53"/>
  </cols>
  <sheetData>
    <row r="1" spans="1:35" ht="28.5" customHeight="1" thickBot="1" x14ac:dyDescent="0.45">
      <c r="C1" s="168">
        <f>Setup!K2</f>
        <v>2018</v>
      </c>
      <c r="D1" s="363" t="str">
        <f>Setup!C2</f>
        <v>APF</v>
      </c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5"/>
    </row>
    <row r="2" spans="1:35" s="169" customFormat="1" ht="34.5" customHeight="1" thickBot="1" x14ac:dyDescent="0.25">
      <c r="A2" s="169" t="s">
        <v>32</v>
      </c>
      <c r="B2" s="170" t="s">
        <v>149</v>
      </c>
      <c r="C2" s="171" t="s">
        <v>0</v>
      </c>
      <c r="D2" s="172" t="s">
        <v>1</v>
      </c>
      <c r="E2" s="172" t="s">
        <v>29</v>
      </c>
      <c r="F2" s="172" t="str">
        <f>Lifting!F8</f>
        <v>BWt (Lb)</v>
      </c>
      <c r="G2" s="172" t="str">
        <f>Lifting!G8</f>
        <v>WtCls (Lb)</v>
      </c>
      <c r="H2" s="173" t="str">
        <f>Lifting!H8</f>
        <v>Glossbrenner</v>
      </c>
      <c r="I2" s="172" t="s">
        <v>2</v>
      </c>
      <c r="J2" s="172" t="s">
        <v>26</v>
      </c>
      <c r="K2" s="172" t="s">
        <v>22</v>
      </c>
      <c r="L2" s="172" t="s">
        <v>23</v>
      </c>
      <c r="M2" s="172" t="s">
        <v>24</v>
      </c>
      <c r="N2" s="172" t="s">
        <v>25</v>
      </c>
      <c r="O2" s="172" t="s">
        <v>11</v>
      </c>
      <c r="P2" s="172" t="s">
        <v>27</v>
      </c>
      <c r="Q2" s="172" t="s">
        <v>12</v>
      </c>
      <c r="R2" s="172" t="s">
        <v>13</v>
      </c>
      <c r="S2" s="172" t="s">
        <v>14</v>
      </c>
      <c r="T2" s="172" t="s">
        <v>28</v>
      </c>
      <c r="U2" s="172" t="s">
        <v>15</v>
      </c>
      <c r="V2" s="172" t="s">
        <v>16</v>
      </c>
      <c r="W2" s="172" t="s">
        <v>17</v>
      </c>
      <c r="X2" s="172" t="s">
        <v>18</v>
      </c>
      <c r="Y2" s="172" t="s">
        <v>19</v>
      </c>
      <c r="Z2" s="172" t="s">
        <v>20</v>
      </c>
      <c r="AA2" s="172" t="s">
        <v>21</v>
      </c>
      <c r="AB2" s="174" t="str">
        <f>Lifting!AB8</f>
        <v>PL Total</v>
      </c>
      <c r="AC2" s="175" t="s">
        <v>134</v>
      </c>
      <c r="AD2" s="175" t="s">
        <v>139</v>
      </c>
      <c r="AE2" s="175" t="s">
        <v>144</v>
      </c>
      <c r="AF2" s="175" t="s">
        <v>31</v>
      </c>
      <c r="AG2" s="175" t="s">
        <v>38</v>
      </c>
      <c r="AH2" s="175" t="s">
        <v>45</v>
      </c>
      <c r="AI2" s="176" t="s">
        <v>145</v>
      </c>
    </row>
    <row r="3" spans="1:35" ht="14.25" customHeight="1" x14ac:dyDescent="0.2">
      <c r="B3" s="54"/>
      <c r="C3" s="64"/>
      <c r="D3" s="54"/>
      <c r="E3" s="54"/>
      <c r="F3" s="54"/>
      <c r="G3" s="54"/>
      <c r="H3" s="55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Z3" s="54"/>
      <c r="AA3" s="54"/>
      <c r="AB3" s="60"/>
      <c r="AC3" s="62"/>
      <c r="AD3" s="62"/>
      <c r="AE3" s="120"/>
      <c r="AF3" s="120"/>
      <c r="AG3" s="62"/>
      <c r="AH3" s="62"/>
      <c r="AI3" s="56"/>
    </row>
    <row r="4" spans="1:35" ht="14.25" customHeight="1" x14ac:dyDescent="0.2">
      <c r="B4" s="54"/>
      <c r="C4" s="64"/>
      <c r="D4" s="54"/>
      <c r="E4" s="54"/>
      <c r="F4" s="54"/>
      <c r="G4" s="54"/>
      <c r="H4" s="55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Z4" s="54"/>
      <c r="AA4" s="54"/>
      <c r="AB4" s="60"/>
      <c r="AC4" s="62"/>
      <c r="AD4" s="62"/>
      <c r="AE4" s="120"/>
      <c r="AF4" s="120"/>
      <c r="AG4" s="62"/>
      <c r="AH4" s="62"/>
      <c r="AI4" s="56"/>
    </row>
    <row r="5" spans="1:35" ht="14.25" customHeight="1" x14ac:dyDescent="0.2">
      <c r="B5" s="54"/>
      <c r="C5" s="64"/>
      <c r="D5" s="54"/>
      <c r="E5" s="54"/>
      <c r="F5" s="54"/>
      <c r="G5" s="54"/>
      <c r="H5" s="55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Z5" s="54"/>
      <c r="AA5" s="54"/>
      <c r="AB5" s="60"/>
      <c r="AC5" s="62"/>
      <c r="AD5" s="62"/>
      <c r="AE5" s="120"/>
      <c r="AF5" s="120"/>
      <c r="AG5" s="62"/>
      <c r="AH5" s="62"/>
      <c r="AI5" s="56"/>
    </row>
    <row r="6" spans="1:35" ht="14.25" customHeight="1" x14ac:dyDescent="0.2">
      <c r="B6" s="54"/>
      <c r="C6" s="64"/>
      <c r="D6" s="54"/>
      <c r="E6" s="54"/>
      <c r="F6" s="54"/>
      <c r="G6" s="54"/>
      <c r="H6" s="55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Z6" s="54"/>
      <c r="AA6" s="54"/>
      <c r="AB6" s="60"/>
      <c r="AC6" s="62"/>
      <c r="AD6" s="62"/>
      <c r="AE6" s="120"/>
      <c r="AF6" s="120"/>
      <c r="AG6" s="62"/>
      <c r="AH6" s="62"/>
      <c r="AI6" s="56"/>
    </row>
    <row r="7" spans="1:35" ht="14.25" customHeight="1" x14ac:dyDescent="0.2">
      <c r="B7" s="54"/>
      <c r="C7" s="64"/>
      <c r="D7" s="54"/>
      <c r="E7" s="54"/>
      <c r="F7" s="54"/>
      <c r="G7" s="54"/>
      <c r="H7" s="55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Z7" s="54"/>
      <c r="AA7" s="54"/>
      <c r="AB7" s="60"/>
      <c r="AC7" s="62"/>
      <c r="AD7" s="62"/>
      <c r="AE7" s="120"/>
      <c r="AF7" s="120"/>
      <c r="AG7" s="62"/>
      <c r="AH7" s="62"/>
      <c r="AI7" s="56"/>
    </row>
    <row r="8" spans="1:35" ht="14.25" customHeight="1" x14ac:dyDescent="0.2">
      <c r="B8" s="54"/>
      <c r="C8" s="64"/>
      <c r="D8" s="54"/>
      <c r="E8" s="54"/>
      <c r="F8" s="54"/>
      <c r="G8" s="54"/>
      <c r="H8" s="55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Z8" s="54"/>
      <c r="AA8" s="54"/>
      <c r="AB8" s="60"/>
      <c r="AC8" s="62"/>
      <c r="AD8" s="62"/>
      <c r="AE8" s="120"/>
      <c r="AF8" s="120"/>
      <c r="AG8" s="62"/>
      <c r="AH8" s="62"/>
      <c r="AI8" s="56"/>
    </row>
    <row r="9" spans="1:35" ht="14.25" customHeight="1" x14ac:dyDescent="0.2">
      <c r="B9" s="54"/>
      <c r="C9" s="64"/>
      <c r="D9" s="54"/>
      <c r="E9" s="54"/>
      <c r="F9" s="54"/>
      <c r="G9" s="54"/>
      <c r="H9" s="55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Z9" s="54"/>
      <c r="AA9" s="54"/>
      <c r="AB9" s="60"/>
      <c r="AC9" s="62"/>
      <c r="AD9" s="62"/>
      <c r="AE9" s="120"/>
      <c r="AF9" s="120"/>
      <c r="AG9" s="62"/>
      <c r="AH9" s="62"/>
      <c r="AI9" s="56"/>
    </row>
    <row r="10" spans="1:35" ht="14.25" customHeight="1" x14ac:dyDescent="0.2">
      <c r="B10" s="54"/>
      <c r="C10" s="64"/>
      <c r="D10" s="54"/>
      <c r="E10" s="54"/>
      <c r="F10" s="54"/>
      <c r="G10" s="54"/>
      <c r="H10" s="55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Z10" s="54"/>
      <c r="AA10" s="54"/>
      <c r="AB10" s="60"/>
      <c r="AC10" s="62"/>
      <c r="AD10" s="62"/>
      <c r="AE10" s="120"/>
      <c r="AF10" s="120"/>
      <c r="AG10" s="62"/>
      <c r="AH10" s="62"/>
      <c r="AI10" s="56"/>
    </row>
    <row r="11" spans="1:35" ht="14.25" customHeight="1" x14ac:dyDescent="0.2">
      <c r="B11" s="54"/>
      <c r="C11" s="64"/>
      <c r="D11" s="54"/>
      <c r="E11" s="54"/>
      <c r="F11" s="54"/>
      <c r="G11" s="54"/>
      <c r="H11" s="55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Z11" s="54"/>
      <c r="AA11" s="54"/>
      <c r="AB11" s="60"/>
      <c r="AC11" s="62"/>
      <c r="AD11" s="62"/>
      <c r="AE11" s="120"/>
      <c r="AF11" s="120"/>
      <c r="AG11" s="62"/>
      <c r="AH11" s="62"/>
      <c r="AI11" s="56"/>
    </row>
    <row r="12" spans="1:35" ht="14.25" customHeight="1" x14ac:dyDescent="0.2">
      <c r="B12" s="54"/>
      <c r="C12" s="64"/>
      <c r="D12" s="54"/>
      <c r="E12" s="54"/>
      <c r="F12" s="54"/>
      <c r="G12" s="54"/>
      <c r="H12" s="55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Z12" s="54"/>
      <c r="AA12" s="54"/>
      <c r="AB12" s="60"/>
      <c r="AC12" s="62"/>
      <c r="AD12" s="62"/>
      <c r="AE12" s="120"/>
      <c r="AF12" s="120"/>
      <c r="AG12" s="62"/>
      <c r="AH12" s="62"/>
      <c r="AI12" s="56"/>
    </row>
    <row r="13" spans="1:35" ht="14.25" customHeight="1" x14ac:dyDescent="0.2">
      <c r="B13" s="54"/>
      <c r="C13" s="64"/>
      <c r="D13" s="54"/>
      <c r="E13" s="54"/>
      <c r="F13" s="54"/>
      <c r="G13" s="54"/>
      <c r="H13" s="55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Z13" s="54"/>
      <c r="AA13" s="54"/>
      <c r="AB13" s="60"/>
      <c r="AC13" s="62"/>
      <c r="AD13" s="62"/>
      <c r="AE13" s="120"/>
      <c r="AF13" s="120"/>
      <c r="AG13" s="62"/>
      <c r="AH13" s="62"/>
      <c r="AI13" s="56"/>
    </row>
    <row r="14" spans="1:35" ht="14.25" customHeight="1" x14ac:dyDescent="0.2">
      <c r="B14" s="54"/>
      <c r="C14" s="64"/>
      <c r="D14" s="54"/>
      <c r="E14" s="54"/>
      <c r="F14" s="54"/>
      <c r="G14" s="54"/>
      <c r="H14" s="55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Z14" s="54"/>
      <c r="AA14" s="54"/>
      <c r="AB14" s="60"/>
      <c r="AC14" s="62"/>
      <c r="AD14" s="62"/>
      <c r="AE14" s="120"/>
      <c r="AF14" s="120"/>
      <c r="AG14" s="62"/>
      <c r="AH14" s="62"/>
      <c r="AI14" s="56"/>
    </row>
    <row r="15" spans="1:35" ht="14.25" customHeight="1" x14ac:dyDescent="0.2">
      <c r="B15" s="54"/>
      <c r="C15" s="64"/>
      <c r="D15" s="54"/>
      <c r="E15" s="54"/>
      <c r="F15" s="54"/>
      <c r="G15" s="54"/>
      <c r="H15" s="55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Z15" s="54"/>
      <c r="AA15" s="54"/>
      <c r="AB15" s="60"/>
      <c r="AC15" s="62"/>
      <c r="AD15" s="62"/>
      <c r="AE15" s="120"/>
      <c r="AF15" s="120"/>
      <c r="AG15" s="62"/>
      <c r="AH15" s="62"/>
      <c r="AI15" s="56"/>
    </row>
    <row r="16" spans="1:35" ht="14.25" customHeight="1" x14ac:dyDescent="0.2">
      <c r="B16" s="54"/>
      <c r="C16" s="64"/>
      <c r="D16" s="54"/>
      <c r="E16" s="54"/>
      <c r="F16" s="54"/>
      <c r="G16" s="54"/>
      <c r="H16" s="55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Z16" s="54"/>
      <c r="AA16" s="54"/>
      <c r="AB16" s="60"/>
      <c r="AC16" s="62"/>
      <c r="AD16" s="62"/>
      <c r="AE16" s="120"/>
      <c r="AF16" s="120"/>
      <c r="AG16" s="62"/>
      <c r="AH16" s="62"/>
      <c r="AI16" s="56"/>
    </row>
    <row r="17" spans="2:35" ht="14.25" customHeight="1" x14ac:dyDescent="0.2">
      <c r="B17" s="54"/>
      <c r="C17" s="64"/>
      <c r="D17" s="54"/>
      <c r="E17" s="54"/>
      <c r="F17" s="54"/>
      <c r="G17" s="54"/>
      <c r="H17" s="55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Z17" s="54"/>
      <c r="AA17" s="54"/>
      <c r="AB17" s="60"/>
      <c r="AC17" s="62"/>
      <c r="AD17" s="62"/>
      <c r="AE17" s="120"/>
      <c r="AF17" s="120"/>
      <c r="AG17" s="62"/>
      <c r="AH17" s="62"/>
      <c r="AI17" s="56"/>
    </row>
    <row r="18" spans="2:35" ht="14.25" customHeight="1" x14ac:dyDescent="0.2">
      <c r="B18" s="54"/>
      <c r="C18" s="64"/>
      <c r="D18" s="54"/>
      <c r="E18" s="54"/>
      <c r="F18" s="54"/>
      <c r="G18" s="54"/>
      <c r="H18" s="55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Z18" s="54"/>
      <c r="AA18" s="54"/>
      <c r="AB18" s="60"/>
      <c r="AC18" s="62"/>
      <c r="AD18" s="62"/>
      <c r="AE18" s="120"/>
      <c r="AF18" s="120"/>
      <c r="AG18" s="62"/>
      <c r="AH18" s="62"/>
      <c r="AI18" s="56"/>
    </row>
    <row r="19" spans="2:35" ht="14.25" customHeight="1" x14ac:dyDescent="0.2">
      <c r="B19" s="54"/>
      <c r="C19" s="64"/>
      <c r="D19" s="54"/>
      <c r="E19" s="54"/>
      <c r="F19" s="54"/>
      <c r="G19" s="54"/>
      <c r="H19" s="55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Z19" s="54"/>
      <c r="AA19" s="54"/>
      <c r="AB19" s="60"/>
      <c r="AC19" s="62"/>
      <c r="AD19" s="62"/>
      <c r="AE19" s="120"/>
      <c r="AF19" s="120"/>
      <c r="AG19" s="62"/>
      <c r="AH19" s="62"/>
      <c r="AI19" s="56"/>
    </row>
    <row r="20" spans="2:35" ht="14.25" customHeight="1" x14ac:dyDescent="0.2">
      <c r="B20" s="54"/>
      <c r="C20" s="64"/>
      <c r="D20" s="54"/>
      <c r="E20" s="54"/>
      <c r="F20" s="54"/>
      <c r="G20" s="54"/>
      <c r="H20" s="55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Z20" s="54"/>
      <c r="AA20" s="54"/>
      <c r="AB20" s="60"/>
      <c r="AC20" s="62"/>
      <c r="AD20" s="62"/>
      <c r="AE20" s="120"/>
      <c r="AF20" s="120"/>
      <c r="AG20" s="62"/>
      <c r="AH20" s="62"/>
      <c r="AI20" s="56"/>
    </row>
    <row r="21" spans="2:35" ht="14.25" customHeight="1" x14ac:dyDescent="0.2">
      <c r="B21" s="54"/>
      <c r="C21" s="64"/>
      <c r="D21" s="54"/>
      <c r="E21" s="54"/>
      <c r="F21" s="54"/>
      <c r="G21" s="54"/>
      <c r="H21" s="55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Z21" s="54"/>
      <c r="AA21" s="54"/>
      <c r="AB21" s="60"/>
      <c r="AC21" s="62"/>
      <c r="AD21" s="62"/>
      <c r="AE21" s="120"/>
      <c r="AF21" s="120"/>
      <c r="AG21" s="62"/>
      <c r="AH21" s="62"/>
      <c r="AI21" s="56"/>
    </row>
    <row r="22" spans="2:35" ht="14.25" customHeight="1" x14ac:dyDescent="0.2">
      <c r="B22" s="54"/>
      <c r="C22" s="64"/>
      <c r="D22" s="54"/>
      <c r="E22" s="54"/>
      <c r="F22" s="54"/>
      <c r="G22" s="54"/>
      <c r="H22" s="55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Z22" s="54"/>
      <c r="AA22" s="54"/>
      <c r="AB22" s="60"/>
      <c r="AC22" s="62"/>
      <c r="AD22" s="62"/>
      <c r="AE22" s="120"/>
      <c r="AF22" s="120"/>
      <c r="AG22" s="62"/>
      <c r="AH22" s="62"/>
      <c r="AI22" s="56"/>
    </row>
    <row r="23" spans="2:35" ht="14.25" customHeight="1" x14ac:dyDescent="0.2">
      <c r="B23" s="54"/>
      <c r="C23" s="64"/>
      <c r="D23" s="54"/>
      <c r="E23" s="54"/>
      <c r="F23" s="54"/>
      <c r="G23" s="54"/>
      <c r="H23" s="55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Z23" s="54"/>
      <c r="AA23" s="54"/>
      <c r="AB23" s="60"/>
      <c r="AC23" s="62"/>
      <c r="AD23" s="62"/>
      <c r="AE23" s="120"/>
      <c r="AF23" s="120"/>
      <c r="AG23" s="62"/>
      <c r="AH23" s="62"/>
      <c r="AI23" s="56"/>
    </row>
    <row r="24" spans="2:35" ht="14.25" customHeight="1" x14ac:dyDescent="0.2">
      <c r="B24" s="54"/>
      <c r="C24" s="64"/>
      <c r="D24" s="54"/>
      <c r="E24" s="54"/>
      <c r="F24" s="54"/>
      <c r="G24" s="54"/>
      <c r="H24" s="55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Z24" s="54"/>
      <c r="AA24" s="54"/>
      <c r="AB24" s="60"/>
      <c r="AC24" s="62"/>
      <c r="AD24" s="62"/>
      <c r="AE24" s="120"/>
      <c r="AF24" s="120"/>
      <c r="AG24" s="62"/>
      <c r="AH24" s="62"/>
      <c r="AI24" s="56"/>
    </row>
    <row r="25" spans="2:35" ht="14.25" customHeight="1" x14ac:dyDescent="0.2">
      <c r="B25" s="54"/>
      <c r="C25" s="64"/>
      <c r="D25" s="54"/>
      <c r="E25" s="54"/>
      <c r="F25" s="54"/>
      <c r="G25" s="54"/>
      <c r="H25" s="55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Z25" s="54"/>
      <c r="AA25" s="54"/>
      <c r="AB25" s="60"/>
      <c r="AC25" s="62"/>
      <c r="AD25" s="62"/>
      <c r="AE25" s="120"/>
      <c r="AF25" s="120"/>
      <c r="AG25" s="62"/>
      <c r="AH25" s="62"/>
      <c r="AI25" s="56"/>
    </row>
    <row r="26" spans="2:35" ht="14.25" customHeight="1" x14ac:dyDescent="0.2">
      <c r="B26" s="54"/>
      <c r="C26" s="64"/>
      <c r="D26" s="54"/>
      <c r="E26" s="54"/>
      <c r="F26" s="54"/>
      <c r="G26" s="54"/>
      <c r="H26" s="55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Z26" s="54"/>
      <c r="AA26" s="54"/>
      <c r="AB26" s="60"/>
      <c r="AC26" s="62"/>
      <c r="AD26" s="62"/>
      <c r="AE26" s="120"/>
      <c r="AF26" s="120"/>
      <c r="AG26" s="62"/>
      <c r="AH26" s="62"/>
      <c r="AI26" s="56"/>
    </row>
    <row r="27" spans="2:35" ht="14.25" customHeight="1" x14ac:dyDescent="0.2">
      <c r="B27" s="54"/>
      <c r="C27" s="64"/>
      <c r="D27" s="54"/>
      <c r="E27" s="54"/>
      <c r="F27" s="54"/>
      <c r="G27" s="54"/>
      <c r="H27" s="55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Z27" s="54"/>
      <c r="AA27" s="54"/>
      <c r="AB27" s="60"/>
      <c r="AC27" s="62"/>
      <c r="AD27" s="62"/>
      <c r="AE27" s="120"/>
      <c r="AF27" s="120"/>
      <c r="AG27" s="62"/>
      <c r="AH27" s="62"/>
      <c r="AI27" s="56"/>
    </row>
    <row r="28" spans="2:35" ht="14.25" customHeight="1" x14ac:dyDescent="0.2">
      <c r="B28" s="54"/>
      <c r="C28" s="64"/>
      <c r="D28" s="54"/>
      <c r="E28" s="54"/>
      <c r="F28" s="54"/>
      <c r="G28" s="54"/>
      <c r="H28" s="55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Z28" s="54"/>
      <c r="AA28" s="54"/>
      <c r="AB28" s="60"/>
      <c r="AC28" s="62"/>
      <c r="AD28" s="62"/>
      <c r="AE28" s="120"/>
      <c r="AF28" s="120"/>
      <c r="AG28" s="62"/>
      <c r="AH28" s="62"/>
      <c r="AI28" s="56"/>
    </row>
    <row r="29" spans="2:35" ht="14.25" customHeight="1" x14ac:dyDescent="0.2">
      <c r="B29" s="54"/>
      <c r="C29" s="64"/>
      <c r="D29" s="54"/>
      <c r="E29" s="54"/>
      <c r="F29" s="54"/>
      <c r="G29" s="54"/>
      <c r="H29" s="55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Z29" s="54"/>
      <c r="AA29" s="54"/>
      <c r="AB29" s="60"/>
      <c r="AC29" s="62"/>
      <c r="AD29" s="62"/>
      <c r="AE29" s="120"/>
      <c r="AF29" s="120"/>
      <c r="AG29" s="62"/>
      <c r="AH29" s="62"/>
      <c r="AI29" s="56"/>
    </row>
    <row r="30" spans="2:35" ht="14.25" customHeight="1" x14ac:dyDescent="0.2">
      <c r="B30" s="54"/>
      <c r="C30" s="64"/>
      <c r="D30" s="54"/>
      <c r="E30" s="54"/>
      <c r="F30" s="54"/>
      <c r="G30" s="54"/>
      <c r="H30" s="55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Z30" s="54"/>
      <c r="AA30" s="54"/>
      <c r="AB30" s="60"/>
      <c r="AC30" s="62"/>
      <c r="AD30" s="62"/>
      <c r="AE30" s="120"/>
      <c r="AF30" s="120"/>
      <c r="AG30" s="62"/>
      <c r="AH30" s="62"/>
      <c r="AI30" s="56"/>
    </row>
    <row r="31" spans="2:35" ht="14.25" customHeight="1" x14ac:dyDescent="0.2">
      <c r="B31" s="54"/>
      <c r="C31" s="64"/>
      <c r="D31" s="54"/>
      <c r="E31" s="54"/>
      <c r="F31" s="54"/>
      <c r="G31" s="54"/>
      <c r="H31" s="55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Z31" s="54"/>
      <c r="AA31" s="54"/>
      <c r="AB31" s="60"/>
      <c r="AC31" s="62"/>
      <c r="AD31" s="62"/>
      <c r="AE31" s="120"/>
      <c r="AF31" s="120"/>
      <c r="AG31" s="62"/>
      <c r="AH31" s="62"/>
      <c r="AI31" s="56"/>
    </row>
    <row r="32" spans="2:35" ht="14.25" customHeight="1" x14ac:dyDescent="0.2">
      <c r="B32" s="54"/>
      <c r="C32" s="64"/>
      <c r="D32" s="54"/>
      <c r="E32" s="54"/>
      <c r="F32" s="54"/>
      <c r="G32" s="54"/>
      <c r="H32" s="55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Z32" s="54"/>
      <c r="AA32" s="54"/>
      <c r="AB32" s="60"/>
      <c r="AC32" s="62"/>
      <c r="AD32" s="62"/>
      <c r="AE32" s="120"/>
      <c r="AF32" s="120"/>
      <c r="AG32" s="62"/>
      <c r="AH32" s="62"/>
      <c r="AI32" s="56"/>
    </row>
    <row r="33" spans="2:35" ht="14.25" customHeight="1" x14ac:dyDescent="0.2">
      <c r="B33" s="54"/>
      <c r="C33" s="64"/>
      <c r="D33" s="54"/>
      <c r="E33" s="54"/>
      <c r="F33" s="54"/>
      <c r="G33" s="54"/>
      <c r="H33" s="55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Z33" s="54"/>
      <c r="AA33" s="54"/>
      <c r="AB33" s="60"/>
      <c r="AC33" s="62"/>
      <c r="AD33" s="62"/>
      <c r="AE33" s="120"/>
      <c r="AF33" s="120"/>
      <c r="AG33" s="62"/>
      <c r="AH33" s="62"/>
      <c r="AI33" s="56"/>
    </row>
    <row r="34" spans="2:35" ht="14.25" customHeight="1" x14ac:dyDescent="0.2">
      <c r="B34" s="54"/>
      <c r="C34" s="64"/>
      <c r="D34" s="54"/>
      <c r="E34" s="54"/>
      <c r="F34" s="54"/>
      <c r="G34" s="54"/>
      <c r="H34" s="55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Z34" s="54"/>
      <c r="AA34" s="54"/>
      <c r="AB34" s="60"/>
      <c r="AC34" s="62"/>
      <c r="AD34" s="62"/>
      <c r="AE34" s="120"/>
      <c r="AF34" s="120"/>
      <c r="AG34" s="62"/>
      <c r="AH34" s="62"/>
      <c r="AI34" s="56"/>
    </row>
    <row r="35" spans="2:35" ht="14.25" customHeight="1" x14ac:dyDescent="0.2">
      <c r="B35" s="54"/>
      <c r="C35" s="64"/>
      <c r="D35" s="54"/>
      <c r="E35" s="54"/>
      <c r="F35" s="54"/>
      <c r="G35" s="54"/>
      <c r="H35" s="55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Z35" s="54"/>
      <c r="AA35" s="54"/>
      <c r="AB35" s="60"/>
      <c r="AC35" s="62"/>
      <c r="AD35" s="62"/>
      <c r="AE35" s="120"/>
      <c r="AF35" s="120"/>
      <c r="AG35" s="62"/>
      <c r="AH35" s="62"/>
      <c r="AI35" s="56"/>
    </row>
    <row r="36" spans="2:35" ht="14.25" customHeight="1" x14ac:dyDescent="0.2">
      <c r="B36" s="54"/>
      <c r="C36" s="64"/>
      <c r="D36" s="54"/>
      <c r="E36" s="54"/>
      <c r="F36" s="54"/>
      <c r="G36" s="54"/>
      <c r="H36" s="55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Z36" s="54"/>
      <c r="AA36" s="54"/>
      <c r="AB36" s="60"/>
      <c r="AC36" s="62"/>
      <c r="AD36" s="62"/>
      <c r="AE36" s="120"/>
      <c r="AF36" s="120"/>
      <c r="AG36" s="62"/>
      <c r="AH36" s="62"/>
      <c r="AI36" s="56"/>
    </row>
    <row r="37" spans="2:35" ht="14.25" customHeight="1" x14ac:dyDescent="0.2">
      <c r="B37" s="54"/>
      <c r="C37" s="64"/>
      <c r="D37" s="54"/>
      <c r="E37" s="54"/>
      <c r="F37" s="54"/>
      <c r="G37" s="54"/>
      <c r="H37" s="55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Z37" s="54"/>
      <c r="AA37" s="54"/>
      <c r="AB37" s="60"/>
      <c r="AC37" s="62"/>
      <c r="AD37" s="62"/>
      <c r="AE37" s="120"/>
      <c r="AF37" s="120"/>
      <c r="AG37" s="62"/>
      <c r="AH37" s="62"/>
      <c r="AI37" s="56"/>
    </row>
    <row r="38" spans="2:35" ht="14.25" customHeight="1" x14ac:dyDescent="0.2">
      <c r="B38" s="54"/>
      <c r="C38" s="64"/>
      <c r="D38" s="54"/>
      <c r="E38" s="54"/>
      <c r="F38" s="54"/>
      <c r="G38" s="54"/>
      <c r="H38" s="55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Z38" s="54"/>
      <c r="AA38" s="54"/>
      <c r="AB38" s="60"/>
      <c r="AC38" s="62"/>
      <c r="AD38" s="62"/>
      <c r="AE38" s="120"/>
      <c r="AF38" s="120"/>
      <c r="AG38" s="62"/>
      <c r="AH38" s="62"/>
      <c r="AI38" s="56"/>
    </row>
    <row r="39" spans="2:35" ht="14.25" customHeight="1" x14ac:dyDescent="0.2">
      <c r="B39" s="54"/>
      <c r="C39" s="64"/>
      <c r="D39" s="54"/>
      <c r="E39" s="54"/>
      <c r="F39" s="54"/>
      <c r="G39" s="54"/>
      <c r="H39" s="55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Z39" s="54"/>
      <c r="AA39" s="54"/>
      <c r="AB39" s="60"/>
      <c r="AC39" s="62"/>
      <c r="AD39" s="62"/>
      <c r="AE39" s="120"/>
      <c r="AF39" s="120"/>
      <c r="AG39" s="62"/>
      <c r="AH39" s="62"/>
      <c r="AI39" s="56"/>
    </row>
    <row r="40" spans="2:35" ht="14.25" customHeight="1" x14ac:dyDescent="0.2">
      <c r="B40" s="54"/>
      <c r="C40" s="64"/>
      <c r="D40" s="54"/>
      <c r="E40" s="54"/>
      <c r="F40" s="54"/>
      <c r="G40" s="54" t="s">
        <v>30</v>
      </c>
      <c r="H40" s="55" t="s">
        <v>30</v>
      </c>
      <c r="I40" s="54"/>
      <c r="J40" s="54"/>
      <c r="K40" s="54"/>
      <c r="L40" s="54"/>
      <c r="M40" s="54"/>
      <c r="N40" s="54"/>
      <c r="O40" s="54">
        <v>0</v>
      </c>
      <c r="P40" s="54"/>
      <c r="Q40" s="54"/>
      <c r="R40" s="54"/>
      <c r="S40" s="54"/>
      <c r="T40" s="54"/>
      <c r="U40" s="54">
        <v>0</v>
      </c>
      <c r="V40" s="54">
        <v>0</v>
      </c>
      <c r="Z40" s="54"/>
      <c r="AA40" s="54">
        <v>0</v>
      </c>
      <c r="AB40" s="60">
        <v>0</v>
      </c>
      <c r="AC40" s="62">
        <v>0</v>
      </c>
      <c r="AD40" s="62">
        <v>0</v>
      </c>
      <c r="AE40" s="120">
        <v>0</v>
      </c>
      <c r="AF40" s="120">
        <v>0</v>
      </c>
      <c r="AG40" s="62">
        <v>0</v>
      </c>
      <c r="AH40" s="62">
        <v>0</v>
      </c>
      <c r="AI40" s="56" t="s">
        <v>75</v>
      </c>
    </row>
    <row r="41" spans="2:35" ht="14.25" customHeight="1" x14ac:dyDescent="0.2">
      <c r="B41" s="54"/>
      <c r="C41" s="64"/>
      <c r="D41" s="54"/>
      <c r="E41" s="54"/>
      <c r="F41" s="54"/>
      <c r="G41" s="54"/>
      <c r="H41" s="55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Z41" s="54"/>
      <c r="AA41" s="54"/>
      <c r="AB41" s="60"/>
      <c r="AC41" s="62"/>
      <c r="AD41" s="62"/>
      <c r="AE41" s="120"/>
      <c r="AF41" s="120"/>
      <c r="AG41" s="62"/>
      <c r="AH41" s="62"/>
      <c r="AI41" s="56"/>
    </row>
    <row r="42" spans="2:35" ht="14.25" customHeight="1" x14ac:dyDescent="0.2">
      <c r="B42" s="54"/>
      <c r="C42" s="64"/>
      <c r="D42" s="54"/>
      <c r="E42" s="54"/>
      <c r="F42" s="54"/>
      <c r="G42" s="54"/>
      <c r="H42" s="55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Z42" s="54"/>
      <c r="AA42" s="54"/>
      <c r="AB42" s="60"/>
      <c r="AC42" s="62"/>
      <c r="AD42" s="62"/>
      <c r="AE42" s="120"/>
      <c r="AF42" s="120"/>
      <c r="AG42" s="62"/>
      <c r="AH42" s="62"/>
      <c r="AI42" s="56"/>
    </row>
    <row r="43" spans="2:35" ht="14.25" customHeight="1" x14ac:dyDescent="0.2">
      <c r="B43" s="54"/>
      <c r="C43" s="64"/>
      <c r="D43" s="54"/>
      <c r="E43" s="54" t="s">
        <v>30</v>
      </c>
      <c r="F43" s="54"/>
      <c r="G43" s="54" t="s">
        <v>30</v>
      </c>
      <c r="H43" s="55" t="s">
        <v>30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 t="s">
        <v>30</v>
      </c>
      <c r="Z43" s="54"/>
      <c r="AA43" s="54"/>
      <c r="AB43" s="60" t="s">
        <v>30</v>
      </c>
      <c r="AC43" s="62" t="s">
        <v>30</v>
      </c>
      <c r="AD43" s="62">
        <v>0</v>
      </c>
      <c r="AE43" s="120">
        <v>0</v>
      </c>
      <c r="AF43" s="120">
        <v>0</v>
      </c>
      <c r="AG43" s="62"/>
      <c r="AH43" s="62" t="s">
        <v>30</v>
      </c>
      <c r="AI43" s="56" t="s">
        <v>30</v>
      </c>
    </row>
    <row r="44" spans="2:35" ht="14.25" customHeight="1" x14ac:dyDescent="0.2">
      <c r="B44" s="54"/>
      <c r="C44" s="64"/>
      <c r="D44" s="54"/>
      <c r="E44" s="54" t="s">
        <v>30</v>
      </c>
      <c r="F44" s="54"/>
      <c r="G44" s="54" t="s">
        <v>30</v>
      </c>
      <c r="H44" s="55" t="s">
        <v>30</v>
      </c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 t="s">
        <v>30</v>
      </c>
      <c r="Z44" s="54"/>
      <c r="AA44" s="54"/>
      <c r="AB44" s="60" t="s">
        <v>30</v>
      </c>
      <c r="AC44" s="62" t="s">
        <v>30</v>
      </c>
      <c r="AD44" s="62">
        <v>0</v>
      </c>
      <c r="AE44" s="120">
        <v>0</v>
      </c>
      <c r="AF44" s="120">
        <v>0</v>
      </c>
      <c r="AG44" s="62"/>
      <c r="AH44" s="62" t="s">
        <v>30</v>
      </c>
      <c r="AI44" s="56" t="s">
        <v>30</v>
      </c>
    </row>
    <row r="45" spans="2:35" ht="14.25" customHeight="1" x14ac:dyDescent="0.2">
      <c r="B45" s="54"/>
      <c r="C45" s="64"/>
      <c r="D45" s="54"/>
      <c r="E45" s="54" t="s">
        <v>30</v>
      </c>
      <c r="F45" s="54"/>
      <c r="G45" s="54" t="s">
        <v>30</v>
      </c>
      <c r="H45" s="55" t="s">
        <v>30</v>
      </c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 t="s">
        <v>30</v>
      </c>
      <c r="Z45" s="54"/>
      <c r="AA45" s="54"/>
      <c r="AB45" s="60" t="s">
        <v>30</v>
      </c>
      <c r="AC45" s="62" t="s">
        <v>30</v>
      </c>
      <c r="AD45" s="62">
        <v>0</v>
      </c>
      <c r="AE45" s="120">
        <v>0</v>
      </c>
      <c r="AF45" s="120">
        <v>0</v>
      </c>
      <c r="AG45" s="62"/>
      <c r="AH45" s="62" t="s">
        <v>30</v>
      </c>
      <c r="AI45" s="56" t="s">
        <v>30</v>
      </c>
    </row>
    <row r="46" spans="2:35" ht="14.25" customHeight="1" x14ac:dyDescent="0.2">
      <c r="B46" s="54"/>
      <c r="C46" s="64"/>
      <c r="D46" s="54"/>
      <c r="E46" s="54" t="s">
        <v>30</v>
      </c>
      <c r="F46" s="54"/>
      <c r="G46" s="54" t="s">
        <v>30</v>
      </c>
      <c r="H46" s="55" t="s">
        <v>30</v>
      </c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 t="s">
        <v>30</v>
      </c>
      <c r="Z46" s="54"/>
      <c r="AA46" s="54"/>
      <c r="AB46" s="60" t="s">
        <v>30</v>
      </c>
      <c r="AC46" s="62" t="s">
        <v>30</v>
      </c>
      <c r="AD46" s="62">
        <v>0</v>
      </c>
      <c r="AE46" s="120">
        <v>0</v>
      </c>
      <c r="AF46" s="120">
        <v>0</v>
      </c>
      <c r="AG46" s="62"/>
      <c r="AH46" s="62" t="s">
        <v>30</v>
      </c>
      <c r="AI46" s="56" t="s">
        <v>30</v>
      </c>
    </row>
    <row r="47" spans="2:35" ht="14.25" customHeight="1" x14ac:dyDescent="0.2">
      <c r="B47" s="54"/>
      <c r="C47" s="64"/>
      <c r="D47" s="54"/>
      <c r="E47" s="54" t="s">
        <v>30</v>
      </c>
      <c r="F47" s="54"/>
      <c r="G47" s="54" t="s">
        <v>30</v>
      </c>
      <c r="H47" s="55" t="s">
        <v>30</v>
      </c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 t="s">
        <v>30</v>
      </c>
      <c r="Z47" s="54"/>
      <c r="AA47" s="54"/>
      <c r="AB47" s="60" t="s">
        <v>30</v>
      </c>
      <c r="AC47" s="62" t="s">
        <v>30</v>
      </c>
      <c r="AD47" s="62">
        <v>0</v>
      </c>
      <c r="AE47" s="120">
        <v>0</v>
      </c>
      <c r="AF47" s="120">
        <v>0</v>
      </c>
      <c r="AG47" s="62"/>
      <c r="AH47" s="62" t="s">
        <v>30</v>
      </c>
      <c r="AI47" s="56" t="s">
        <v>30</v>
      </c>
    </row>
    <row r="48" spans="2:35" ht="14.25" customHeight="1" x14ac:dyDescent="0.2">
      <c r="B48" s="54"/>
      <c r="C48" s="64"/>
      <c r="D48" s="54"/>
      <c r="E48" s="54" t="s">
        <v>30</v>
      </c>
      <c r="F48" s="54"/>
      <c r="G48" s="54" t="s">
        <v>30</v>
      </c>
      <c r="H48" s="55" t="s">
        <v>30</v>
      </c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 t="s">
        <v>30</v>
      </c>
      <c r="Z48" s="54"/>
      <c r="AA48" s="54"/>
      <c r="AB48" s="60" t="s">
        <v>30</v>
      </c>
      <c r="AC48" s="62" t="s">
        <v>30</v>
      </c>
      <c r="AD48" s="62">
        <v>0</v>
      </c>
      <c r="AE48" s="120">
        <v>0</v>
      </c>
      <c r="AF48" s="120">
        <v>0</v>
      </c>
      <c r="AG48" s="62"/>
      <c r="AH48" s="62" t="s">
        <v>30</v>
      </c>
      <c r="AI48" s="56" t="s">
        <v>30</v>
      </c>
    </row>
    <row r="49" spans="2:35" ht="14.25" customHeight="1" x14ac:dyDescent="0.2">
      <c r="B49" s="54"/>
      <c r="C49" s="64"/>
      <c r="D49" s="54"/>
      <c r="E49" s="54" t="s">
        <v>30</v>
      </c>
      <c r="F49" s="54"/>
      <c r="G49" s="54" t="s">
        <v>30</v>
      </c>
      <c r="H49" s="55" t="s">
        <v>30</v>
      </c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 t="s">
        <v>30</v>
      </c>
      <c r="Z49" s="54"/>
      <c r="AA49" s="54"/>
      <c r="AB49" s="60" t="s">
        <v>30</v>
      </c>
      <c r="AC49" s="62" t="s">
        <v>30</v>
      </c>
      <c r="AD49" s="62">
        <v>0</v>
      </c>
      <c r="AE49" s="120">
        <v>0</v>
      </c>
      <c r="AF49" s="120">
        <v>0</v>
      </c>
      <c r="AG49" s="62"/>
      <c r="AH49" s="62" t="s">
        <v>30</v>
      </c>
      <c r="AI49" s="56" t="s">
        <v>30</v>
      </c>
    </row>
    <row r="50" spans="2:35" ht="14.25" customHeight="1" x14ac:dyDescent="0.2">
      <c r="B50" s="54"/>
      <c r="C50" s="64"/>
      <c r="D50" s="54"/>
      <c r="E50" s="54" t="s">
        <v>30</v>
      </c>
      <c r="F50" s="54"/>
      <c r="G50" s="54" t="s">
        <v>30</v>
      </c>
      <c r="H50" s="55" t="s">
        <v>30</v>
      </c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 t="s">
        <v>30</v>
      </c>
      <c r="Z50" s="54"/>
      <c r="AA50" s="54"/>
      <c r="AB50" s="60" t="s">
        <v>30</v>
      </c>
      <c r="AC50" s="62" t="s">
        <v>30</v>
      </c>
      <c r="AD50" s="62">
        <v>0</v>
      </c>
      <c r="AE50" s="120">
        <v>0</v>
      </c>
      <c r="AF50" s="120">
        <v>0</v>
      </c>
      <c r="AG50" s="62"/>
      <c r="AH50" s="62" t="s">
        <v>30</v>
      </c>
      <c r="AI50" s="56" t="s">
        <v>30</v>
      </c>
    </row>
    <row r="51" spans="2:35" ht="14.25" customHeight="1" x14ac:dyDescent="0.2">
      <c r="B51" s="54"/>
      <c r="C51" s="64"/>
      <c r="D51" s="54"/>
      <c r="E51" s="54" t="s">
        <v>30</v>
      </c>
      <c r="F51" s="54"/>
      <c r="G51" s="54" t="s">
        <v>30</v>
      </c>
      <c r="H51" s="55" t="s">
        <v>30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 t="s">
        <v>30</v>
      </c>
      <c r="Z51" s="54"/>
      <c r="AA51" s="54"/>
      <c r="AB51" s="60" t="s">
        <v>30</v>
      </c>
      <c r="AC51" s="62" t="s">
        <v>30</v>
      </c>
      <c r="AD51" s="62">
        <v>0</v>
      </c>
      <c r="AE51" s="120">
        <v>0</v>
      </c>
      <c r="AF51" s="120">
        <v>0</v>
      </c>
      <c r="AG51" s="62"/>
      <c r="AH51" s="62" t="s">
        <v>30</v>
      </c>
      <c r="AI51" s="56" t="s">
        <v>30</v>
      </c>
    </row>
    <row r="52" spans="2:35" ht="14.25" customHeight="1" x14ac:dyDescent="0.2">
      <c r="B52" s="54"/>
      <c r="C52" s="64"/>
      <c r="D52" s="54"/>
      <c r="E52" s="54" t="s">
        <v>30</v>
      </c>
      <c r="F52" s="54"/>
      <c r="G52" s="54" t="s">
        <v>30</v>
      </c>
      <c r="H52" s="55" t="s">
        <v>30</v>
      </c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 t="s">
        <v>30</v>
      </c>
      <c r="Z52" s="54"/>
      <c r="AA52" s="54"/>
      <c r="AB52" s="60" t="s">
        <v>30</v>
      </c>
      <c r="AC52" s="62" t="s">
        <v>30</v>
      </c>
      <c r="AD52" s="62">
        <v>0</v>
      </c>
      <c r="AE52" s="120">
        <v>0</v>
      </c>
      <c r="AF52" s="120">
        <v>0</v>
      </c>
      <c r="AG52" s="62"/>
      <c r="AH52" s="62" t="s">
        <v>30</v>
      </c>
      <c r="AI52" s="56" t="s">
        <v>30</v>
      </c>
    </row>
    <row r="53" spans="2:35" ht="14.25" customHeight="1" x14ac:dyDescent="0.2">
      <c r="B53" s="54"/>
      <c r="C53" s="64"/>
      <c r="D53" s="54"/>
      <c r="E53" s="54" t="s">
        <v>30</v>
      </c>
      <c r="F53" s="54"/>
      <c r="G53" s="54" t="s">
        <v>30</v>
      </c>
      <c r="H53" s="55" t="s">
        <v>30</v>
      </c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 t="s">
        <v>30</v>
      </c>
      <c r="Z53" s="54"/>
      <c r="AA53" s="54"/>
      <c r="AB53" s="60" t="s">
        <v>30</v>
      </c>
      <c r="AC53" s="62" t="s">
        <v>30</v>
      </c>
      <c r="AD53" s="62">
        <v>0</v>
      </c>
      <c r="AE53" s="120">
        <v>0</v>
      </c>
      <c r="AF53" s="120">
        <v>0</v>
      </c>
      <c r="AG53" s="62"/>
      <c r="AH53" s="62" t="s">
        <v>30</v>
      </c>
      <c r="AI53" s="56" t="s">
        <v>30</v>
      </c>
    </row>
    <row r="54" spans="2:35" ht="14.25" customHeight="1" x14ac:dyDescent="0.2">
      <c r="B54" s="54"/>
      <c r="C54" s="64"/>
      <c r="D54" s="54"/>
      <c r="E54" s="54" t="s">
        <v>30</v>
      </c>
      <c r="F54" s="54"/>
      <c r="G54" s="54" t="s">
        <v>30</v>
      </c>
      <c r="H54" s="55" t="s">
        <v>30</v>
      </c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 t="s">
        <v>30</v>
      </c>
      <c r="Z54" s="54"/>
      <c r="AA54" s="54"/>
      <c r="AB54" s="60" t="s">
        <v>30</v>
      </c>
      <c r="AC54" s="62" t="s">
        <v>30</v>
      </c>
      <c r="AD54" s="62">
        <v>0</v>
      </c>
      <c r="AE54" s="120">
        <v>0</v>
      </c>
      <c r="AF54" s="120">
        <v>0</v>
      </c>
      <c r="AG54" s="62"/>
      <c r="AH54" s="62" t="s">
        <v>30</v>
      </c>
      <c r="AI54" s="56" t="s">
        <v>30</v>
      </c>
    </row>
    <row r="55" spans="2:35" ht="14.25" customHeight="1" x14ac:dyDescent="0.2">
      <c r="B55" s="54"/>
      <c r="C55" s="64"/>
      <c r="D55" s="54"/>
      <c r="E55" s="54"/>
      <c r="F55" s="54"/>
      <c r="G55" s="54"/>
      <c r="H55" s="55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Z55" s="54"/>
      <c r="AA55" s="54"/>
      <c r="AB55" s="60"/>
      <c r="AC55" s="62"/>
      <c r="AD55" s="62"/>
      <c r="AE55" s="120"/>
      <c r="AF55" s="120"/>
      <c r="AG55" s="62"/>
      <c r="AH55" s="62"/>
      <c r="AI55" s="56"/>
    </row>
    <row r="56" spans="2:35" ht="14.25" customHeight="1" x14ac:dyDescent="0.2">
      <c r="B56" s="54"/>
      <c r="C56" s="64"/>
      <c r="D56" s="54"/>
      <c r="E56" s="54"/>
      <c r="F56" s="54"/>
      <c r="G56" s="54"/>
      <c r="H56" s="55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Z56" s="54"/>
      <c r="AA56" s="54"/>
      <c r="AB56" s="60"/>
      <c r="AC56" s="62"/>
      <c r="AD56" s="62"/>
      <c r="AE56" s="120"/>
      <c r="AF56" s="120"/>
      <c r="AG56" s="62"/>
      <c r="AH56" s="62"/>
      <c r="AI56" s="56"/>
    </row>
    <row r="57" spans="2:35" ht="14.25" customHeight="1" x14ac:dyDescent="0.2">
      <c r="B57" s="54"/>
      <c r="C57" s="64"/>
      <c r="D57" s="54"/>
      <c r="E57" s="54"/>
      <c r="F57" s="54"/>
      <c r="G57" s="54"/>
      <c r="H57" s="55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Z57" s="54"/>
      <c r="AA57" s="54"/>
      <c r="AB57" s="60"/>
      <c r="AC57" s="62"/>
      <c r="AD57" s="62"/>
      <c r="AE57" s="120"/>
      <c r="AF57" s="120"/>
      <c r="AG57" s="62"/>
      <c r="AH57" s="62"/>
      <c r="AI57" s="56"/>
    </row>
    <row r="58" spans="2:35" ht="14.25" customHeight="1" x14ac:dyDescent="0.2">
      <c r="B58" s="54"/>
      <c r="C58" s="64"/>
      <c r="D58" s="54"/>
      <c r="E58" s="54"/>
      <c r="F58" s="54"/>
      <c r="G58" s="54"/>
      <c r="H58" s="55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Z58" s="54"/>
      <c r="AA58" s="54"/>
      <c r="AB58" s="60"/>
      <c r="AC58" s="62"/>
      <c r="AD58" s="62"/>
      <c r="AE58" s="120"/>
      <c r="AF58" s="120"/>
      <c r="AG58" s="62"/>
      <c r="AH58" s="62"/>
      <c r="AI58" s="56"/>
    </row>
    <row r="59" spans="2:35" ht="14.25" customHeight="1" x14ac:dyDescent="0.2">
      <c r="B59" s="54"/>
      <c r="C59" s="64"/>
      <c r="D59" s="54"/>
      <c r="E59" s="54"/>
      <c r="F59" s="54"/>
      <c r="G59" s="54"/>
      <c r="H59" s="55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Z59" s="54"/>
      <c r="AA59" s="54"/>
      <c r="AB59" s="60"/>
      <c r="AC59" s="62"/>
      <c r="AD59" s="62"/>
      <c r="AE59" s="120"/>
      <c r="AF59" s="120"/>
      <c r="AG59" s="62"/>
      <c r="AH59" s="62"/>
      <c r="AI59" s="56"/>
    </row>
    <row r="60" spans="2:35" ht="14.25" customHeight="1" x14ac:dyDescent="0.2">
      <c r="B60" s="54"/>
      <c r="C60" s="64"/>
      <c r="D60" s="54"/>
      <c r="E60" s="54"/>
      <c r="F60" s="54"/>
      <c r="G60" s="54"/>
      <c r="H60" s="55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Z60" s="54"/>
      <c r="AA60" s="54"/>
      <c r="AB60" s="60"/>
      <c r="AC60" s="62"/>
      <c r="AD60" s="62"/>
      <c r="AE60" s="120"/>
      <c r="AF60" s="120"/>
      <c r="AG60" s="62"/>
      <c r="AH60" s="62"/>
      <c r="AI60" s="56"/>
    </row>
    <row r="61" spans="2:35" ht="14.25" customHeight="1" x14ac:dyDescent="0.2">
      <c r="B61" s="54"/>
      <c r="C61" s="64"/>
      <c r="D61" s="54"/>
      <c r="E61" s="54"/>
      <c r="F61" s="54"/>
      <c r="G61" s="54"/>
      <c r="H61" s="55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Z61" s="54"/>
      <c r="AA61" s="54"/>
      <c r="AB61" s="60"/>
      <c r="AC61" s="62"/>
      <c r="AD61" s="62"/>
      <c r="AE61" s="120"/>
      <c r="AF61" s="120"/>
      <c r="AG61" s="62"/>
      <c r="AH61" s="62"/>
      <c r="AI61" s="56"/>
    </row>
    <row r="62" spans="2:35" ht="14.25" customHeight="1" x14ac:dyDescent="0.2">
      <c r="B62" s="54"/>
      <c r="C62" s="64"/>
      <c r="D62" s="54"/>
      <c r="E62" s="54"/>
      <c r="F62" s="54"/>
      <c r="G62" s="54"/>
      <c r="H62" s="55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Z62" s="54"/>
      <c r="AA62" s="54"/>
      <c r="AB62" s="60"/>
      <c r="AC62" s="62"/>
      <c r="AD62" s="62"/>
      <c r="AE62" s="120"/>
      <c r="AF62" s="120"/>
      <c r="AG62" s="62"/>
      <c r="AH62" s="62"/>
      <c r="AI62" s="56"/>
    </row>
    <row r="63" spans="2:35" ht="14.25" customHeight="1" x14ac:dyDescent="0.2">
      <c r="B63" s="54"/>
      <c r="C63" s="64"/>
      <c r="D63" s="54"/>
      <c r="E63" s="54"/>
      <c r="F63" s="54"/>
      <c r="G63" s="54"/>
      <c r="H63" s="55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Z63" s="54"/>
      <c r="AA63" s="54"/>
      <c r="AB63" s="60"/>
      <c r="AC63" s="62"/>
      <c r="AD63" s="62"/>
      <c r="AE63" s="120"/>
      <c r="AF63" s="120"/>
      <c r="AG63" s="62"/>
      <c r="AH63" s="62"/>
      <c r="AI63" s="56"/>
    </row>
    <row r="64" spans="2:35" ht="14.25" customHeight="1" x14ac:dyDescent="0.2">
      <c r="B64" s="54"/>
      <c r="C64" s="64"/>
      <c r="D64" s="54"/>
      <c r="E64" s="54"/>
      <c r="F64" s="54"/>
      <c r="G64" s="54"/>
      <c r="H64" s="55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Z64" s="54"/>
      <c r="AA64" s="54"/>
      <c r="AB64" s="60"/>
      <c r="AC64" s="62"/>
      <c r="AD64" s="62"/>
      <c r="AE64" s="120"/>
      <c r="AF64" s="120"/>
      <c r="AG64" s="62"/>
      <c r="AH64" s="62"/>
      <c r="AI64" s="56"/>
    </row>
    <row r="65" spans="2:35" ht="14.25" customHeight="1" x14ac:dyDescent="0.2">
      <c r="B65" s="54"/>
      <c r="C65" s="64"/>
      <c r="D65" s="54"/>
      <c r="E65" s="54"/>
      <c r="F65" s="54"/>
      <c r="G65" s="54"/>
      <c r="H65" s="55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Z65" s="54"/>
      <c r="AA65" s="54"/>
      <c r="AB65" s="60"/>
      <c r="AC65" s="62"/>
      <c r="AD65" s="62"/>
      <c r="AE65" s="120"/>
      <c r="AF65" s="120"/>
      <c r="AG65" s="62"/>
      <c r="AH65" s="62"/>
      <c r="AI65" s="56"/>
    </row>
    <row r="66" spans="2:35" ht="14.25" customHeight="1" x14ac:dyDescent="0.2">
      <c r="B66" s="54"/>
      <c r="C66" s="64"/>
      <c r="D66" s="54"/>
      <c r="E66" s="54"/>
      <c r="F66" s="54"/>
      <c r="G66" s="54"/>
      <c r="H66" s="55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Z66" s="54"/>
      <c r="AA66" s="54"/>
      <c r="AB66" s="60"/>
      <c r="AC66" s="62"/>
      <c r="AD66" s="62"/>
      <c r="AE66" s="120"/>
      <c r="AF66" s="120"/>
      <c r="AG66" s="62"/>
      <c r="AH66" s="62"/>
      <c r="AI66" s="56"/>
    </row>
    <row r="67" spans="2:35" ht="14.25" customHeight="1" x14ac:dyDescent="0.2">
      <c r="B67" s="54"/>
      <c r="C67" s="64"/>
      <c r="D67" s="54"/>
      <c r="E67" s="54"/>
      <c r="F67" s="54"/>
      <c r="G67" s="54"/>
      <c r="H67" s="55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Z67" s="54"/>
      <c r="AA67" s="54"/>
      <c r="AB67" s="60"/>
      <c r="AC67" s="62"/>
      <c r="AD67" s="62"/>
      <c r="AE67" s="120"/>
      <c r="AF67" s="120"/>
      <c r="AG67" s="62"/>
      <c r="AH67" s="62"/>
      <c r="AI67" s="56"/>
    </row>
    <row r="68" spans="2:35" ht="14.25" customHeight="1" x14ac:dyDescent="0.2">
      <c r="B68" s="54"/>
      <c r="C68" s="64"/>
      <c r="D68" s="54"/>
      <c r="E68" s="54"/>
      <c r="F68" s="54"/>
      <c r="G68" s="54"/>
      <c r="H68" s="55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Z68" s="54"/>
      <c r="AA68" s="54"/>
      <c r="AB68" s="60"/>
      <c r="AC68" s="62"/>
      <c r="AD68" s="62"/>
      <c r="AE68" s="120"/>
      <c r="AF68" s="120"/>
      <c r="AG68" s="62"/>
      <c r="AH68" s="62"/>
      <c r="AI68" s="56"/>
    </row>
    <row r="69" spans="2:35" ht="14.25" customHeight="1" x14ac:dyDescent="0.2">
      <c r="B69" s="54"/>
      <c r="C69" s="64"/>
      <c r="D69" s="54"/>
      <c r="E69" s="54"/>
      <c r="F69" s="54"/>
      <c r="G69" s="54"/>
      <c r="H69" s="55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Z69" s="54"/>
      <c r="AA69" s="54"/>
      <c r="AB69" s="60"/>
      <c r="AC69" s="62"/>
      <c r="AD69" s="62"/>
      <c r="AE69" s="120"/>
      <c r="AF69" s="120"/>
      <c r="AG69" s="62"/>
      <c r="AH69" s="62"/>
      <c r="AI69" s="56"/>
    </row>
    <row r="70" spans="2:35" ht="14.25" customHeight="1" x14ac:dyDescent="0.2">
      <c r="B70" s="54"/>
      <c r="C70" s="64"/>
      <c r="D70" s="54"/>
      <c r="E70" s="54"/>
      <c r="F70" s="54"/>
      <c r="G70" s="54"/>
      <c r="H70" s="55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Z70" s="54"/>
      <c r="AA70" s="54"/>
      <c r="AB70" s="60"/>
      <c r="AC70" s="62"/>
      <c r="AD70" s="62"/>
      <c r="AE70" s="120"/>
      <c r="AF70" s="120"/>
      <c r="AG70" s="62"/>
      <c r="AH70" s="62"/>
      <c r="AI70" s="56"/>
    </row>
    <row r="71" spans="2:35" ht="14.25" customHeight="1" x14ac:dyDescent="0.2">
      <c r="B71" s="54"/>
      <c r="C71" s="64"/>
      <c r="D71" s="54"/>
      <c r="E71" s="54"/>
      <c r="F71" s="54"/>
      <c r="G71" s="54"/>
      <c r="H71" s="55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Z71" s="54"/>
      <c r="AA71" s="54"/>
      <c r="AB71" s="60"/>
      <c r="AC71" s="62"/>
      <c r="AD71" s="62"/>
      <c r="AE71" s="120"/>
      <c r="AF71" s="120"/>
      <c r="AG71" s="62"/>
      <c r="AH71" s="62"/>
      <c r="AI71" s="56"/>
    </row>
    <row r="72" spans="2:35" ht="14.25" customHeight="1" x14ac:dyDescent="0.2">
      <c r="B72" s="54"/>
      <c r="C72" s="64"/>
      <c r="D72" s="54"/>
      <c r="E72" s="54"/>
      <c r="F72" s="54"/>
      <c r="G72" s="54"/>
      <c r="H72" s="55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Z72" s="54"/>
      <c r="AA72" s="54"/>
      <c r="AB72" s="60"/>
      <c r="AC72" s="62"/>
      <c r="AD72" s="62"/>
      <c r="AE72" s="120"/>
      <c r="AF72" s="120"/>
      <c r="AG72" s="62"/>
      <c r="AH72" s="62"/>
      <c r="AI72" s="56"/>
    </row>
    <row r="73" spans="2:35" ht="14.25" customHeight="1" x14ac:dyDescent="0.2">
      <c r="B73" s="54"/>
      <c r="C73" s="64"/>
      <c r="D73" s="54"/>
      <c r="E73" s="54"/>
      <c r="F73" s="54"/>
      <c r="G73" s="54"/>
      <c r="H73" s="55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Z73" s="54"/>
      <c r="AA73" s="54"/>
      <c r="AB73" s="60"/>
      <c r="AC73" s="62"/>
      <c r="AD73" s="62"/>
      <c r="AE73" s="120"/>
      <c r="AF73" s="120"/>
      <c r="AG73" s="62"/>
      <c r="AH73" s="62"/>
      <c r="AI73" s="56"/>
    </row>
    <row r="74" spans="2:35" ht="14.25" customHeight="1" x14ac:dyDescent="0.2">
      <c r="B74" s="54"/>
      <c r="C74" s="64"/>
      <c r="D74" s="54"/>
      <c r="E74" s="54"/>
      <c r="F74" s="54"/>
      <c r="G74" s="54"/>
      <c r="H74" s="55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Z74" s="54"/>
      <c r="AA74" s="54"/>
      <c r="AB74" s="60"/>
      <c r="AC74" s="62"/>
      <c r="AD74" s="62"/>
      <c r="AE74" s="120"/>
      <c r="AF74" s="120"/>
      <c r="AG74" s="62"/>
      <c r="AH74" s="62"/>
      <c r="AI74" s="56"/>
    </row>
    <row r="75" spans="2:35" ht="14.25" customHeight="1" x14ac:dyDescent="0.2">
      <c r="B75" s="54"/>
      <c r="C75" s="64"/>
      <c r="D75" s="54"/>
      <c r="E75" s="54"/>
      <c r="F75" s="54"/>
      <c r="G75" s="54"/>
      <c r="H75" s="55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Z75" s="54"/>
      <c r="AA75" s="54"/>
      <c r="AB75" s="60"/>
      <c r="AC75" s="62"/>
      <c r="AD75" s="62"/>
      <c r="AE75" s="120"/>
      <c r="AF75" s="120"/>
      <c r="AG75" s="62"/>
      <c r="AH75" s="62"/>
      <c r="AI75" s="56"/>
    </row>
    <row r="76" spans="2:35" ht="14.25" customHeight="1" x14ac:dyDescent="0.2">
      <c r="B76" s="54"/>
      <c r="C76" s="64"/>
      <c r="D76" s="54"/>
      <c r="E76" s="54"/>
      <c r="F76" s="54"/>
      <c r="G76" s="54"/>
      <c r="H76" s="55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Z76" s="54"/>
      <c r="AA76" s="54"/>
      <c r="AB76" s="60"/>
      <c r="AC76" s="62"/>
      <c r="AD76" s="62"/>
      <c r="AE76" s="120"/>
      <c r="AF76" s="120"/>
      <c r="AG76" s="62"/>
      <c r="AH76" s="62"/>
      <c r="AI76" s="56"/>
    </row>
    <row r="77" spans="2:35" ht="14.25" customHeight="1" x14ac:dyDescent="0.2">
      <c r="B77" s="54"/>
      <c r="C77" s="64"/>
      <c r="D77" s="54"/>
      <c r="E77" s="54"/>
      <c r="F77" s="54"/>
      <c r="G77" s="54"/>
      <c r="H77" s="55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Z77" s="54"/>
      <c r="AA77" s="54"/>
      <c r="AB77" s="60"/>
      <c r="AC77" s="62"/>
      <c r="AD77" s="62"/>
      <c r="AE77" s="120"/>
      <c r="AF77" s="120"/>
      <c r="AG77" s="62"/>
      <c r="AH77" s="62"/>
      <c r="AI77" s="56"/>
    </row>
    <row r="78" spans="2:35" ht="14.25" customHeight="1" x14ac:dyDescent="0.2">
      <c r="B78" s="54"/>
      <c r="C78" s="64"/>
      <c r="D78" s="54"/>
      <c r="E78" s="54"/>
      <c r="F78" s="54"/>
      <c r="G78" s="54"/>
      <c r="H78" s="55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Z78" s="54"/>
      <c r="AA78" s="54"/>
      <c r="AB78" s="60"/>
      <c r="AC78" s="62"/>
      <c r="AD78" s="62"/>
      <c r="AE78" s="120"/>
      <c r="AF78" s="120"/>
      <c r="AG78" s="62"/>
      <c r="AH78" s="62"/>
      <c r="AI78" s="56"/>
    </row>
    <row r="79" spans="2:35" ht="14.25" customHeight="1" x14ac:dyDescent="0.2">
      <c r="B79" s="54"/>
      <c r="C79" s="64"/>
      <c r="D79" s="54"/>
      <c r="E79" s="54"/>
      <c r="F79" s="54"/>
      <c r="G79" s="54"/>
      <c r="H79" s="55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Z79" s="54"/>
      <c r="AA79" s="54"/>
      <c r="AB79" s="60"/>
      <c r="AC79" s="62"/>
      <c r="AD79" s="62"/>
      <c r="AE79" s="120"/>
      <c r="AF79" s="120"/>
      <c r="AG79" s="62"/>
      <c r="AH79" s="62"/>
      <c r="AI79" s="56"/>
    </row>
    <row r="80" spans="2:35" ht="14.25" customHeight="1" x14ac:dyDescent="0.2">
      <c r="B80" s="54"/>
      <c r="C80" s="64"/>
      <c r="D80" s="54"/>
      <c r="E80" s="54"/>
      <c r="F80" s="54"/>
      <c r="G80" s="54"/>
      <c r="H80" s="55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Z80" s="54"/>
      <c r="AA80" s="54"/>
      <c r="AB80" s="60"/>
      <c r="AC80" s="62"/>
      <c r="AD80" s="62"/>
      <c r="AE80" s="120"/>
      <c r="AF80" s="120"/>
      <c r="AG80" s="62"/>
      <c r="AH80" s="62"/>
      <c r="AI80" s="56"/>
    </row>
    <row r="81" spans="2:35" ht="14.25" customHeight="1" x14ac:dyDescent="0.2">
      <c r="B81" s="54"/>
      <c r="C81" s="64"/>
      <c r="D81" s="54"/>
      <c r="E81" s="54"/>
      <c r="F81" s="54"/>
      <c r="G81" s="54"/>
      <c r="H81" s="55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Z81" s="54"/>
      <c r="AA81" s="54"/>
      <c r="AB81" s="60"/>
      <c r="AC81" s="62"/>
      <c r="AD81" s="62"/>
      <c r="AE81" s="120"/>
      <c r="AF81" s="120"/>
      <c r="AG81" s="62"/>
      <c r="AH81" s="62"/>
      <c r="AI81" s="56"/>
    </row>
    <row r="82" spans="2:35" ht="14.25" customHeight="1" x14ac:dyDescent="0.2">
      <c r="B82" s="54"/>
      <c r="C82" s="64"/>
      <c r="D82" s="54"/>
      <c r="E82" s="54"/>
      <c r="F82" s="54"/>
      <c r="G82" s="54"/>
      <c r="H82" s="55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Z82" s="54"/>
      <c r="AA82" s="54"/>
      <c r="AB82" s="60"/>
      <c r="AC82" s="62"/>
      <c r="AD82" s="62"/>
      <c r="AE82" s="120"/>
      <c r="AF82" s="120"/>
      <c r="AG82" s="62"/>
      <c r="AH82" s="62"/>
      <c r="AI82" s="56"/>
    </row>
    <row r="83" spans="2:35" ht="14.25" customHeight="1" x14ac:dyDescent="0.2">
      <c r="B83" s="54"/>
      <c r="C83" s="64"/>
      <c r="D83" s="54"/>
      <c r="E83" s="54"/>
      <c r="F83" s="54"/>
      <c r="G83" s="54"/>
      <c r="H83" s="55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Z83" s="54"/>
      <c r="AA83" s="54"/>
      <c r="AB83" s="60"/>
      <c r="AC83" s="62"/>
      <c r="AD83" s="62"/>
      <c r="AE83" s="120"/>
      <c r="AF83" s="120"/>
      <c r="AG83" s="62"/>
      <c r="AH83" s="62"/>
      <c r="AI83" s="56"/>
    </row>
    <row r="84" spans="2:35" ht="14.25" customHeight="1" x14ac:dyDescent="0.2">
      <c r="B84" s="54"/>
      <c r="C84" s="64"/>
      <c r="D84" s="54"/>
      <c r="E84" s="54"/>
      <c r="F84" s="54"/>
      <c r="G84" s="54"/>
      <c r="H84" s="55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Z84" s="54"/>
      <c r="AA84" s="54"/>
      <c r="AB84" s="60"/>
      <c r="AC84" s="62"/>
      <c r="AD84" s="62"/>
      <c r="AE84" s="120"/>
      <c r="AF84" s="120"/>
      <c r="AG84" s="62"/>
      <c r="AH84" s="62"/>
      <c r="AI84" s="56"/>
    </row>
    <row r="85" spans="2:35" ht="14.25" customHeight="1" x14ac:dyDescent="0.2">
      <c r="B85" s="54"/>
      <c r="C85" s="64"/>
      <c r="D85" s="54"/>
      <c r="E85" s="54"/>
      <c r="F85" s="54"/>
      <c r="G85" s="54"/>
      <c r="H85" s="55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Z85" s="54"/>
      <c r="AA85" s="54"/>
      <c r="AB85" s="60"/>
      <c r="AC85" s="62"/>
      <c r="AD85" s="62"/>
      <c r="AE85" s="120"/>
      <c r="AF85" s="120"/>
      <c r="AG85" s="62"/>
      <c r="AH85" s="62"/>
      <c r="AI85" s="56"/>
    </row>
    <row r="86" spans="2:35" ht="14.25" customHeight="1" x14ac:dyDescent="0.2">
      <c r="B86" s="54"/>
      <c r="C86" s="64"/>
      <c r="D86" s="54"/>
      <c r="E86" s="54"/>
      <c r="F86" s="54"/>
      <c r="G86" s="54"/>
      <c r="H86" s="55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Z86" s="54"/>
      <c r="AA86" s="54"/>
      <c r="AB86" s="60"/>
      <c r="AC86" s="62"/>
      <c r="AD86" s="62"/>
      <c r="AE86" s="120"/>
      <c r="AF86" s="120"/>
      <c r="AG86" s="62"/>
      <c r="AH86" s="62"/>
      <c r="AI86" s="56"/>
    </row>
    <row r="87" spans="2:35" ht="14.25" customHeight="1" x14ac:dyDescent="0.2">
      <c r="B87" s="54"/>
      <c r="C87" s="64"/>
      <c r="D87" s="54"/>
      <c r="E87" s="54"/>
      <c r="F87" s="54"/>
      <c r="G87" s="54"/>
      <c r="H87" s="55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Z87" s="54"/>
      <c r="AA87" s="54"/>
      <c r="AB87" s="60"/>
      <c r="AC87" s="62"/>
      <c r="AD87" s="62"/>
      <c r="AE87" s="120"/>
      <c r="AF87" s="120"/>
      <c r="AG87" s="62"/>
      <c r="AH87" s="62"/>
      <c r="AI87" s="56"/>
    </row>
    <row r="88" spans="2:35" ht="14.25" customHeight="1" x14ac:dyDescent="0.2">
      <c r="B88" s="54"/>
      <c r="C88" s="64"/>
      <c r="D88" s="54"/>
      <c r="E88" s="54"/>
      <c r="F88" s="54"/>
      <c r="G88" s="54"/>
      <c r="H88" s="55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Z88" s="54"/>
      <c r="AA88" s="54"/>
      <c r="AB88" s="60"/>
      <c r="AC88" s="62"/>
      <c r="AD88" s="62"/>
      <c r="AE88" s="120"/>
      <c r="AF88" s="120"/>
      <c r="AG88" s="62"/>
      <c r="AH88" s="62"/>
      <c r="AI88" s="56"/>
    </row>
    <row r="89" spans="2:35" ht="14.25" customHeight="1" x14ac:dyDescent="0.2">
      <c r="B89" s="54"/>
      <c r="C89" s="64"/>
      <c r="D89" s="54"/>
      <c r="E89" s="54"/>
      <c r="F89" s="54"/>
      <c r="G89" s="54"/>
      <c r="H89" s="55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Z89" s="54"/>
      <c r="AA89" s="54"/>
      <c r="AB89" s="60"/>
      <c r="AC89" s="62"/>
      <c r="AD89" s="62"/>
      <c r="AE89" s="120"/>
      <c r="AF89" s="120"/>
      <c r="AG89" s="62"/>
      <c r="AH89" s="62"/>
      <c r="AI89" s="56"/>
    </row>
    <row r="90" spans="2:35" ht="14.25" customHeight="1" x14ac:dyDescent="0.2">
      <c r="B90" s="54"/>
      <c r="C90" s="64"/>
      <c r="D90" s="54"/>
      <c r="E90" s="54"/>
      <c r="F90" s="54"/>
      <c r="G90" s="54"/>
      <c r="H90" s="55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Z90" s="54"/>
      <c r="AA90" s="54"/>
      <c r="AB90" s="60"/>
      <c r="AC90" s="62"/>
      <c r="AD90" s="62"/>
      <c r="AE90" s="120"/>
      <c r="AF90" s="120"/>
      <c r="AG90" s="62"/>
      <c r="AH90" s="62"/>
      <c r="AI90" s="56"/>
    </row>
    <row r="91" spans="2:35" ht="14.25" customHeight="1" x14ac:dyDescent="0.2">
      <c r="B91" s="54"/>
      <c r="C91" s="64"/>
      <c r="D91" s="54"/>
      <c r="E91" s="54"/>
      <c r="F91" s="54"/>
      <c r="G91" s="54"/>
      <c r="H91" s="55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Z91" s="54"/>
      <c r="AA91" s="54"/>
      <c r="AB91" s="60"/>
      <c r="AC91" s="62"/>
      <c r="AD91" s="62"/>
      <c r="AE91" s="120"/>
      <c r="AF91" s="120"/>
      <c r="AG91" s="62"/>
      <c r="AH91" s="62"/>
      <c r="AI91" s="56"/>
    </row>
    <row r="92" spans="2:35" ht="14.25" customHeight="1" x14ac:dyDescent="0.2">
      <c r="B92" s="54"/>
      <c r="C92" s="64"/>
      <c r="D92" s="54"/>
      <c r="E92" s="54"/>
      <c r="F92" s="54"/>
      <c r="G92" s="54"/>
      <c r="H92" s="55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Z92" s="54"/>
      <c r="AA92" s="54"/>
      <c r="AB92" s="60"/>
      <c r="AC92" s="62"/>
      <c r="AD92" s="62"/>
      <c r="AE92" s="120"/>
      <c r="AF92" s="120"/>
      <c r="AG92" s="62"/>
      <c r="AH92" s="62"/>
      <c r="AI92" s="56"/>
    </row>
    <row r="93" spans="2:35" ht="14.25" customHeight="1" x14ac:dyDescent="0.2">
      <c r="B93" s="54"/>
      <c r="C93" s="64"/>
      <c r="D93" s="54"/>
      <c r="E93" s="54"/>
      <c r="F93" s="54"/>
      <c r="G93" s="54"/>
      <c r="H93" s="55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Z93" s="54"/>
      <c r="AA93" s="54"/>
      <c r="AB93" s="60"/>
      <c r="AC93" s="62"/>
      <c r="AD93" s="62"/>
      <c r="AE93" s="120"/>
      <c r="AF93" s="120"/>
      <c r="AG93" s="62"/>
      <c r="AH93" s="62"/>
      <c r="AI93" s="56"/>
    </row>
    <row r="94" spans="2:35" ht="14.25" customHeight="1" x14ac:dyDescent="0.2">
      <c r="B94" s="54"/>
      <c r="C94" s="64"/>
      <c r="D94" s="54"/>
      <c r="E94" s="54"/>
      <c r="F94" s="54"/>
      <c r="G94" s="54"/>
      <c r="H94" s="55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Z94" s="54"/>
      <c r="AA94" s="54"/>
      <c r="AB94" s="60"/>
      <c r="AC94" s="62"/>
      <c r="AD94" s="62"/>
      <c r="AE94" s="120"/>
      <c r="AF94" s="120"/>
      <c r="AG94" s="62"/>
      <c r="AH94" s="62"/>
      <c r="AI94" s="56"/>
    </row>
    <row r="95" spans="2:35" ht="14.25" customHeight="1" x14ac:dyDescent="0.2">
      <c r="B95" s="54"/>
      <c r="C95" s="64"/>
      <c r="D95" s="54"/>
      <c r="E95" s="54"/>
      <c r="F95" s="54"/>
      <c r="G95" s="54"/>
      <c r="H95" s="55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Z95" s="54"/>
      <c r="AA95" s="54"/>
      <c r="AB95" s="60"/>
      <c r="AC95" s="62"/>
      <c r="AD95" s="62"/>
      <c r="AE95" s="120"/>
      <c r="AF95" s="120"/>
      <c r="AG95" s="62"/>
      <c r="AH95" s="62"/>
      <c r="AI95" s="56"/>
    </row>
    <row r="96" spans="2:35" ht="14.25" customHeight="1" x14ac:dyDescent="0.2">
      <c r="B96" s="54"/>
      <c r="C96" s="64"/>
      <c r="D96" s="54"/>
      <c r="E96" s="54"/>
      <c r="F96" s="54"/>
      <c r="G96" s="54"/>
      <c r="H96" s="55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Z96" s="54"/>
      <c r="AA96" s="54"/>
      <c r="AB96" s="60"/>
      <c r="AC96" s="62"/>
      <c r="AD96" s="62"/>
      <c r="AE96" s="120"/>
      <c r="AF96" s="120"/>
      <c r="AG96" s="62"/>
      <c r="AH96" s="62"/>
      <c r="AI96" s="56"/>
    </row>
    <row r="97" spans="2:35" ht="14.25" customHeight="1" x14ac:dyDescent="0.2">
      <c r="B97" s="54"/>
      <c r="C97" s="64"/>
      <c r="D97" s="54"/>
      <c r="E97" s="54"/>
      <c r="F97" s="54"/>
      <c r="G97" s="54"/>
      <c r="H97" s="55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Z97" s="54"/>
      <c r="AA97" s="54"/>
      <c r="AB97" s="60"/>
      <c r="AC97" s="62"/>
      <c r="AD97" s="62"/>
      <c r="AE97" s="120"/>
      <c r="AF97" s="120"/>
      <c r="AG97" s="62"/>
      <c r="AH97" s="62"/>
      <c r="AI97" s="56"/>
    </row>
    <row r="98" spans="2:35" ht="14.25" customHeight="1" x14ac:dyDescent="0.2">
      <c r="B98" s="54"/>
      <c r="C98" s="64"/>
      <c r="D98" s="54"/>
      <c r="E98" s="54"/>
      <c r="F98" s="54"/>
      <c r="G98" s="54"/>
      <c r="H98" s="55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Z98" s="54"/>
      <c r="AA98" s="54"/>
      <c r="AB98" s="60"/>
      <c r="AC98" s="62"/>
      <c r="AD98" s="62"/>
      <c r="AE98" s="120"/>
      <c r="AF98" s="120"/>
      <c r="AG98" s="62"/>
      <c r="AH98" s="62"/>
      <c r="AI98" s="56"/>
    </row>
    <row r="99" spans="2:35" ht="14.25" customHeight="1" x14ac:dyDescent="0.2">
      <c r="B99" s="54"/>
      <c r="C99" s="64"/>
      <c r="D99" s="54"/>
      <c r="E99" s="54"/>
      <c r="F99" s="54"/>
      <c r="G99" s="54"/>
      <c r="H99" s="55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Z99" s="54"/>
      <c r="AA99" s="54"/>
      <c r="AB99" s="60"/>
      <c r="AC99" s="62"/>
      <c r="AD99" s="62"/>
      <c r="AE99" s="120"/>
      <c r="AF99" s="120"/>
      <c r="AG99" s="62"/>
      <c r="AH99" s="62"/>
      <c r="AI99" s="56"/>
    </row>
    <row r="100" spans="2:35" ht="14.25" customHeight="1" x14ac:dyDescent="0.2">
      <c r="B100" s="54"/>
      <c r="C100" s="64"/>
      <c r="D100" s="54"/>
      <c r="E100" s="54"/>
      <c r="F100" s="54"/>
      <c r="G100" s="54"/>
      <c r="H100" s="55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Z100" s="54"/>
      <c r="AA100" s="54"/>
      <c r="AB100" s="60"/>
      <c r="AC100" s="62"/>
      <c r="AD100" s="62"/>
      <c r="AE100" s="120"/>
      <c r="AF100" s="120"/>
      <c r="AG100" s="62"/>
      <c r="AH100" s="62"/>
      <c r="AI100" s="56"/>
    </row>
    <row r="101" spans="2:35" ht="14.25" customHeight="1" x14ac:dyDescent="0.2">
      <c r="B101" s="54"/>
      <c r="C101" s="64"/>
      <c r="D101" s="54"/>
      <c r="E101" s="54"/>
      <c r="F101" s="54"/>
      <c r="G101" s="54"/>
      <c r="H101" s="55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Z101" s="54"/>
      <c r="AA101" s="54"/>
      <c r="AB101" s="60"/>
      <c r="AC101" s="62"/>
      <c r="AD101" s="62"/>
      <c r="AE101" s="120"/>
      <c r="AF101" s="120"/>
      <c r="AG101" s="62"/>
      <c r="AH101" s="62"/>
      <c r="AI101" s="56"/>
    </row>
    <row r="102" spans="2:35" ht="14.25" customHeight="1" x14ac:dyDescent="0.2">
      <c r="B102" s="54"/>
      <c r="C102" s="64"/>
      <c r="D102" s="54"/>
      <c r="E102" s="54"/>
      <c r="F102" s="54"/>
      <c r="G102" s="54"/>
      <c r="H102" s="55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Z102" s="54"/>
      <c r="AA102" s="54"/>
      <c r="AB102" s="60"/>
      <c r="AC102" s="62"/>
      <c r="AD102" s="62"/>
      <c r="AE102" s="120"/>
      <c r="AF102" s="120"/>
      <c r="AG102" s="62"/>
      <c r="AH102" s="62"/>
      <c r="AI102" s="56"/>
    </row>
    <row r="103" spans="2:35" ht="14.25" customHeight="1" x14ac:dyDescent="0.2">
      <c r="B103" s="54"/>
      <c r="C103" s="64"/>
      <c r="D103" s="54"/>
      <c r="E103" s="54"/>
      <c r="F103" s="54"/>
      <c r="G103" s="54"/>
      <c r="H103" s="55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Z103" s="54"/>
      <c r="AA103" s="54"/>
      <c r="AB103" s="60"/>
      <c r="AC103" s="62"/>
      <c r="AD103" s="62"/>
      <c r="AE103" s="120"/>
      <c r="AF103" s="120"/>
      <c r="AG103" s="62"/>
      <c r="AH103" s="62"/>
      <c r="AI103" s="56"/>
    </row>
    <row r="104" spans="2:35" ht="14.25" customHeight="1" x14ac:dyDescent="0.2">
      <c r="B104" s="54"/>
      <c r="C104" s="64"/>
      <c r="D104" s="54"/>
      <c r="E104" s="54"/>
      <c r="F104" s="54"/>
      <c r="G104" s="54"/>
      <c r="H104" s="55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Z104" s="54"/>
      <c r="AA104" s="54"/>
      <c r="AB104" s="60"/>
      <c r="AC104" s="62"/>
      <c r="AD104" s="62"/>
      <c r="AE104" s="120"/>
      <c r="AF104" s="120"/>
      <c r="AG104" s="62"/>
      <c r="AH104" s="62"/>
      <c r="AI104" s="56"/>
    </row>
    <row r="105" spans="2:35" ht="14.25" customHeight="1" x14ac:dyDescent="0.2">
      <c r="B105" s="54"/>
      <c r="C105" s="64"/>
      <c r="D105" s="54"/>
      <c r="E105" s="54"/>
      <c r="F105" s="54"/>
      <c r="G105" s="54"/>
      <c r="H105" s="55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Z105" s="54"/>
      <c r="AA105" s="54"/>
      <c r="AB105" s="60"/>
      <c r="AC105" s="62"/>
      <c r="AD105" s="62"/>
      <c r="AE105" s="120"/>
      <c r="AF105" s="120"/>
      <c r="AG105" s="62"/>
      <c r="AH105" s="62"/>
      <c r="AI105" s="56"/>
    </row>
    <row r="106" spans="2:35" ht="14.25" customHeight="1" x14ac:dyDescent="0.2">
      <c r="B106" s="54"/>
      <c r="C106" s="64"/>
      <c r="D106" s="54"/>
      <c r="E106" s="54"/>
      <c r="F106" s="54"/>
      <c r="G106" s="54"/>
      <c r="H106" s="55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Z106" s="54"/>
      <c r="AA106" s="54"/>
      <c r="AB106" s="60"/>
      <c r="AC106" s="62"/>
      <c r="AD106" s="62"/>
      <c r="AE106" s="120"/>
      <c r="AF106" s="120"/>
      <c r="AG106" s="62"/>
      <c r="AH106" s="62"/>
      <c r="AI106" s="56"/>
    </row>
    <row r="107" spans="2:35" ht="14.25" customHeight="1" x14ac:dyDescent="0.2">
      <c r="B107" s="54"/>
      <c r="C107" s="64"/>
      <c r="D107" s="54"/>
      <c r="E107" s="54"/>
      <c r="F107" s="54"/>
      <c r="G107" s="54"/>
      <c r="H107" s="55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Z107" s="54"/>
      <c r="AA107" s="54"/>
      <c r="AB107" s="60"/>
      <c r="AC107" s="62"/>
      <c r="AD107" s="62"/>
      <c r="AE107" s="120"/>
      <c r="AF107" s="120"/>
      <c r="AG107" s="62"/>
      <c r="AH107" s="62"/>
      <c r="AI107" s="56"/>
    </row>
    <row r="108" spans="2:35" ht="14.25" customHeight="1" x14ac:dyDescent="0.2">
      <c r="B108" s="54"/>
      <c r="C108" s="64"/>
      <c r="D108" s="54"/>
      <c r="E108" s="54"/>
      <c r="F108" s="54"/>
      <c r="G108" s="54"/>
      <c r="H108" s="55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Z108" s="54"/>
      <c r="AA108" s="54"/>
      <c r="AB108" s="60"/>
      <c r="AC108" s="62"/>
      <c r="AD108" s="62"/>
      <c r="AE108" s="120"/>
      <c r="AF108" s="120"/>
      <c r="AG108" s="62"/>
      <c r="AH108" s="62"/>
      <c r="AI108" s="56"/>
    </row>
    <row r="109" spans="2:35" ht="14.25" customHeight="1" x14ac:dyDescent="0.2">
      <c r="B109" s="54"/>
      <c r="C109" s="64"/>
      <c r="D109" s="54"/>
      <c r="E109" s="54"/>
      <c r="F109" s="54"/>
      <c r="G109" s="54"/>
      <c r="H109" s="55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Z109" s="54"/>
      <c r="AA109" s="54"/>
      <c r="AB109" s="60"/>
      <c r="AC109" s="62"/>
      <c r="AD109" s="62"/>
      <c r="AE109" s="120"/>
      <c r="AF109" s="120"/>
      <c r="AG109" s="62"/>
      <c r="AH109" s="62"/>
      <c r="AI109" s="56"/>
    </row>
    <row r="110" spans="2:35" ht="14.25" customHeight="1" x14ac:dyDescent="0.2">
      <c r="B110" s="54"/>
      <c r="C110" s="64"/>
      <c r="D110" s="54"/>
      <c r="E110" s="54"/>
      <c r="F110" s="54"/>
      <c r="G110" s="54"/>
      <c r="H110" s="55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Z110" s="54"/>
      <c r="AA110" s="54"/>
      <c r="AB110" s="60"/>
      <c r="AC110" s="62"/>
      <c r="AD110" s="62"/>
      <c r="AE110" s="120"/>
      <c r="AF110" s="120"/>
      <c r="AG110" s="62"/>
      <c r="AH110" s="62"/>
      <c r="AI110" s="56"/>
    </row>
    <row r="111" spans="2:35" ht="14.25" customHeight="1" x14ac:dyDescent="0.2">
      <c r="B111" s="54"/>
      <c r="C111" s="64"/>
      <c r="D111" s="54"/>
      <c r="E111" s="54"/>
      <c r="F111" s="54"/>
      <c r="G111" s="54"/>
      <c r="H111" s="55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Z111" s="54"/>
      <c r="AA111" s="54"/>
      <c r="AB111" s="60"/>
      <c r="AC111" s="62"/>
      <c r="AD111" s="62"/>
      <c r="AE111" s="120"/>
      <c r="AF111" s="120"/>
      <c r="AG111" s="62"/>
      <c r="AH111" s="62"/>
      <c r="AI111" s="56"/>
    </row>
    <row r="112" spans="2:35" ht="14.25" customHeight="1" x14ac:dyDescent="0.2">
      <c r="B112" s="54"/>
      <c r="C112" s="64"/>
      <c r="D112" s="54"/>
      <c r="E112" s="54"/>
      <c r="F112" s="54"/>
      <c r="G112" s="54"/>
      <c r="H112" s="55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Z112" s="54"/>
      <c r="AA112" s="54"/>
      <c r="AB112" s="60"/>
      <c r="AC112" s="62"/>
      <c r="AD112" s="62"/>
      <c r="AE112" s="120"/>
      <c r="AF112" s="120"/>
      <c r="AG112" s="62"/>
      <c r="AH112" s="62"/>
      <c r="AI112" s="56"/>
    </row>
    <row r="113" spans="2:35" ht="14.25" customHeight="1" x14ac:dyDescent="0.2">
      <c r="B113" s="54"/>
      <c r="C113" s="64"/>
      <c r="D113" s="54"/>
      <c r="E113" s="54"/>
      <c r="F113" s="54"/>
      <c r="G113" s="54"/>
      <c r="H113" s="55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Z113" s="54"/>
      <c r="AA113" s="54"/>
      <c r="AB113" s="60"/>
      <c r="AC113" s="62"/>
      <c r="AD113" s="62"/>
      <c r="AE113" s="120"/>
      <c r="AF113" s="120"/>
      <c r="AG113" s="62"/>
      <c r="AH113" s="62"/>
      <c r="AI113" s="56"/>
    </row>
    <row r="114" spans="2:35" ht="14.25" customHeight="1" x14ac:dyDescent="0.2">
      <c r="B114" s="54"/>
      <c r="C114" s="64"/>
      <c r="D114" s="54"/>
      <c r="E114" s="54"/>
      <c r="F114" s="54"/>
      <c r="G114" s="54"/>
      <c r="H114" s="55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Z114" s="54"/>
      <c r="AA114" s="54"/>
      <c r="AB114" s="60"/>
      <c r="AC114" s="62"/>
      <c r="AD114" s="62"/>
      <c r="AE114" s="120"/>
      <c r="AF114" s="120"/>
      <c r="AG114" s="62"/>
      <c r="AH114" s="62"/>
      <c r="AI114" s="56"/>
    </row>
    <row r="115" spans="2:35" ht="14.25" customHeight="1" x14ac:dyDescent="0.2">
      <c r="B115" s="54"/>
      <c r="C115" s="64"/>
      <c r="D115" s="54"/>
      <c r="E115" s="54"/>
      <c r="F115" s="54"/>
      <c r="G115" s="54"/>
      <c r="H115" s="55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Z115" s="54"/>
      <c r="AA115" s="54"/>
      <c r="AB115" s="60"/>
      <c r="AC115" s="62"/>
      <c r="AD115" s="62"/>
      <c r="AE115" s="120"/>
      <c r="AF115" s="120"/>
      <c r="AG115" s="62"/>
      <c r="AH115" s="62"/>
      <c r="AI115" s="56"/>
    </row>
    <row r="116" spans="2:35" ht="14.25" customHeight="1" x14ac:dyDescent="0.2">
      <c r="B116" s="54"/>
      <c r="C116" s="64"/>
      <c r="D116" s="54"/>
      <c r="E116" s="54"/>
      <c r="F116" s="54"/>
      <c r="G116" s="54"/>
      <c r="H116" s="55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Z116" s="54"/>
      <c r="AA116" s="54"/>
      <c r="AB116" s="60"/>
      <c r="AC116" s="62"/>
      <c r="AD116" s="62"/>
      <c r="AE116" s="120"/>
      <c r="AF116" s="120"/>
      <c r="AG116" s="62"/>
      <c r="AH116" s="62"/>
      <c r="AI116" s="56"/>
    </row>
    <row r="117" spans="2:35" ht="14.25" customHeight="1" x14ac:dyDescent="0.2">
      <c r="B117" s="54"/>
      <c r="C117" s="64"/>
      <c r="D117" s="54"/>
      <c r="E117" s="54"/>
      <c r="F117" s="54"/>
      <c r="G117" s="54"/>
      <c r="H117" s="55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Z117" s="54"/>
      <c r="AA117" s="54"/>
      <c r="AB117" s="60"/>
      <c r="AC117" s="62"/>
      <c r="AD117" s="62"/>
      <c r="AE117" s="120"/>
      <c r="AF117" s="120"/>
      <c r="AG117" s="62"/>
      <c r="AH117" s="62"/>
      <c r="AI117" s="56"/>
    </row>
    <row r="118" spans="2:35" ht="14.25" customHeight="1" x14ac:dyDescent="0.2">
      <c r="B118" s="54"/>
      <c r="C118" s="64"/>
      <c r="D118" s="54"/>
      <c r="E118" s="54"/>
      <c r="F118" s="54"/>
      <c r="G118" s="54"/>
      <c r="H118" s="55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Z118" s="54"/>
      <c r="AA118" s="54"/>
      <c r="AB118" s="60"/>
      <c r="AC118" s="62"/>
      <c r="AD118" s="62"/>
      <c r="AE118" s="120"/>
      <c r="AF118" s="120"/>
      <c r="AG118" s="62"/>
      <c r="AH118" s="62"/>
      <c r="AI118" s="56"/>
    </row>
    <row r="119" spans="2:35" ht="14.25" customHeight="1" x14ac:dyDescent="0.2">
      <c r="B119" s="54"/>
      <c r="C119" s="64"/>
      <c r="D119" s="54"/>
      <c r="E119" s="54"/>
      <c r="F119" s="54"/>
      <c r="G119" s="54"/>
      <c r="H119" s="55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Z119" s="54"/>
      <c r="AA119" s="54"/>
      <c r="AB119" s="60"/>
      <c r="AC119" s="62"/>
      <c r="AD119" s="62"/>
      <c r="AE119" s="120"/>
      <c r="AF119" s="120"/>
      <c r="AG119" s="62"/>
      <c r="AH119" s="62"/>
      <c r="AI119" s="56"/>
    </row>
    <row r="120" spans="2:35" ht="14.25" customHeight="1" x14ac:dyDescent="0.2">
      <c r="B120" s="54"/>
      <c r="C120" s="64"/>
      <c r="D120" s="54"/>
      <c r="E120" s="54"/>
      <c r="F120" s="54"/>
      <c r="G120" s="54"/>
      <c r="H120" s="55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Z120" s="54"/>
      <c r="AA120" s="54"/>
      <c r="AB120" s="60"/>
      <c r="AC120" s="62"/>
      <c r="AD120" s="62"/>
      <c r="AE120" s="120"/>
      <c r="AF120" s="120"/>
      <c r="AG120" s="62"/>
      <c r="AH120" s="62"/>
      <c r="AI120" s="56"/>
    </row>
    <row r="121" spans="2:35" ht="14.25" customHeight="1" x14ac:dyDescent="0.2">
      <c r="B121" s="54"/>
      <c r="C121" s="64"/>
      <c r="D121" s="54"/>
      <c r="E121" s="54"/>
      <c r="F121" s="54"/>
      <c r="G121" s="54"/>
      <c r="H121" s="55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Z121" s="54"/>
      <c r="AA121" s="54"/>
      <c r="AB121" s="60"/>
      <c r="AC121" s="62"/>
      <c r="AD121" s="62"/>
      <c r="AE121" s="120"/>
      <c r="AF121" s="120"/>
      <c r="AG121" s="62"/>
      <c r="AH121" s="62"/>
      <c r="AI121" s="56"/>
    </row>
    <row r="122" spans="2:35" ht="14.25" customHeight="1" x14ac:dyDescent="0.2">
      <c r="B122" s="54"/>
      <c r="C122" s="64"/>
      <c r="D122" s="54"/>
      <c r="E122" s="54"/>
      <c r="F122" s="54"/>
      <c r="G122" s="54"/>
      <c r="H122" s="55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Z122" s="54"/>
      <c r="AA122" s="54"/>
      <c r="AB122" s="60"/>
      <c r="AC122" s="62"/>
      <c r="AD122" s="62"/>
      <c r="AE122" s="120"/>
      <c r="AF122" s="120"/>
      <c r="AG122" s="62"/>
      <c r="AH122" s="62"/>
      <c r="AI122" s="56"/>
    </row>
    <row r="123" spans="2:35" ht="14.25" customHeight="1" x14ac:dyDescent="0.2">
      <c r="B123" s="54"/>
      <c r="C123" s="64"/>
      <c r="D123" s="54"/>
      <c r="E123" s="54"/>
      <c r="F123" s="54"/>
      <c r="G123" s="54"/>
      <c r="H123" s="55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Z123" s="54"/>
      <c r="AA123" s="54"/>
      <c r="AB123" s="60"/>
      <c r="AC123" s="62"/>
      <c r="AD123" s="62"/>
      <c r="AE123" s="120"/>
      <c r="AF123" s="120"/>
      <c r="AG123" s="62"/>
      <c r="AH123" s="62"/>
      <c r="AI123" s="56"/>
    </row>
    <row r="124" spans="2:35" ht="14.25" customHeight="1" x14ac:dyDescent="0.2">
      <c r="B124" s="54"/>
      <c r="C124" s="64"/>
      <c r="D124" s="54"/>
      <c r="E124" s="54"/>
      <c r="F124" s="54"/>
      <c r="G124" s="54"/>
      <c r="H124" s="55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Z124" s="54"/>
      <c r="AA124" s="54"/>
      <c r="AB124" s="60"/>
      <c r="AC124" s="62"/>
      <c r="AD124" s="62"/>
      <c r="AE124" s="120"/>
      <c r="AF124" s="120"/>
      <c r="AG124" s="62"/>
      <c r="AH124" s="62"/>
      <c r="AI124" s="56"/>
    </row>
    <row r="125" spans="2:35" ht="14.25" customHeight="1" x14ac:dyDescent="0.2">
      <c r="B125" s="54"/>
      <c r="C125" s="64"/>
      <c r="D125" s="54"/>
      <c r="E125" s="54"/>
      <c r="F125" s="54"/>
      <c r="G125" s="54"/>
      <c r="H125" s="55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Z125" s="54"/>
      <c r="AA125" s="54"/>
      <c r="AB125" s="60"/>
      <c r="AC125" s="62"/>
      <c r="AD125" s="62"/>
      <c r="AE125" s="120"/>
      <c r="AF125" s="120"/>
      <c r="AG125" s="62"/>
      <c r="AH125" s="62"/>
      <c r="AI125" s="56"/>
    </row>
    <row r="126" spans="2:35" ht="14.25" customHeight="1" x14ac:dyDescent="0.2">
      <c r="B126" s="54"/>
      <c r="C126" s="64"/>
      <c r="D126" s="54"/>
      <c r="E126" s="54"/>
      <c r="F126" s="54"/>
      <c r="G126" s="54"/>
      <c r="H126" s="55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Z126" s="54"/>
      <c r="AA126" s="54"/>
      <c r="AB126" s="60"/>
      <c r="AC126" s="62"/>
      <c r="AD126" s="62"/>
      <c r="AE126" s="120"/>
      <c r="AF126" s="120"/>
      <c r="AG126" s="62"/>
      <c r="AH126" s="62"/>
      <c r="AI126" s="56"/>
    </row>
    <row r="127" spans="2:35" ht="14.25" customHeight="1" x14ac:dyDescent="0.2">
      <c r="B127" s="54"/>
      <c r="C127" s="64"/>
      <c r="D127" s="54"/>
      <c r="E127" s="54"/>
      <c r="F127" s="54"/>
      <c r="G127" s="54"/>
      <c r="H127" s="55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Z127" s="54"/>
      <c r="AA127" s="54"/>
      <c r="AB127" s="60"/>
      <c r="AC127" s="62"/>
      <c r="AD127" s="62"/>
      <c r="AE127" s="120"/>
      <c r="AF127" s="120"/>
      <c r="AG127" s="62"/>
      <c r="AH127" s="62"/>
      <c r="AI127" s="56"/>
    </row>
    <row r="128" spans="2:35" ht="14.25" customHeight="1" x14ac:dyDescent="0.2">
      <c r="B128" s="54"/>
      <c r="C128" s="64"/>
      <c r="D128" s="54"/>
      <c r="E128" s="54"/>
      <c r="F128" s="54"/>
      <c r="G128" s="54"/>
      <c r="H128" s="55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Z128" s="54"/>
      <c r="AA128" s="54"/>
      <c r="AB128" s="60"/>
      <c r="AC128" s="62"/>
      <c r="AD128" s="62"/>
      <c r="AE128" s="120"/>
      <c r="AF128" s="120"/>
      <c r="AG128" s="62"/>
      <c r="AH128" s="62"/>
      <c r="AI128" s="56"/>
    </row>
    <row r="129" spans="2:35" ht="14.25" customHeight="1" x14ac:dyDescent="0.2">
      <c r="B129" s="54"/>
      <c r="C129" s="64"/>
      <c r="D129" s="54"/>
      <c r="E129" s="54"/>
      <c r="F129" s="54"/>
      <c r="G129" s="54"/>
      <c r="H129" s="55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Z129" s="54"/>
      <c r="AA129" s="54"/>
      <c r="AB129" s="60"/>
      <c r="AC129" s="62"/>
      <c r="AD129" s="62"/>
      <c r="AE129" s="120"/>
      <c r="AF129" s="120"/>
      <c r="AG129" s="62"/>
      <c r="AH129" s="62"/>
      <c r="AI129" s="56"/>
    </row>
    <row r="130" spans="2:35" ht="14.25" customHeight="1" x14ac:dyDescent="0.2">
      <c r="B130" s="54"/>
      <c r="C130" s="64"/>
      <c r="D130" s="54"/>
      <c r="E130" s="54"/>
      <c r="F130" s="54"/>
      <c r="G130" s="54"/>
      <c r="H130" s="55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Z130" s="54"/>
      <c r="AA130" s="54"/>
      <c r="AB130" s="60"/>
      <c r="AC130" s="62"/>
      <c r="AD130" s="62"/>
      <c r="AE130" s="120"/>
      <c r="AF130" s="120"/>
      <c r="AG130" s="62"/>
      <c r="AH130" s="62"/>
      <c r="AI130" s="56"/>
    </row>
    <row r="131" spans="2:35" ht="14.25" customHeight="1" x14ac:dyDescent="0.2">
      <c r="B131" s="54"/>
      <c r="C131" s="64"/>
      <c r="D131" s="54"/>
      <c r="E131" s="54"/>
      <c r="F131" s="54"/>
      <c r="G131" s="54"/>
      <c r="H131" s="55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Z131" s="54"/>
      <c r="AA131" s="54"/>
      <c r="AB131" s="60"/>
      <c r="AC131" s="62"/>
      <c r="AD131" s="62"/>
      <c r="AE131" s="120"/>
      <c r="AF131" s="120"/>
      <c r="AG131" s="62"/>
      <c r="AH131" s="62"/>
      <c r="AI131" s="56"/>
    </row>
    <row r="132" spans="2:35" ht="14.25" customHeight="1" x14ac:dyDescent="0.2">
      <c r="B132" s="54"/>
      <c r="C132" s="64"/>
      <c r="D132" s="54"/>
      <c r="E132" s="54"/>
      <c r="F132" s="54"/>
      <c r="G132" s="54"/>
      <c r="H132" s="55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Z132" s="54"/>
      <c r="AA132" s="54"/>
      <c r="AB132" s="60"/>
      <c r="AC132" s="62"/>
      <c r="AD132" s="62"/>
      <c r="AE132" s="120"/>
      <c r="AF132" s="120"/>
      <c r="AG132" s="62"/>
      <c r="AH132" s="62"/>
      <c r="AI132" s="56"/>
    </row>
    <row r="133" spans="2:35" ht="14.25" customHeight="1" x14ac:dyDescent="0.2">
      <c r="B133" s="54"/>
      <c r="C133" s="64"/>
      <c r="D133" s="54"/>
      <c r="E133" s="54"/>
      <c r="F133" s="54"/>
      <c r="G133" s="54"/>
      <c r="H133" s="55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Z133" s="54"/>
      <c r="AA133" s="54"/>
      <c r="AB133" s="60"/>
      <c r="AC133" s="62"/>
      <c r="AD133" s="62"/>
      <c r="AE133" s="120"/>
      <c r="AF133" s="120"/>
      <c r="AG133" s="62"/>
      <c r="AH133" s="62"/>
      <c r="AI133" s="56"/>
    </row>
    <row r="134" spans="2:35" ht="14.25" customHeight="1" x14ac:dyDescent="0.2">
      <c r="B134" s="54"/>
      <c r="C134" s="64"/>
      <c r="D134" s="54"/>
      <c r="E134" s="54"/>
      <c r="F134" s="54"/>
      <c r="G134" s="54"/>
      <c r="H134" s="55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Z134" s="54"/>
      <c r="AA134" s="54"/>
      <c r="AB134" s="60"/>
      <c r="AC134" s="62"/>
      <c r="AD134" s="62"/>
      <c r="AE134" s="120"/>
      <c r="AF134" s="120"/>
      <c r="AG134" s="62"/>
      <c r="AH134" s="62"/>
      <c r="AI134" s="56"/>
    </row>
    <row r="135" spans="2:35" ht="14.25" customHeight="1" x14ac:dyDescent="0.2">
      <c r="B135" s="54"/>
      <c r="C135" s="64"/>
      <c r="D135" s="54"/>
      <c r="E135" s="54"/>
      <c r="F135" s="54"/>
      <c r="G135" s="54"/>
      <c r="H135" s="55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Z135" s="54"/>
      <c r="AA135" s="54"/>
      <c r="AB135" s="60"/>
      <c r="AC135" s="62"/>
      <c r="AD135" s="62"/>
      <c r="AE135" s="120"/>
      <c r="AF135" s="120"/>
      <c r="AG135" s="62"/>
      <c r="AH135" s="62"/>
      <c r="AI135" s="56"/>
    </row>
    <row r="136" spans="2:35" ht="14.25" customHeight="1" x14ac:dyDescent="0.2">
      <c r="B136" s="54"/>
      <c r="C136" s="64"/>
      <c r="D136" s="54"/>
      <c r="E136" s="54"/>
      <c r="F136" s="54"/>
      <c r="G136" s="54"/>
      <c r="H136" s="55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Z136" s="54"/>
      <c r="AA136" s="54"/>
      <c r="AB136" s="60"/>
      <c r="AC136" s="62"/>
      <c r="AD136" s="62"/>
      <c r="AE136" s="120"/>
      <c r="AF136" s="120"/>
      <c r="AG136" s="62"/>
      <c r="AH136" s="62"/>
      <c r="AI136" s="56"/>
    </row>
    <row r="137" spans="2:35" ht="14.25" customHeight="1" x14ac:dyDescent="0.2">
      <c r="B137" s="54"/>
      <c r="C137" s="64"/>
      <c r="D137" s="54"/>
      <c r="E137" s="54"/>
      <c r="F137" s="54"/>
      <c r="G137" s="54"/>
      <c r="H137" s="55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Z137" s="54"/>
      <c r="AA137" s="54"/>
      <c r="AB137" s="60"/>
      <c r="AC137" s="62"/>
      <c r="AD137" s="62"/>
      <c r="AE137" s="120"/>
      <c r="AF137" s="120"/>
      <c r="AG137" s="62"/>
      <c r="AH137" s="62"/>
      <c r="AI137" s="56"/>
    </row>
    <row r="138" spans="2:35" ht="14.25" customHeight="1" x14ac:dyDescent="0.2">
      <c r="B138" s="54"/>
      <c r="C138" s="64"/>
      <c r="D138" s="54"/>
      <c r="E138" s="54"/>
      <c r="F138" s="54"/>
      <c r="G138" s="54"/>
      <c r="H138" s="55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Z138" s="54"/>
      <c r="AA138" s="54"/>
      <c r="AB138" s="60"/>
      <c r="AC138" s="62"/>
      <c r="AD138" s="62"/>
      <c r="AE138" s="120"/>
      <c r="AF138" s="120"/>
      <c r="AG138" s="62"/>
      <c r="AH138" s="62"/>
      <c r="AI138" s="56"/>
    </row>
    <row r="139" spans="2:35" ht="14.25" customHeight="1" x14ac:dyDescent="0.2">
      <c r="B139" s="54"/>
      <c r="C139" s="64"/>
      <c r="D139" s="54"/>
      <c r="E139" s="54"/>
      <c r="F139" s="54"/>
      <c r="G139" s="54"/>
      <c r="H139" s="55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Z139" s="54"/>
      <c r="AA139" s="54"/>
      <c r="AB139" s="60"/>
      <c r="AC139" s="62"/>
      <c r="AD139" s="62"/>
      <c r="AE139" s="120"/>
      <c r="AF139" s="120"/>
      <c r="AG139" s="62"/>
      <c r="AH139" s="62"/>
      <c r="AI139" s="56"/>
    </row>
    <row r="140" spans="2:35" ht="14.25" customHeight="1" x14ac:dyDescent="0.2">
      <c r="B140" s="54"/>
      <c r="C140" s="64"/>
      <c r="D140" s="54"/>
      <c r="E140" s="54"/>
      <c r="F140" s="54"/>
      <c r="G140" s="54"/>
      <c r="H140" s="55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Z140" s="54"/>
      <c r="AA140" s="54"/>
      <c r="AB140" s="60"/>
      <c r="AC140" s="62"/>
      <c r="AD140" s="62"/>
      <c r="AE140" s="120"/>
      <c r="AF140" s="120"/>
      <c r="AG140" s="62"/>
      <c r="AH140" s="62"/>
      <c r="AI140" s="56"/>
    </row>
    <row r="141" spans="2:35" ht="14.25" customHeight="1" x14ac:dyDescent="0.2">
      <c r="B141" s="54"/>
      <c r="C141" s="64"/>
      <c r="D141" s="54"/>
      <c r="E141" s="54"/>
      <c r="F141" s="54"/>
      <c r="G141" s="54"/>
      <c r="H141" s="55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Z141" s="54"/>
      <c r="AA141" s="54"/>
      <c r="AB141" s="60"/>
      <c r="AC141" s="62"/>
      <c r="AD141" s="62"/>
      <c r="AE141" s="120"/>
      <c r="AF141" s="120"/>
      <c r="AG141" s="62"/>
      <c r="AH141" s="62"/>
      <c r="AI141" s="56"/>
    </row>
    <row r="142" spans="2:35" ht="14.25" customHeight="1" x14ac:dyDescent="0.2">
      <c r="B142" s="54"/>
      <c r="C142" s="64"/>
      <c r="D142" s="54"/>
      <c r="E142" s="54"/>
      <c r="F142" s="54"/>
      <c r="G142" s="54"/>
      <c r="H142" s="55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Z142" s="54"/>
      <c r="AA142" s="54"/>
      <c r="AB142" s="60"/>
      <c r="AC142" s="62"/>
      <c r="AD142" s="62"/>
      <c r="AE142" s="120"/>
      <c r="AF142" s="120"/>
      <c r="AG142" s="62"/>
      <c r="AH142" s="62"/>
      <c r="AI142" s="56"/>
    </row>
    <row r="143" spans="2:35" ht="14.25" customHeight="1" x14ac:dyDescent="0.2">
      <c r="B143" s="54"/>
      <c r="C143" s="64"/>
      <c r="D143" s="54"/>
      <c r="E143" s="54"/>
      <c r="F143" s="54"/>
      <c r="G143" s="54"/>
      <c r="H143" s="55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Z143" s="54"/>
      <c r="AA143" s="54"/>
      <c r="AB143" s="60"/>
      <c r="AC143" s="62"/>
      <c r="AD143" s="62"/>
      <c r="AE143" s="120"/>
      <c r="AF143" s="120"/>
      <c r="AG143" s="62"/>
      <c r="AH143" s="62"/>
      <c r="AI143" s="56"/>
    </row>
    <row r="144" spans="2:35" ht="14.25" customHeight="1" x14ac:dyDescent="0.2">
      <c r="B144" s="54"/>
      <c r="C144" s="64"/>
      <c r="D144" s="54"/>
      <c r="E144" s="54"/>
      <c r="F144" s="54"/>
      <c r="G144" s="54"/>
      <c r="H144" s="55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Z144" s="54"/>
      <c r="AA144" s="54"/>
      <c r="AB144" s="60"/>
      <c r="AC144" s="62"/>
      <c r="AD144" s="62"/>
      <c r="AE144" s="120"/>
      <c r="AF144" s="120"/>
      <c r="AG144" s="62"/>
      <c r="AH144" s="62"/>
      <c r="AI144" s="56"/>
    </row>
    <row r="145" spans="2:35" ht="14.25" customHeight="1" x14ac:dyDescent="0.2">
      <c r="B145" s="54"/>
      <c r="C145" s="64"/>
      <c r="D145" s="54"/>
      <c r="E145" s="54"/>
      <c r="F145" s="54"/>
      <c r="G145" s="54"/>
      <c r="H145" s="55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Z145" s="54"/>
      <c r="AA145" s="54"/>
      <c r="AB145" s="60"/>
      <c r="AC145" s="62"/>
      <c r="AD145" s="62"/>
      <c r="AE145" s="120"/>
      <c r="AF145" s="120"/>
      <c r="AG145" s="62"/>
      <c r="AH145" s="62"/>
      <c r="AI145" s="56"/>
    </row>
    <row r="146" spans="2:35" ht="14.25" customHeight="1" x14ac:dyDescent="0.2">
      <c r="B146" s="54"/>
      <c r="C146" s="64"/>
      <c r="D146" s="54"/>
      <c r="E146" s="54"/>
      <c r="F146" s="54"/>
      <c r="G146" s="54"/>
      <c r="H146" s="55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Z146" s="54"/>
      <c r="AA146" s="54"/>
      <c r="AB146" s="60"/>
      <c r="AC146" s="62"/>
      <c r="AD146" s="62"/>
      <c r="AE146" s="120"/>
      <c r="AF146" s="120"/>
      <c r="AG146" s="62"/>
      <c r="AH146" s="62"/>
      <c r="AI146" s="56"/>
    </row>
    <row r="147" spans="2:35" ht="14.25" customHeight="1" x14ac:dyDescent="0.2">
      <c r="B147" s="54"/>
      <c r="C147" s="64"/>
      <c r="D147" s="54"/>
      <c r="E147" s="54"/>
      <c r="F147" s="54"/>
      <c r="G147" s="54"/>
      <c r="H147" s="55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Z147" s="54"/>
      <c r="AA147" s="54"/>
      <c r="AB147" s="60"/>
      <c r="AC147" s="62"/>
      <c r="AD147" s="62"/>
      <c r="AE147" s="120"/>
      <c r="AF147" s="120"/>
      <c r="AG147" s="62"/>
      <c r="AH147" s="62"/>
      <c r="AI147" s="56"/>
    </row>
    <row r="148" spans="2:35" ht="14.25" customHeight="1" x14ac:dyDescent="0.2">
      <c r="B148" s="54"/>
      <c r="C148" s="64"/>
      <c r="D148" s="54"/>
      <c r="E148" s="54"/>
      <c r="F148" s="54"/>
      <c r="G148" s="54"/>
      <c r="H148" s="55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Z148" s="54"/>
      <c r="AA148" s="54"/>
      <c r="AB148" s="60"/>
      <c r="AC148" s="62"/>
      <c r="AD148" s="62"/>
      <c r="AE148" s="120"/>
      <c r="AF148" s="120"/>
      <c r="AG148" s="62"/>
      <c r="AH148" s="62"/>
      <c r="AI148" s="56"/>
    </row>
    <row r="149" spans="2:35" ht="14.25" customHeight="1" x14ac:dyDescent="0.2">
      <c r="B149" s="54"/>
      <c r="C149" s="64"/>
      <c r="D149" s="54"/>
      <c r="E149" s="54"/>
      <c r="F149" s="54"/>
      <c r="G149" s="54"/>
      <c r="H149" s="55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Z149" s="54"/>
      <c r="AA149" s="54"/>
      <c r="AB149" s="60"/>
      <c r="AC149" s="62"/>
      <c r="AD149" s="62"/>
      <c r="AE149" s="120"/>
      <c r="AF149" s="120"/>
      <c r="AG149" s="62"/>
      <c r="AH149" s="62"/>
      <c r="AI149" s="56"/>
    </row>
    <row r="150" spans="2:35" ht="14.25" customHeight="1" x14ac:dyDescent="0.2">
      <c r="B150" s="54"/>
      <c r="C150" s="64"/>
      <c r="D150" s="54"/>
      <c r="E150" s="54"/>
      <c r="F150" s="54"/>
      <c r="G150" s="54"/>
      <c r="H150" s="55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Z150" s="54"/>
      <c r="AA150" s="54"/>
      <c r="AB150" s="60"/>
      <c r="AC150" s="62"/>
      <c r="AD150" s="62"/>
      <c r="AE150" s="120"/>
      <c r="AF150" s="120"/>
      <c r="AG150" s="62"/>
      <c r="AH150" s="62"/>
      <c r="AI150" s="56"/>
    </row>
    <row r="151" spans="2:35" ht="14.25" customHeight="1" x14ac:dyDescent="0.2">
      <c r="B151" s="54"/>
      <c r="C151" s="64"/>
      <c r="D151" s="54"/>
      <c r="E151" s="54"/>
      <c r="F151" s="54"/>
      <c r="G151" s="54"/>
      <c r="H151" s="55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Z151" s="54"/>
      <c r="AA151" s="54"/>
      <c r="AB151" s="60"/>
      <c r="AC151" s="62"/>
      <c r="AD151" s="62"/>
      <c r="AE151" s="120"/>
      <c r="AF151" s="120"/>
      <c r="AG151" s="62"/>
      <c r="AH151" s="62"/>
      <c r="AI151" s="56"/>
    </row>
    <row r="152" spans="2:35" ht="14.25" customHeight="1" x14ac:dyDescent="0.2">
      <c r="B152" s="54"/>
      <c r="C152" s="64"/>
      <c r="D152" s="54"/>
      <c r="E152" s="54"/>
      <c r="F152" s="54"/>
      <c r="G152" s="54"/>
      <c r="H152" s="55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Z152" s="54"/>
      <c r="AA152" s="54"/>
      <c r="AB152" s="60"/>
      <c r="AC152" s="62"/>
      <c r="AD152" s="62"/>
      <c r="AE152" s="120"/>
      <c r="AF152" s="120"/>
      <c r="AG152" s="62"/>
      <c r="AH152" s="62"/>
      <c r="AI152" s="56"/>
    </row>
    <row r="153" spans="2:35" ht="14.25" customHeight="1" x14ac:dyDescent="0.2">
      <c r="B153" s="54"/>
      <c r="C153" s="64"/>
      <c r="D153" s="54"/>
      <c r="E153" s="54"/>
      <c r="F153" s="54"/>
      <c r="G153" s="54"/>
      <c r="H153" s="55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Z153" s="54"/>
      <c r="AA153" s="54"/>
      <c r="AB153" s="60"/>
      <c r="AC153" s="62"/>
      <c r="AD153" s="62"/>
      <c r="AE153" s="120"/>
      <c r="AF153" s="120"/>
      <c r="AG153" s="62"/>
      <c r="AH153" s="62"/>
      <c r="AI153" s="56"/>
    </row>
    <row r="154" spans="2:35" ht="14.25" customHeight="1" x14ac:dyDescent="0.2">
      <c r="B154" s="54"/>
      <c r="C154" s="64"/>
      <c r="D154" s="54"/>
      <c r="E154" s="54"/>
      <c r="F154" s="54"/>
      <c r="G154" s="54"/>
      <c r="H154" s="55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Z154" s="54"/>
      <c r="AA154" s="54"/>
      <c r="AB154" s="60"/>
      <c r="AC154" s="62"/>
      <c r="AD154" s="62"/>
      <c r="AE154" s="120"/>
      <c r="AF154" s="120"/>
      <c r="AG154" s="62"/>
      <c r="AH154" s="62"/>
      <c r="AI154" s="56"/>
    </row>
    <row r="155" spans="2:35" ht="14.25" customHeight="1" x14ac:dyDescent="0.2">
      <c r="B155" s="54"/>
      <c r="C155" s="64"/>
      <c r="D155" s="54"/>
      <c r="E155" s="54"/>
      <c r="F155" s="54"/>
      <c r="G155" s="54"/>
      <c r="H155" s="55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Z155" s="54"/>
      <c r="AA155" s="54"/>
      <c r="AB155" s="60"/>
      <c r="AC155" s="62"/>
      <c r="AD155" s="62"/>
      <c r="AE155" s="120"/>
      <c r="AF155" s="120"/>
      <c r="AG155" s="62"/>
      <c r="AH155" s="62"/>
      <c r="AI155" s="56"/>
    </row>
    <row r="156" spans="2:35" ht="14.25" customHeight="1" x14ac:dyDescent="0.2">
      <c r="B156" s="54"/>
      <c r="C156" s="64"/>
      <c r="D156" s="54"/>
      <c r="E156" s="54"/>
      <c r="F156" s="54"/>
      <c r="G156" s="54"/>
      <c r="H156" s="55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Z156" s="54"/>
      <c r="AA156" s="54"/>
      <c r="AB156" s="60"/>
      <c r="AC156" s="62"/>
      <c r="AD156" s="62"/>
      <c r="AE156" s="120"/>
      <c r="AF156" s="120"/>
      <c r="AG156" s="62"/>
      <c r="AH156" s="62"/>
      <c r="AI156" s="56"/>
    </row>
    <row r="157" spans="2:35" ht="14.25" customHeight="1" x14ac:dyDescent="0.2">
      <c r="B157" s="54"/>
      <c r="C157" s="64"/>
      <c r="D157" s="54"/>
      <c r="E157" s="54"/>
      <c r="F157" s="54"/>
      <c r="G157" s="54"/>
      <c r="H157" s="55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Z157" s="54"/>
      <c r="AA157" s="54"/>
      <c r="AB157" s="60"/>
      <c r="AC157" s="62"/>
      <c r="AD157" s="62"/>
      <c r="AE157" s="120"/>
      <c r="AF157" s="120"/>
      <c r="AG157" s="62"/>
      <c r="AH157" s="62"/>
      <c r="AI157" s="56"/>
    </row>
    <row r="158" spans="2:35" ht="14.25" customHeight="1" x14ac:dyDescent="0.2">
      <c r="B158" s="54"/>
      <c r="C158" s="64"/>
      <c r="D158" s="54"/>
      <c r="E158" s="54"/>
      <c r="F158" s="54"/>
      <c r="G158" s="54"/>
      <c r="H158" s="55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Z158" s="54"/>
      <c r="AA158" s="54"/>
      <c r="AB158" s="60"/>
      <c r="AC158" s="62"/>
      <c r="AD158" s="62"/>
      <c r="AE158" s="120"/>
      <c r="AF158" s="120"/>
      <c r="AG158" s="62"/>
      <c r="AH158" s="62"/>
      <c r="AI158" s="56"/>
    </row>
    <row r="159" spans="2:35" ht="14.25" customHeight="1" x14ac:dyDescent="0.2">
      <c r="B159" s="54"/>
      <c r="C159" s="64"/>
      <c r="D159" s="54"/>
      <c r="E159" s="54"/>
      <c r="F159" s="54"/>
      <c r="G159" s="54"/>
      <c r="H159" s="55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Z159" s="54"/>
      <c r="AA159" s="54"/>
      <c r="AB159" s="60"/>
      <c r="AC159" s="62"/>
      <c r="AD159" s="62"/>
      <c r="AE159" s="120"/>
      <c r="AF159" s="120"/>
      <c r="AG159" s="62"/>
      <c r="AH159" s="62"/>
      <c r="AI159" s="56"/>
    </row>
    <row r="160" spans="2:35" ht="14.25" customHeight="1" x14ac:dyDescent="0.2">
      <c r="B160" s="54"/>
      <c r="C160" s="64"/>
      <c r="D160" s="54"/>
      <c r="E160" s="54"/>
      <c r="F160" s="54"/>
      <c r="G160" s="54"/>
      <c r="H160" s="55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Z160" s="54"/>
      <c r="AA160" s="54"/>
      <c r="AB160" s="60"/>
      <c r="AC160" s="62"/>
      <c r="AD160" s="62"/>
      <c r="AE160" s="120"/>
      <c r="AF160" s="120"/>
      <c r="AG160" s="62"/>
      <c r="AH160" s="62"/>
      <c r="AI160" s="56"/>
    </row>
    <row r="161" spans="2:35" ht="14.25" customHeight="1" x14ac:dyDescent="0.2">
      <c r="B161" s="54"/>
      <c r="C161" s="64"/>
      <c r="D161" s="54"/>
      <c r="E161" s="54"/>
      <c r="F161" s="54"/>
      <c r="G161" s="54"/>
      <c r="H161" s="55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Z161" s="54"/>
      <c r="AA161" s="54"/>
      <c r="AB161" s="60"/>
      <c r="AC161" s="62"/>
      <c r="AD161" s="62"/>
      <c r="AE161" s="120"/>
      <c r="AF161" s="120"/>
      <c r="AG161" s="62"/>
      <c r="AH161" s="62"/>
      <c r="AI161" s="56"/>
    </row>
    <row r="162" spans="2:35" ht="14.25" customHeight="1" x14ac:dyDescent="0.2">
      <c r="B162" s="54"/>
      <c r="C162" s="64"/>
      <c r="D162" s="54"/>
      <c r="E162" s="54"/>
      <c r="F162" s="54"/>
      <c r="G162" s="54"/>
      <c r="H162" s="55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Z162" s="54"/>
      <c r="AA162" s="54"/>
      <c r="AB162" s="60"/>
      <c r="AC162" s="62"/>
      <c r="AD162" s="62"/>
      <c r="AE162" s="120"/>
      <c r="AF162" s="120"/>
      <c r="AG162" s="62"/>
      <c r="AH162" s="62"/>
      <c r="AI162" s="56"/>
    </row>
    <row r="163" spans="2:35" ht="14.25" customHeight="1" x14ac:dyDescent="0.2">
      <c r="B163" s="54"/>
      <c r="C163" s="64"/>
      <c r="D163" s="54"/>
      <c r="E163" s="54"/>
      <c r="F163" s="54"/>
      <c r="G163" s="54"/>
      <c r="H163" s="55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Z163" s="54"/>
      <c r="AA163" s="54"/>
      <c r="AB163" s="60"/>
      <c r="AC163" s="62"/>
      <c r="AD163" s="62"/>
      <c r="AE163" s="120"/>
      <c r="AF163" s="120"/>
      <c r="AG163" s="62"/>
      <c r="AH163" s="62"/>
      <c r="AI163" s="56"/>
    </row>
    <row r="164" spans="2:35" ht="14.25" customHeight="1" x14ac:dyDescent="0.2">
      <c r="B164" s="54"/>
      <c r="C164" s="64"/>
      <c r="D164" s="54"/>
      <c r="E164" s="54"/>
      <c r="F164" s="54"/>
      <c r="G164" s="54"/>
      <c r="H164" s="55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Z164" s="54"/>
      <c r="AA164" s="54"/>
      <c r="AB164" s="60"/>
      <c r="AC164" s="62"/>
      <c r="AD164" s="62"/>
      <c r="AE164" s="120"/>
      <c r="AF164" s="120"/>
      <c r="AG164" s="62"/>
      <c r="AH164" s="62"/>
      <c r="AI164" s="56"/>
    </row>
    <row r="165" spans="2:35" ht="14.25" customHeight="1" x14ac:dyDescent="0.2">
      <c r="B165" s="54"/>
      <c r="C165" s="64"/>
      <c r="D165" s="54"/>
      <c r="E165" s="54"/>
      <c r="F165" s="54"/>
      <c r="G165" s="54"/>
      <c r="H165" s="55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Z165" s="54"/>
      <c r="AA165" s="54"/>
      <c r="AB165" s="60"/>
      <c r="AC165" s="62"/>
      <c r="AD165" s="62"/>
      <c r="AE165" s="120"/>
      <c r="AF165" s="120"/>
      <c r="AG165" s="62"/>
      <c r="AH165" s="62"/>
      <c r="AI165" s="56"/>
    </row>
    <row r="166" spans="2:35" ht="14.25" customHeight="1" x14ac:dyDescent="0.2">
      <c r="B166" s="54"/>
      <c r="C166" s="64"/>
      <c r="D166" s="54"/>
      <c r="E166" s="54"/>
      <c r="F166" s="54"/>
      <c r="G166" s="54"/>
      <c r="H166" s="55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Z166" s="54"/>
      <c r="AA166" s="54"/>
      <c r="AB166" s="60"/>
      <c r="AC166" s="62"/>
      <c r="AD166" s="62"/>
      <c r="AE166" s="120"/>
      <c r="AF166" s="120"/>
      <c r="AG166" s="62"/>
      <c r="AH166" s="62"/>
      <c r="AI166" s="56"/>
    </row>
    <row r="167" spans="2:35" ht="14.25" customHeight="1" x14ac:dyDescent="0.2">
      <c r="B167" s="54"/>
      <c r="C167" s="64"/>
      <c r="D167" s="54"/>
      <c r="E167" s="54"/>
      <c r="F167" s="54"/>
      <c r="G167" s="54"/>
      <c r="H167" s="55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Z167" s="54"/>
      <c r="AA167" s="54"/>
      <c r="AB167" s="60"/>
      <c r="AC167" s="62"/>
      <c r="AD167" s="62"/>
      <c r="AE167" s="120"/>
      <c r="AF167" s="120"/>
      <c r="AG167" s="62"/>
      <c r="AH167" s="62"/>
      <c r="AI167" s="56"/>
    </row>
    <row r="168" spans="2:35" ht="14.25" customHeight="1" x14ac:dyDescent="0.2">
      <c r="B168" s="54"/>
      <c r="C168" s="64"/>
      <c r="D168" s="54"/>
      <c r="E168" s="54"/>
      <c r="F168" s="54"/>
      <c r="G168" s="54"/>
      <c r="H168" s="55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Z168" s="54"/>
      <c r="AA168" s="54"/>
      <c r="AB168" s="60"/>
      <c r="AC168" s="62"/>
      <c r="AD168" s="62"/>
      <c r="AE168" s="120"/>
      <c r="AF168" s="120"/>
      <c r="AG168" s="62"/>
      <c r="AH168" s="62"/>
      <c r="AI168" s="56"/>
    </row>
    <row r="169" spans="2:35" ht="14.25" customHeight="1" x14ac:dyDescent="0.2">
      <c r="B169" s="54"/>
      <c r="C169" s="64"/>
      <c r="D169" s="54"/>
      <c r="E169" s="54"/>
      <c r="F169" s="54"/>
      <c r="G169" s="54"/>
      <c r="H169" s="55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Z169" s="54"/>
      <c r="AA169" s="54"/>
      <c r="AB169" s="60"/>
      <c r="AC169" s="62"/>
      <c r="AD169" s="62"/>
      <c r="AE169" s="120"/>
      <c r="AF169" s="120"/>
      <c r="AG169" s="62"/>
      <c r="AH169" s="62"/>
      <c r="AI169" s="56"/>
    </row>
    <row r="170" spans="2:35" ht="14.25" customHeight="1" x14ac:dyDescent="0.2">
      <c r="B170" s="54"/>
      <c r="C170" s="64"/>
      <c r="D170" s="54"/>
      <c r="E170" s="54"/>
      <c r="F170" s="54"/>
      <c r="G170" s="54"/>
      <c r="H170" s="55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Z170" s="54"/>
      <c r="AA170" s="54"/>
      <c r="AB170" s="60"/>
      <c r="AC170" s="62"/>
      <c r="AD170" s="62"/>
      <c r="AE170" s="120"/>
      <c r="AF170" s="120"/>
      <c r="AG170" s="62"/>
      <c r="AH170" s="62"/>
      <c r="AI170" s="56"/>
    </row>
    <row r="171" spans="2:35" ht="14.25" customHeight="1" x14ac:dyDescent="0.2">
      <c r="B171" s="54"/>
      <c r="C171" s="64"/>
      <c r="D171" s="54"/>
      <c r="E171" s="54"/>
      <c r="F171" s="54"/>
      <c r="G171" s="54"/>
      <c r="H171" s="55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Z171" s="54"/>
      <c r="AA171" s="54"/>
      <c r="AB171" s="60"/>
      <c r="AC171" s="62"/>
      <c r="AD171" s="62"/>
      <c r="AE171" s="120"/>
      <c r="AF171" s="120"/>
      <c r="AG171" s="62"/>
      <c r="AH171" s="62"/>
      <c r="AI171" s="56"/>
    </row>
    <row r="172" spans="2:35" ht="14.25" customHeight="1" x14ac:dyDescent="0.2">
      <c r="B172" s="54"/>
      <c r="C172" s="64"/>
      <c r="D172" s="54"/>
      <c r="E172" s="54"/>
      <c r="F172" s="54"/>
      <c r="G172" s="54"/>
      <c r="H172" s="55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Z172" s="54"/>
      <c r="AA172" s="54"/>
      <c r="AB172" s="60"/>
      <c r="AC172" s="62"/>
      <c r="AD172" s="62"/>
      <c r="AE172" s="120"/>
      <c r="AF172" s="120"/>
      <c r="AG172" s="62"/>
      <c r="AH172" s="62"/>
      <c r="AI172" s="56"/>
    </row>
    <row r="173" spans="2:35" ht="14.25" customHeight="1" x14ac:dyDescent="0.2">
      <c r="B173" s="54"/>
      <c r="C173" s="64"/>
      <c r="D173" s="54"/>
      <c r="E173" s="54"/>
      <c r="F173" s="54"/>
      <c r="G173" s="54"/>
      <c r="H173" s="55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Z173" s="54"/>
      <c r="AA173" s="54"/>
      <c r="AB173" s="60"/>
      <c r="AC173" s="62"/>
      <c r="AD173" s="62"/>
      <c r="AE173" s="120"/>
      <c r="AF173" s="120"/>
      <c r="AG173" s="62"/>
      <c r="AH173" s="62"/>
      <c r="AI173" s="56"/>
    </row>
    <row r="174" spans="2:35" ht="14.25" customHeight="1" x14ac:dyDescent="0.2">
      <c r="B174" s="54"/>
      <c r="C174" s="64"/>
      <c r="D174" s="54"/>
      <c r="E174" s="54"/>
      <c r="F174" s="54"/>
      <c r="G174" s="54"/>
      <c r="H174" s="55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Z174" s="54"/>
      <c r="AA174" s="54"/>
      <c r="AB174" s="60"/>
      <c r="AC174" s="62"/>
      <c r="AD174" s="62"/>
      <c r="AE174" s="120"/>
      <c r="AF174" s="120"/>
      <c r="AG174" s="62"/>
      <c r="AH174" s="62"/>
      <c r="AI174" s="56"/>
    </row>
    <row r="175" spans="2:35" ht="14.25" customHeight="1" x14ac:dyDescent="0.2">
      <c r="B175" s="54"/>
      <c r="C175" s="64"/>
      <c r="D175" s="54"/>
      <c r="E175" s="54"/>
      <c r="F175" s="54"/>
      <c r="G175" s="54"/>
      <c r="H175" s="55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Z175" s="54"/>
      <c r="AA175" s="54"/>
      <c r="AB175" s="60"/>
      <c r="AC175" s="62"/>
      <c r="AD175" s="62"/>
      <c r="AE175" s="120"/>
      <c r="AF175" s="120"/>
      <c r="AG175" s="62"/>
      <c r="AH175" s="62"/>
      <c r="AI175" s="56"/>
    </row>
    <row r="176" spans="2:35" ht="14.25" customHeight="1" x14ac:dyDescent="0.2">
      <c r="B176" s="54"/>
      <c r="C176" s="64"/>
      <c r="D176" s="54"/>
      <c r="E176" s="54"/>
      <c r="F176" s="54"/>
      <c r="G176" s="54"/>
      <c r="H176" s="55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Z176" s="54"/>
      <c r="AA176" s="54"/>
      <c r="AB176" s="60"/>
      <c r="AC176" s="62"/>
      <c r="AD176" s="62"/>
      <c r="AE176" s="120"/>
      <c r="AF176" s="120"/>
      <c r="AG176" s="62"/>
      <c r="AH176" s="62"/>
      <c r="AI176" s="56"/>
    </row>
    <row r="177" spans="2:35" ht="14.25" customHeight="1" x14ac:dyDescent="0.2">
      <c r="B177" s="54"/>
      <c r="C177" s="64"/>
      <c r="D177" s="54"/>
      <c r="E177" s="54"/>
      <c r="F177" s="54"/>
      <c r="G177" s="54"/>
      <c r="H177" s="55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Z177" s="54"/>
      <c r="AA177" s="54"/>
      <c r="AB177" s="60"/>
      <c r="AC177" s="62"/>
      <c r="AD177" s="62"/>
      <c r="AE177" s="120"/>
      <c r="AF177" s="120"/>
      <c r="AG177" s="62"/>
      <c r="AH177" s="62"/>
      <c r="AI177" s="56"/>
    </row>
    <row r="178" spans="2:35" ht="14.25" customHeight="1" x14ac:dyDescent="0.2">
      <c r="B178" s="54"/>
      <c r="C178" s="64"/>
      <c r="D178" s="54"/>
      <c r="E178" s="54"/>
      <c r="F178" s="54"/>
      <c r="G178" s="54"/>
      <c r="H178" s="55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Z178" s="54"/>
      <c r="AA178" s="54"/>
      <c r="AB178" s="60"/>
      <c r="AC178" s="62"/>
      <c r="AD178" s="62"/>
      <c r="AE178" s="120"/>
      <c r="AF178" s="120"/>
      <c r="AG178" s="62"/>
      <c r="AH178" s="62"/>
      <c r="AI178" s="56"/>
    </row>
    <row r="179" spans="2:35" ht="14.25" customHeight="1" x14ac:dyDescent="0.2">
      <c r="B179" s="54"/>
      <c r="C179" s="64"/>
      <c r="D179" s="54"/>
      <c r="E179" s="54"/>
      <c r="F179" s="54"/>
      <c r="G179" s="54"/>
      <c r="H179" s="55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Z179" s="54"/>
      <c r="AA179" s="54"/>
      <c r="AB179" s="60"/>
      <c r="AC179" s="62"/>
      <c r="AD179" s="62"/>
      <c r="AE179" s="120"/>
      <c r="AF179" s="120"/>
      <c r="AG179" s="62"/>
      <c r="AH179" s="62"/>
      <c r="AI179" s="56"/>
    </row>
    <row r="180" spans="2:35" ht="14.25" customHeight="1" x14ac:dyDescent="0.2">
      <c r="B180" s="54"/>
      <c r="C180" s="64"/>
      <c r="D180" s="54"/>
      <c r="E180" s="54"/>
      <c r="F180" s="54"/>
      <c r="G180" s="54"/>
      <c r="H180" s="55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Z180" s="54"/>
      <c r="AA180" s="54"/>
      <c r="AB180" s="60"/>
      <c r="AC180" s="62"/>
      <c r="AD180" s="62"/>
      <c r="AE180" s="120"/>
      <c r="AF180" s="120"/>
      <c r="AG180" s="62"/>
      <c r="AH180" s="62"/>
      <c r="AI180" s="56"/>
    </row>
    <row r="181" spans="2:35" ht="14.25" customHeight="1" x14ac:dyDescent="0.2">
      <c r="B181" s="54"/>
      <c r="C181" s="64"/>
      <c r="D181" s="54"/>
      <c r="E181" s="54"/>
      <c r="F181" s="54"/>
      <c r="G181" s="54"/>
      <c r="H181" s="55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Z181" s="54"/>
      <c r="AA181" s="54"/>
      <c r="AB181" s="60"/>
      <c r="AC181" s="62"/>
      <c r="AD181" s="62"/>
      <c r="AE181" s="120"/>
      <c r="AF181" s="120"/>
      <c r="AG181" s="62"/>
      <c r="AH181" s="62"/>
      <c r="AI181" s="56"/>
    </row>
    <row r="182" spans="2:35" ht="14.25" customHeight="1" x14ac:dyDescent="0.2">
      <c r="B182" s="54"/>
      <c r="C182" s="64"/>
      <c r="D182" s="54"/>
      <c r="E182" s="54"/>
      <c r="F182" s="54"/>
      <c r="G182" s="54"/>
      <c r="H182" s="55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Z182" s="54"/>
      <c r="AA182" s="54"/>
      <c r="AB182" s="60"/>
      <c r="AC182" s="62"/>
      <c r="AD182" s="62"/>
      <c r="AE182" s="120"/>
      <c r="AF182" s="120"/>
      <c r="AG182" s="62"/>
      <c r="AH182" s="62"/>
      <c r="AI182" s="56"/>
    </row>
    <row r="183" spans="2:35" ht="14.25" customHeight="1" x14ac:dyDescent="0.2">
      <c r="B183" s="54"/>
      <c r="C183" s="64"/>
      <c r="D183" s="54"/>
      <c r="E183" s="54"/>
      <c r="F183" s="54"/>
      <c r="G183" s="54"/>
      <c r="H183" s="55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Z183" s="54"/>
      <c r="AA183" s="54"/>
      <c r="AB183" s="60"/>
      <c r="AC183" s="62"/>
      <c r="AD183" s="62"/>
      <c r="AE183" s="120"/>
      <c r="AF183" s="120"/>
      <c r="AG183" s="62"/>
      <c r="AH183" s="62"/>
      <c r="AI183" s="56"/>
    </row>
    <row r="184" spans="2:35" ht="14.25" customHeight="1" x14ac:dyDescent="0.2">
      <c r="B184" s="54"/>
      <c r="C184" s="64"/>
      <c r="D184" s="54"/>
      <c r="E184" s="54"/>
      <c r="F184" s="54"/>
      <c r="G184" s="54"/>
      <c r="H184" s="55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Z184" s="54"/>
      <c r="AA184" s="54"/>
      <c r="AB184" s="60"/>
      <c r="AC184" s="62"/>
      <c r="AD184" s="62"/>
      <c r="AE184" s="120"/>
      <c r="AF184" s="120"/>
      <c r="AG184" s="62"/>
      <c r="AH184" s="62"/>
      <c r="AI184" s="56"/>
    </row>
    <row r="185" spans="2:35" ht="14.25" customHeight="1" x14ac:dyDescent="0.2">
      <c r="B185" s="54"/>
      <c r="C185" s="64"/>
      <c r="D185" s="54"/>
      <c r="E185" s="54"/>
      <c r="F185" s="54"/>
      <c r="G185" s="54"/>
      <c r="H185" s="55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Z185" s="54"/>
      <c r="AA185" s="54"/>
      <c r="AB185" s="60"/>
      <c r="AC185" s="62"/>
      <c r="AD185" s="62"/>
      <c r="AE185" s="120"/>
      <c r="AF185" s="120"/>
      <c r="AG185" s="62"/>
      <c r="AH185" s="62"/>
      <c r="AI185" s="56"/>
    </row>
    <row r="186" spans="2:35" ht="14.25" customHeight="1" x14ac:dyDescent="0.2">
      <c r="B186" s="54"/>
      <c r="C186" s="64"/>
      <c r="D186" s="54"/>
      <c r="E186" s="54"/>
      <c r="F186" s="54"/>
      <c r="G186" s="54"/>
      <c r="H186" s="55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Z186" s="54"/>
      <c r="AA186" s="54"/>
      <c r="AB186" s="60"/>
      <c r="AC186" s="62"/>
      <c r="AD186" s="62"/>
      <c r="AE186" s="120"/>
      <c r="AF186" s="120"/>
      <c r="AG186" s="62"/>
      <c r="AH186" s="62"/>
      <c r="AI186" s="56"/>
    </row>
    <row r="187" spans="2:35" ht="14.25" customHeight="1" x14ac:dyDescent="0.2">
      <c r="B187" s="54"/>
      <c r="C187" s="64"/>
      <c r="D187" s="54"/>
      <c r="E187" s="54"/>
      <c r="F187" s="54"/>
      <c r="G187" s="54"/>
      <c r="H187" s="55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Z187" s="54"/>
      <c r="AA187" s="54"/>
      <c r="AB187" s="60"/>
      <c r="AC187" s="62"/>
      <c r="AD187" s="62"/>
      <c r="AE187" s="120"/>
      <c r="AF187" s="120"/>
      <c r="AG187" s="62"/>
      <c r="AH187" s="62"/>
      <c r="AI187" s="56"/>
    </row>
    <row r="188" spans="2:35" ht="14.25" customHeight="1" x14ac:dyDescent="0.2">
      <c r="B188" s="54"/>
      <c r="C188" s="64"/>
      <c r="D188" s="54"/>
      <c r="E188" s="54"/>
      <c r="F188" s="54"/>
      <c r="G188" s="54"/>
      <c r="H188" s="55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Z188" s="54"/>
      <c r="AA188" s="54"/>
      <c r="AB188" s="60"/>
      <c r="AC188" s="62"/>
      <c r="AD188" s="62"/>
      <c r="AE188" s="120"/>
      <c r="AF188" s="120"/>
      <c r="AG188" s="62"/>
      <c r="AH188" s="62"/>
      <c r="AI188" s="56"/>
    </row>
    <row r="189" spans="2:35" ht="14.25" customHeight="1" x14ac:dyDescent="0.2">
      <c r="B189" s="54"/>
      <c r="C189" s="64"/>
      <c r="D189" s="54"/>
      <c r="E189" s="54"/>
      <c r="F189" s="54"/>
      <c r="G189" s="54"/>
      <c r="H189" s="55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Z189" s="54"/>
      <c r="AA189" s="54"/>
      <c r="AB189" s="60"/>
      <c r="AC189" s="62"/>
      <c r="AD189" s="62"/>
      <c r="AE189" s="120"/>
      <c r="AF189" s="120"/>
      <c r="AG189" s="62"/>
      <c r="AH189" s="62"/>
      <c r="AI189" s="56"/>
    </row>
    <row r="190" spans="2:35" ht="14.25" customHeight="1" x14ac:dyDescent="0.2">
      <c r="B190" s="54"/>
      <c r="C190" s="64"/>
      <c r="D190" s="54"/>
      <c r="E190" s="54"/>
      <c r="F190" s="54"/>
      <c r="G190" s="54"/>
      <c r="H190" s="55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Z190" s="54"/>
      <c r="AA190" s="54"/>
      <c r="AB190" s="60"/>
      <c r="AC190" s="62"/>
      <c r="AD190" s="62"/>
      <c r="AE190" s="120"/>
      <c r="AF190" s="120"/>
      <c r="AG190" s="62"/>
      <c r="AH190" s="62"/>
      <c r="AI190" s="56"/>
    </row>
    <row r="191" spans="2:35" ht="14.25" customHeight="1" x14ac:dyDescent="0.2">
      <c r="B191" s="54"/>
      <c r="C191" s="64"/>
      <c r="D191" s="54"/>
      <c r="E191" s="54"/>
      <c r="F191" s="54"/>
      <c r="G191" s="54"/>
      <c r="H191" s="55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Z191" s="54"/>
      <c r="AA191" s="54"/>
      <c r="AB191" s="60"/>
      <c r="AC191" s="62"/>
      <c r="AD191" s="62"/>
      <c r="AE191" s="120"/>
      <c r="AF191" s="120"/>
      <c r="AG191" s="62"/>
      <c r="AH191" s="62"/>
      <c r="AI191" s="56"/>
    </row>
    <row r="192" spans="2:35" ht="14.25" customHeight="1" x14ac:dyDescent="0.2">
      <c r="B192" s="54"/>
      <c r="C192" s="64"/>
      <c r="D192" s="54"/>
      <c r="E192" s="54"/>
      <c r="F192" s="54"/>
      <c r="G192" s="54"/>
      <c r="H192" s="55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Z192" s="54"/>
      <c r="AA192" s="54"/>
      <c r="AB192" s="60"/>
      <c r="AC192" s="62"/>
      <c r="AD192" s="62"/>
      <c r="AE192" s="120"/>
      <c r="AF192" s="120"/>
      <c r="AG192" s="62"/>
      <c r="AH192" s="62"/>
      <c r="AI192" s="56"/>
    </row>
    <row r="193" spans="2:35" ht="14.25" customHeight="1" x14ac:dyDescent="0.2">
      <c r="B193" s="54"/>
      <c r="C193" s="64"/>
      <c r="D193" s="54"/>
      <c r="E193" s="54"/>
      <c r="F193" s="54"/>
      <c r="G193" s="54"/>
      <c r="H193" s="55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Z193" s="54"/>
      <c r="AA193" s="54"/>
      <c r="AB193" s="60"/>
      <c r="AC193" s="62"/>
      <c r="AD193" s="62"/>
      <c r="AE193" s="120"/>
      <c r="AF193" s="120"/>
      <c r="AG193" s="62"/>
      <c r="AH193" s="62"/>
      <c r="AI193" s="56"/>
    </row>
    <row r="194" spans="2:35" ht="14.25" customHeight="1" x14ac:dyDescent="0.2">
      <c r="B194" s="54"/>
      <c r="C194" s="64"/>
      <c r="D194" s="54"/>
      <c r="E194" s="54"/>
      <c r="F194" s="54"/>
      <c r="G194" s="54"/>
      <c r="H194" s="55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Z194" s="54"/>
      <c r="AA194" s="54"/>
      <c r="AB194" s="60"/>
      <c r="AC194" s="62"/>
      <c r="AD194" s="62"/>
      <c r="AE194" s="120"/>
      <c r="AF194" s="120"/>
      <c r="AG194" s="62"/>
      <c r="AH194" s="62"/>
      <c r="AI194" s="56"/>
    </row>
    <row r="195" spans="2:35" ht="14.25" customHeight="1" x14ac:dyDescent="0.2">
      <c r="B195" s="54"/>
      <c r="C195" s="64"/>
      <c r="D195" s="54"/>
      <c r="E195" s="54"/>
      <c r="F195" s="54"/>
      <c r="G195" s="54"/>
      <c r="H195" s="55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Z195" s="54"/>
      <c r="AA195" s="54"/>
      <c r="AB195" s="60"/>
      <c r="AC195" s="62"/>
      <c r="AD195" s="62"/>
      <c r="AE195" s="120"/>
      <c r="AF195" s="120"/>
      <c r="AG195" s="62"/>
      <c r="AH195" s="62"/>
      <c r="AI195" s="56"/>
    </row>
    <row r="196" spans="2:35" ht="14.25" customHeight="1" x14ac:dyDescent="0.2">
      <c r="B196" s="54"/>
      <c r="C196" s="64"/>
      <c r="D196" s="54"/>
      <c r="E196" s="54"/>
      <c r="F196" s="54"/>
      <c r="G196" s="54"/>
      <c r="H196" s="55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Z196" s="54"/>
      <c r="AA196" s="54"/>
      <c r="AB196" s="60"/>
      <c r="AC196" s="62"/>
      <c r="AD196" s="62"/>
      <c r="AE196" s="120"/>
      <c r="AF196" s="120"/>
      <c r="AG196" s="62"/>
      <c r="AH196" s="62"/>
      <c r="AI196" s="56"/>
    </row>
    <row r="197" spans="2:35" ht="14.25" customHeight="1" x14ac:dyDescent="0.2">
      <c r="B197" s="54"/>
      <c r="C197" s="64"/>
      <c r="D197" s="54"/>
      <c r="E197" s="54"/>
      <c r="F197" s="54"/>
      <c r="G197" s="54"/>
      <c r="H197" s="55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Z197" s="54"/>
      <c r="AA197" s="54"/>
      <c r="AB197" s="60"/>
      <c r="AC197" s="62"/>
      <c r="AD197" s="62"/>
      <c r="AE197" s="120"/>
      <c r="AF197" s="120"/>
      <c r="AG197" s="62"/>
      <c r="AH197" s="62"/>
      <c r="AI197" s="56"/>
    </row>
    <row r="198" spans="2:35" ht="14.25" customHeight="1" x14ac:dyDescent="0.2">
      <c r="B198" s="54"/>
      <c r="C198" s="64"/>
      <c r="D198" s="54"/>
      <c r="E198" s="54"/>
      <c r="F198" s="54"/>
      <c r="G198" s="54"/>
      <c r="H198" s="55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Z198" s="54"/>
      <c r="AA198" s="54"/>
      <c r="AB198" s="60"/>
      <c r="AC198" s="62"/>
      <c r="AD198" s="62"/>
      <c r="AE198" s="120"/>
      <c r="AF198" s="120"/>
      <c r="AG198" s="62"/>
      <c r="AH198" s="62"/>
      <c r="AI198" s="56"/>
    </row>
    <row r="199" spans="2:35" ht="14.25" customHeight="1" x14ac:dyDescent="0.2">
      <c r="B199" s="54"/>
      <c r="C199" s="64"/>
      <c r="D199" s="54"/>
      <c r="E199" s="54"/>
      <c r="F199" s="54"/>
      <c r="G199" s="54"/>
      <c r="H199" s="55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Z199" s="54"/>
      <c r="AA199" s="54"/>
      <c r="AB199" s="60"/>
      <c r="AC199" s="62"/>
      <c r="AD199" s="62"/>
      <c r="AE199" s="120"/>
      <c r="AF199" s="120"/>
      <c r="AG199" s="62"/>
      <c r="AH199" s="62"/>
      <c r="AI199" s="56"/>
    </row>
    <row r="200" spans="2:35" ht="14.25" customHeight="1" x14ac:dyDescent="0.2">
      <c r="B200" s="54"/>
      <c r="C200" s="64"/>
      <c r="D200" s="54"/>
      <c r="E200" s="54"/>
      <c r="F200" s="54"/>
      <c r="G200" s="54"/>
      <c r="H200" s="55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Z200" s="54"/>
      <c r="AA200" s="54"/>
      <c r="AB200" s="60"/>
      <c r="AC200" s="62"/>
      <c r="AD200" s="62"/>
      <c r="AE200" s="120"/>
      <c r="AF200" s="120"/>
      <c r="AG200" s="62"/>
      <c r="AH200" s="62"/>
      <c r="AI200" s="56"/>
    </row>
    <row r="201" spans="2:35" ht="14.25" customHeight="1" x14ac:dyDescent="0.2">
      <c r="B201" s="54"/>
      <c r="C201" s="64"/>
      <c r="D201" s="54"/>
      <c r="E201" s="54"/>
      <c r="F201" s="54"/>
      <c r="G201" s="54"/>
      <c r="H201" s="55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Z201" s="54"/>
      <c r="AA201" s="54"/>
      <c r="AB201" s="60"/>
      <c r="AC201" s="62"/>
      <c r="AD201" s="62"/>
      <c r="AE201" s="120"/>
      <c r="AF201" s="120"/>
      <c r="AG201" s="62"/>
      <c r="AH201" s="62"/>
      <c r="AI201" s="56"/>
    </row>
    <row r="202" spans="2:35" ht="14.25" customHeight="1" x14ac:dyDescent="0.2">
      <c r="B202" s="54"/>
      <c r="C202" s="64"/>
      <c r="D202" s="54"/>
      <c r="E202" s="54"/>
      <c r="F202" s="54"/>
      <c r="G202" s="54"/>
      <c r="H202" s="55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Z202" s="54"/>
      <c r="AA202" s="54"/>
      <c r="AB202" s="60"/>
      <c r="AC202" s="62"/>
      <c r="AD202" s="62"/>
      <c r="AE202" s="120"/>
      <c r="AF202" s="120"/>
      <c r="AG202" s="62"/>
      <c r="AH202" s="62"/>
      <c r="AI202" s="56"/>
    </row>
    <row r="203" spans="2:35" ht="14.25" customHeight="1" x14ac:dyDescent="0.2">
      <c r="B203" s="54"/>
      <c r="C203" s="64"/>
      <c r="D203" s="54"/>
      <c r="E203" s="54"/>
      <c r="F203" s="54"/>
      <c r="G203" s="54"/>
      <c r="H203" s="55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Z203" s="54"/>
      <c r="AA203" s="54"/>
      <c r="AB203" s="60"/>
      <c r="AC203" s="62"/>
      <c r="AD203" s="62"/>
      <c r="AE203" s="120"/>
      <c r="AF203" s="120"/>
      <c r="AG203" s="62"/>
      <c r="AH203" s="62"/>
      <c r="AI203" s="56"/>
    </row>
    <row r="204" spans="2:35" x14ac:dyDescent="0.2">
      <c r="Q204" s="54"/>
      <c r="R204" s="54"/>
      <c r="S204" s="54"/>
    </row>
    <row r="205" spans="2:35" x14ac:dyDescent="0.2">
      <c r="Q205" s="54"/>
      <c r="R205" s="54"/>
      <c r="S205" s="54"/>
    </row>
    <row r="206" spans="2:35" x14ac:dyDescent="0.2">
      <c r="Q206" s="54"/>
      <c r="R206" s="54"/>
      <c r="S206" s="54"/>
    </row>
    <row r="207" spans="2:35" x14ac:dyDescent="0.2">
      <c r="Q207" s="54"/>
      <c r="R207" s="54"/>
      <c r="S207" s="54"/>
    </row>
    <row r="208" spans="2:35" x14ac:dyDescent="0.2">
      <c r="Q208" s="54"/>
      <c r="R208" s="54"/>
      <c r="S208" s="54"/>
    </row>
    <row r="209" spans="17:19" x14ac:dyDescent="0.2">
      <c r="Q209" s="54"/>
      <c r="R209" s="54"/>
      <c r="S209" s="54"/>
    </row>
    <row r="210" spans="17:19" x14ac:dyDescent="0.2">
      <c r="Q210" s="54"/>
      <c r="R210" s="54"/>
      <c r="S210" s="54"/>
    </row>
    <row r="211" spans="17:19" x14ac:dyDescent="0.2">
      <c r="Q211" s="54"/>
      <c r="R211" s="54"/>
      <c r="S211" s="54"/>
    </row>
    <row r="212" spans="17:19" x14ac:dyDescent="0.2">
      <c r="Q212" s="54"/>
      <c r="R212" s="54"/>
      <c r="S212" s="54"/>
    </row>
    <row r="213" spans="17:19" x14ac:dyDescent="0.2">
      <c r="Q213" s="54"/>
      <c r="R213" s="54"/>
      <c r="S213" s="54"/>
    </row>
    <row r="214" spans="17:19" x14ac:dyDescent="0.2">
      <c r="Q214" s="54"/>
      <c r="R214" s="54"/>
      <c r="S214" s="54"/>
    </row>
    <row r="215" spans="17:19" x14ac:dyDescent="0.2">
      <c r="Q215" s="54"/>
      <c r="R215" s="54"/>
      <c r="S215" s="54"/>
    </row>
    <row r="216" spans="17:19" x14ac:dyDescent="0.2">
      <c r="Q216" s="54"/>
      <c r="R216" s="54"/>
      <c r="S216" s="54"/>
    </row>
    <row r="217" spans="17:19" x14ac:dyDescent="0.2">
      <c r="Q217" s="54"/>
      <c r="R217" s="54"/>
      <c r="S217" s="54"/>
    </row>
    <row r="218" spans="17:19" x14ac:dyDescent="0.2">
      <c r="Q218" s="54"/>
      <c r="R218" s="54"/>
      <c r="S218" s="54"/>
    </row>
    <row r="219" spans="17:19" x14ac:dyDescent="0.2">
      <c r="Q219" s="54"/>
      <c r="R219" s="54"/>
      <c r="S219" s="54"/>
    </row>
    <row r="220" spans="17:19" x14ac:dyDescent="0.2">
      <c r="Q220" s="54"/>
      <c r="R220" s="54"/>
      <c r="S220" s="54"/>
    </row>
    <row r="221" spans="17:19" x14ac:dyDescent="0.2">
      <c r="Q221" s="54"/>
      <c r="R221" s="54"/>
      <c r="S221" s="54"/>
    </row>
    <row r="222" spans="17:19" x14ac:dyDescent="0.2">
      <c r="Q222" s="54"/>
      <c r="R222" s="54"/>
      <c r="S222" s="54"/>
    </row>
    <row r="223" spans="17:19" x14ac:dyDescent="0.2">
      <c r="Q223" s="54"/>
      <c r="R223" s="54"/>
      <c r="S223" s="54"/>
    </row>
    <row r="224" spans="17:19" x14ac:dyDescent="0.2">
      <c r="Q224" s="54"/>
      <c r="R224" s="54"/>
      <c r="S224" s="54"/>
    </row>
    <row r="225" spans="17:19" x14ac:dyDescent="0.2">
      <c r="Q225" s="54"/>
      <c r="R225" s="54"/>
      <c r="S225" s="54"/>
    </row>
    <row r="226" spans="17:19" x14ac:dyDescent="0.2">
      <c r="Q226" s="54"/>
      <c r="R226" s="54"/>
      <c r="S226" s="54"/>
    </row>
    <row r="227" spans="17:19" x14ac:dyDescent="0.2">
      <c r="Q227" s="54"/>
      <c r="R227" s="54"/>
      <c r="S227" s="54"/>
    </row>
    <row r="228" spans="17:19" x14ac:dyDescent="0.2">
      <c r="Q228" s="54"/>
      <c r="R228" s="54"/>
      <c r="S228" s="54"/>
    </row>
    <row r="229" spans="17:19" x14ac:dyDescent="0.2">
      <c r="Q229" s="54"/>
      <c r="R229" s="54"/>
      <c r="S229" s="54"/>
    </row>
    <row r="230" spans="17:19" x14ac:dyDescent="0.2">
      <c r="Q230" s="54"/>
      <c r="R230" s="54"/>
      <c r="S230" s="54"/>
    </row>
    <row r="231" spans="17:19" x14ac:dyDescent="0.2">
      <c r="Q231" s="54"/>
      <c r="R231" s="54"/>
      <c r="S231" s="54"/>
    </row>
    <row r="232" spans="17:19" x14ac:dyDescent="0.2">
      <c r="Q232" s="54"/>
      <c r="R232" s="54"/>
      <c r="S232" s="54"/>
    </row>
    <row r="233" spans="17:19" x14ac:dyDescent="0.2">
      <c r="Q233" s="54"/>
      <c r="R233" s="54"/>
      <c r="S233" s="54"/>
    </row>
    <row r="234" spans="17:19" x14ac:dyDescent="0.2">
      <c r="Q234" s="54"/>
      <c r="R234" s="54"/>
      <c r="S234" s="54"/>
    </row>
    <row r="235" spans="17:19" x14ac:dyDescent="0.2">
      <c r="Q235" s="54"/>
      <c r="R235" s="54"/>
      <c r="S235" s="54"/>
    </row>
    <row r="236" spans="17:19" x14ac:dyDescent="0.2">
      <c r="Q236" s="54"/>
      <c r="R236" s="54"/>
      <c r="S236" s="54"/>
    </row>
    <row r="237" spans="17:19" x14ac:dyDescent="0.2">
      <c r="Q237" s="54"/>
      <c r="R237" s="54"/>
      <c r="S237" s="54"/>
    </row>
    <row r="238" spans="17:19" x14ac:dyDescent="0.2">
      <c r="Q238" s="54"/>
      <c r="R238" s="54"/>
      <c r="S238" s="54"/>
    </row>
    <row r="239" spans="17:19" x14ac:dyDescent="0.2">
      <c r="Q239" s="54"/>
      <c r="R239" s="54"/>
      <c r="S239" s="54"/>
    </row>
    <row r="240" spans="17:19" x14ac:dyDescent="0.2">
      <c r="Q240" s="54"/>
      <c r="R240" s="54"/>
      <c r="S240" s="54"/>
    </row>
    <row r="241" spans="17:19" x14ac:dyDescent="0.2">
      <c r="Q241" s="54"/>
      <c r="R241" s="54"/>
      <c r="S241" s="54"/>
    </row>
    <row r="242" spans="17:19" x14ac:dyDescent="0.2">
      <c r="Q242" s="54"/>
      <c r="R242" s="54"/>
      <c r="S242" s="54"/>
    </row>
    <row r="243" spans="17:19" x14ac:dyDescent="0.2">
      <c r="Q243" s="54"/>
      <c r="R243" s="54"/>
      <c r="S243" s="54"/>
    </row>
    <row r="244" spans="17:19" x14ac:dyDescent="0.2">
      <c r="Q244" s="54"/>
      <c r="R244" s="54"/>
      <c r="S244" s="54"/>
    </row>
    <row r="245" spans="17:19" x14ac:dyDescent="0.2">
      <c r="Q245" s="54"/>
      <c r="R245" s="54"/>
      <c r="S245" s="54"/>
    </row>
    <row r="246" spans="17:19" x14ac:dyDescent="0.2">
      <c r="Q246" s="54"/>
      <c r="R246" s="54"/>
      <c r="S246" s="54"/>
    </row>
    <row r="247" spans="17:19" x14ac:dyDescent="0.2">
      <c r="Q247" s="54"/>
      <c r="R247" s="54"/>
      <c r="S247" s="54"/>
    </row>
    <row r="248" spans="17:19" x14ac:dyDescent="0.2">
      <c r="Q248" s="54"/>
      <c r="R248" s="54"/>
      <c r="S248" s="54"/>
    </row>
    <row r="249" spans="17:19" x14ac:dyDescent="0.2">
      <c r="Q249" s="54"/>
      <c r="R249" s="54"/>
      <c r="S249" s="54"/>
    </row>
    <row r="250" spans="17:19" x14ac:dyDescent="0.2">
      <c r="Q250" s="54"/>
      <c r="R250" s="54"/>
      <c r="S250" s="54"/>
    </row>
    <row r="251" spans="17:19" x14ac:dyDescent="0.2">
      <c r="Q251" s="54"/>
      <c r="R251" s="54"/>
      <c r="S251" s="54"/>
    </row>
    <row r="252" spans="17:19" x14ac:dyDescent="0.2">
      <c r="Q252" s="54"/>
      <c r="R252" s="54"/>
      <c r="S252" s="54"/>
    </row>
    <row r="253" spans="17:19" x14ac:dyDescent="0.2">
      <c r="Q253" s="54"/>
      <c r="R253" s="54"/>
      <c r="S253" s="54"/>
    </row>
    <row r="254" spans="17:19" x14ac:dyDescent="0.2">
      <c r="Q254" s="54"/>
      <c r="R254" s="54"/>
      <c r="S254" s="54"/>
    </row>
    <row r="255" spans="17:19" x14ac:dyDescent="0.2">
      <c r="Q255" s="54"/>
      <c r="R255" s="54"/>
      <c r="S255" s="54"/>
    </row>
    <row r="256" spans="17:19" x14ac:dyDescent="0.2">
      <c r="Q256" s="54"/>
      <c r="R256" s="54"/>
      <c r="S256" s="54"/>
    </row>
    <row r="257" spans="17:19" x14ac:dyDescent="0.2">
      <c r="Q257" s="54"/>
      <c r="R257" s="54"/>
      <c r="S257" s="54"/>
    </row>
    <row r="258" spans="17:19" x14ac:dyDescent="0.2">
      <c r="Q258" s="54"/>
      <c r="R258" s="54"/>
      <c r="S258" s="54"/>
    </row>
    <row r="259" spans="17:19" x14ac:dyDescent="0.2">
      <c r="Q259" s="54"/>
      <c r="R259" s="54"/>
      <c r="S259" s="54"/>
    </row>
    <row r="260" spans="17:19" x14ac:dyDescent="0.2">
      <c r="Q260" s="54"/>
      <c r="R260" s="54"/>
      <c r="S260" s="54"/>
    </row>
    <row r="261" spans="17:19" x14ac:dyDescent="0.2">
      <c r="Q261" s="54"/>
      <c r="R261" s="54"/>
      <c r="S261" s="54"/>
    </row>
    <row r="262" spans="17:19" x14ac:dyDescent="0.2">
      <c r="Q262" s="54"/>
      <c r="R262" s="54"/>
      <c r="S262" s="54"/>
    </row>
    <row r="263" spans="17:19" x14ac:dyDescent="0.2">
      <c r="Q263" s="54"/>
      <c r="R263" s="54"/>
      <c r="S263" s="54"/>
    </row>
    <row r="264" spans="17:19" x14ac:dyDescent="0.2">
      <c r="Q264" s="54"/>
      <c r="R264" s="54"/>
      <c r="S264" s="54"/>
    </row>
    <row r="265" spans="17:19" x14ac:dyDescent="0.2">
      <c r="Q265" s="54"/>
      <c r="R265" s="54"/>
      <c r="S265" s="54"/>
    </row>
    <row r="266" spans="17:19" x14ac:dyDescent="0.2">
      <c r="Q266" s="54"/>
      <c r="R266" s="54"/>
      <c r="S266" s="54"/>
    </row>
    <row r="267" spans="17:19" x14ac:dyDescent="0.2">
      <c r="Q267" s="54"/>
      <c r="R267" s="54"/>
      <c r="S267" s="54"/>
    </row>
    <row r="268" spans="17:19" x14ac:dyDescent="0.2">
      <c r="Q268" s="54"/>
      <c r="R268" s="54"/>
      <c r="S268" s="54"/>
    </row>
    <row r="269" spans="17:19" x14ac:dyDescent="0.2">
      <c r="Q269" s="54"/>
      <c r="R269" s="54"/>
      <c r="S269" s="54"/>
    </row>
    <row r="270" spans="17:19" x14ac:dyDescent="0.2">
      <c r="Q270" s="54"/>
      <c r="R270" s="54"/>
      <c r="S270" s="54"/>
    </row>
    <row r="271" spans="17:19" x14ac:dyDescent="0.2">
      <c r="Q271" s="54"/>
      <c r="R271" s="54"/>
      <c r="S271" s="54"/>
    </row>
    <row r="272" spans="17:19" x14ac:dyDescent="0.2">
      <c r="Q272" s="54"/>
      <c r="R272" s="54"/>
      <c r="S272" s="54"/>
    </row>
    <row r="273" spans="17:19" x14ac:dyDescent="0.2">
      <c r="Q273" s="54"/>
      <c r="R273" s="54"/>
      <c r="S273" s="54"/>
    </row>
    <row r="274" spans="17:19" x14ac:dyDescent="0.2">
      <c r="Q274" s="54"/>
      <c r="R274" s="54"/>
      <c r="S274" s="54"/>
    </row>
    <row r="275" spans="17:19" x14ac:dyDescent="0.2">
      <c r="Q275" s="54"/>
      <c r="R275" s="54"/>
      <c r="S275" s="54"/>
    </row>
    <row r="276" spans="17:19" x14ac:dyDescent="0.2">
      <c r="Q276" s="54"/>
      <c r="R276" s="54"/>
      <c r="S276" s="54"/>
    </row>
    <row r="277" spans="17:19" x14ac:dyDescent="0.2">
      <c r="Q277" s="54"/>
      <c r="R277" s="54"/>
      <c r="S277" s="54"/>
    </row>
    <row r="278" spans="17:19" x14ac:dyDescent="0.2">
      <c r="Q278" s="54"/>
      <c r="R278" s="54"/>
      <c r="S278" s="54"/>
    </row>
    <row r="279" spans="17:19" x14ac:dyDescent="0.2">
      <c r="Q279" s="54"/>
      <c r="R279" s="54"/>
      <c r="S279" s="54"/>
    </row>
    <row r="280" spans="17:19" x14ac:dyDescent="0.2">
      <c r="Q280" s="54"/>
      <c r="R280" s="54"/>
      <c r="S280" s="54"/>
    </row>
    <row r="281" spans="17:19" x14ac:dyDescent="0.2">
      <c r="Q281" s="54"/>
      <c r="R281" s="54"/>
      <c r="S281" s="54"/>
    </row>
    <row r="282" spans="17:19" x14ac:dyDescent="0.2">
      <c r="Q282" s="54"/>
      <c r="R282" s="54"/>
      <c r="S282" s="54"/>
    </row>
    <row r="283" spans="17:19" x14ac:dyDescent="0.2">
      <c r="Q283" s="54"/>
      <c r="R283" s="54"/>
      <c r="S283" s="54"/>
    </row>
    <row r="284" spans="17:19" x14ac:dyDescent="0.2">
      <c r="Q284" s="54"/>
      <c r="R284" s="54"/>
      <c r="S284" s="54"/>
    </row>
    <row r="285" spans="17:19" x14ac:dyDescent="0.2">
      <c r="Q285" s="54"/>
      <c r="R285" s="54"/>
      <c r="S285" s="54"/>
    </row>
    <row r="286" spans="17:19" x14ac:dyDescent="0.2">
      <c r="Q286" s="54"/>
      <c r="R286" s="54"/>
      <c r="S286" s="54"/>
    </row>
    <row r="287" spans="17:19" x14ac:dyDescent="0.2">
      <c r="Q287" s="54"/>
      <c r="R287" s="54"/>
      <c r="S287" s="54"/>
    </row>
    <row r="288" spans="17:19" x14ac:dyDescent="0.2">
      <c r="Q288" s="54"/>
      <c r="R288" s="54"/>
      <c r="S288" s="54"/>
    </row>
    <row r="289" spans="17:19" x14ac:dyDescent="0.2">
      <c r="Q289" s="54"/>
      <c r="R289" s="54"/>
      <c r="S289" s="54"/>
    </row>
    <row r="290" spans="17:19" x14ac:dyDescent="0.2">
      <c r="Q290" s="54"/>
      <c r="R290" s="54"/>
      <c r="S290" s="54"/>
    </row>
    <row r="291" spans="17:19" x14ac:dyDescent="0.2">
      <c r="Q291" s="54"/>
      <c r="R291" s="54"/>
      <c r="S291" s="54"/>
    </row>
    <row r="292" spans="17:19" x14ac:dyDescent="0.2">
      <c r="Q292" s="54"/>
      <c r="R292" s="54"/>
      <c r="S292" s="54"/>
    </row>
    <row r="293" spans="17:19" x14ac:dyDescent="0.2">
      <c r="Q293" s="54"/>
      <c r="R293" s="54"/>
      <c r="S293" s="54"/>
    </row>
    <row r="294" spans="17:19" x14ac:dyDescent="0.2">
      <c r="Q294" s="54"/>
      <c r="R294" s="54"/>
      <c r="S294" s="54"/>
    </row>
    <row r="295" spans="17:19" x14ac:dyDescent="0.2">
      <c r="Q295" s="54"/>
      <c r="R295" s="54"/>
      <c r="S295" s="54"/>
    </row>
    <row r="296" spans="17:19" x14ac:dyDescent="0.2">
      <c r="Q296" s="54"/>
      <c r="R296" s="54"/>
      <c r="S296" s="54"/>
    </row>
    <row r="297" spans="17:19" x14ac:dyDescent="0.2">
      <c r="Q297" s="54"/>
      <c r="R297" s="54"/>
      <c r="S297" s="54"/>
    </row>
    <row r="298" spans="17:19" x14ac:dyDescent="0.2">
      <c r="Q298" s="54"/>
      <c r="R298" s="54"/>
      <c r="S298" s="54"/>
    </row>
    <row r="299" spans="17:19" x14ac:dyDescent="0.2">
      <c r="Q299" s="54"/>
      <c r="R299" s="54"/>
      <c r="S299" s="54"/>
    </row>
    <row r="300" spans="17:19" x14ac:dyDescent="0.2">
      <c r="Q300" s="54"/>
      <c r="R300" s="54"/>
      <c r="S300" s="54"/>
    </row>
    <row r="301" spans="17:19" x14ac:dyDescent="0.2">
      <c r="Q301" s="54"/>
      <c r="R301" s="54"/>
      <c r="S301" s="54"/>
    </row>
    <row r="302" spans="17:19" x14ac:dyDescent="0.2">
      <c r="Q302" s="54"/>
      <c r="R302" s="54"/>
      <c r="S302" s="54"/>
    </row>
    <row r="303" spans="17:19" x14ac:dyDescent="0.2">
      <c r="Q303" s="54"/>
      <c r="R303" s="54"/>
      <c r="S303" s="54"/>
    </row>
    <row r="304" spans="17:19" x14ac:dyDescent="0.2">
      <c r="Q304" s="54"/>
      <c r="R304" s="54"/>
      <c r="S304" s="54"/>
    </row>
    <row r="305" spans="17:19" x14ac:dyDescent="0.2">
      <c r="Q305" s="54"/>
      <c r="R305" s="54"/>
      <c r="S305" s="54"/>
    </row>
    <row r="306" spans="17:19" x14ac:dyDescent="0.2">
      <c r="Q306" s="54"/>
      <c r="R306" s="54"/>
      <c r="S306" s="54"/>
    </row>
    <row r="307" spans="17:19" x14ac:dyDescent="0.2">
      <c r="Q307" s="54"/>
      <c r="R307" s="54"/>
      <c r="S307" s="54"/>
    </row>
    <row r="308" spans="17:19" x14ac:dyDescent="0.2">
      <c r="Q308" s="54"/>
      <c r="R308" s="54"/>
      <c r="S308" s="54"/>
    </row>
    <row r="309" spans="17:19" x14ac:dyDescent="0.2">
      <c r="Q309" s="54"/>
      <c r="R309" s="54"/>
      <c r="S309" s="54"/>
    </row>
    <row r="310" spans="17:19" x14ac:dyDescent="0.2">
      <c r="Q310" s="54"/>
      <c r="R310" s="54"/>
      <c r="S310" s="54"/>
    </row>
    <row r="311" spans="17:19" x14ac:dyDescent="0.2">
      <c r="Q311" s="54"/>
      <c r="R311" s="54"/>
      <c r="S311" s="54"/>
    </row>
    <row r="312" spans="17:19" x14ac:dyDescent="0.2">
      <c r="Q312" s="54"/>
      <c r="R312" s="54"/>
      <c r="S312" s="54"/>
    </row>
    <row r="313" spans="17:19" x14ac:dyDescent="0.2">
      <c r="Q313" s="54"/>
      <c r="R313" s="54"/>
      <c r="S313" s="54"/>
    </row>
    <row r="314" spans="17:19" x14ac:dyDescent="0.2">
      <c r="Q314" s="54"/>
      <c r="R314" s="54"/>
      <c r="S314" s="54"/>
    </row>
    <row r="315" spans="17:19" x14ac:dyDescent="0.2">
      <c r="Q315" s="54"/>
      <c r="R315" s="54"/>
      <c r="S315" s="54"/>
    </row>
    <row r="316" spans="17:19" x14ac:dyDescent="0.2">
      <c r="Q316" s="54"/>
      <c r="R316" s="54"/>
      <c r="S316" s="54"/>
    </row>
    <row r="317" spans="17:19" x14ac:dyDescent="0.2">
      <c r="Q317" s="54"/>
      <c r="R317" s="54"/>
      <c r="S317" s="54"/>
    </row>
    <row r="318" spans="17:19" x14ac:dyDescent="0.2">
      <c r="Q318" s="54"/>
      <c r="R318" s="54"/>
      <c r="S318" s="54"/>
    </row>
    <row r="319" spans="17:19" x14ac:dyDescent="0.2">
      <c r="Q319" s="54"/>
      <c r="R319" s="54"/>
      <c r="S319" s="54"/>
    </row>
    <row r="320" spans="17:19" x14ac:dyDescent="0.2">
      <c r="Q320" s="54"/>
      <c r="R320" s="54"/>
      <c r="S320" s="54"/>
    </row>
    <row r="321" spans="17:19" x14ac:dyDescent="0.2">
      <c r="Q321" s="54"/>
      <c r="R321" s="54"/>
      <c r="S321" s="54"/>
    </row>
    <row r="322" spans="17:19" x14ac:dyDescent="0.2">
      <c r="Q322" s="54"/>
      <c r="R322" s="54"/>
      <c r="S322" s="54"/>
    </row>
    <row r="323" spans="17:19" x14ac:dyDescent="0.2">
      <c r="Q323" s="54"/>
      <c r="R323" s="54"/>
      <c r="S323" s="54"/>
    </row>
    <row r="324" spans="17:19" x14ac:dyDescent="0.2">
      <c r="Q324" s="54"/>
      <c r="R324" s="54"/>
      <c r="S324" s="54"/>
    </row>
    <row r="325" spans="17:19" x14ac:dyDescent="0.2">
      <c r="Q325" s="54"/>
      <c r="R325" s="54"/>
      <c r="S325" s="54"/>
    </row>
    <row r="326" spans="17:19" x14ac:dyDescent="0.2">
      <c r="Q326" s="54"/>
      <c r="R326" s="54"/>
      <c r="S326" s="54"/>
    </row>
    <row r="327" spans="17:19" x14ac:dyDescent="0.2">
      <c r="Q327" s="54"/>
      <c r="R327" s="54"/>
      <c r="S327" s="54"/>
    </row>
    <row r="328" spans="17:19" x14ac:dyDescent="0.2">
      <c r="Q328" s="54"/>
      <c r="R328" s="54"/>
      <c r="S328" s="54"/>
    </row>
    <row r="329" spans="17:19" x14ac:dyDescent="0.2">
      <c r="Q329" s="54"/>
      <c r="R329" s="54"/>
      <c r="S329" s="54"/>
    </row>
    <row r="330" spans="17:19" x14ac:dyDescent="0.2">
      <c r="Q330" s="54"/>
      <c r="R330" s="54"/>
      <c r="S330" s="54"/>
    </row>
    <row r="331" spans="17:19" x14ac:dyDescent="0.2">
      <c r="Q331" s="54"/>
      <c r="R331" s="54"/>
      <c r="S331" s="54"/>
    </row>
    <row r="332" spans="17:19" x14ac:dyDescent="0.2">
      <c r="Q332" s="54"/>
      <c r="R332" s="54"/>
      <c r="S332" s="54"/>
    </row>
    <row r="333" spans="17:19" x14ac:dyDescent="0.2">
      <c r="Q333" s="54"/>
      <c r="R333" s="54"/>
      <c r="S333" s="54"/>
    </row>
    <row r="334" spans="17:19" x14ac:dyDescent="0.2">
      <c r="Q334" s="54"/>
      <c r="R334" s="54"/>
      <c r="S334" s="54"/>
    </row>
    <row r="335" spans="17:19" x14ac:dyDescent="0.2">
      <c r="Q335" s="54"/>
      <c r="R335" s="54"/>
      <c r="S335" s="54"/>
    </row>
    <row r="336" spans="17:19" x14ac:dyDescent="0.2">
      <c r="Q336" s="54"/>
      <c r="R336" s="54"/>
      <c r="S336" s="54"/>
    </row>
    <row r="337" spans="17:19" x14ac:dyDescent="0.2">
      <c r="Q337" s="54"/>
      <c r="R337" s="54"/>
      <c r="S337" s="54"/>
    </row>
    <row r="338" spans="17:19" x14ac:dyDescent="0.2">
      <c r="Q338" s="54"/>
      <c r="R338" s="54"/>
      <c r="S338" s="54"/>
    </row>
    <row r="339" spans="17:19" x14ac:dyDescent="0.2">
      <c r="Q339" s="54"/>
      <c r="R339" s="54"/>
      <c r="S339" s="54"/>
    </row>
    <row r="340" spans="17:19" x14ac:dyDescent="0.2">
      <c r="Q340" s="54"/>
      <c r="R340" s="54"/>
      <c r="S340" s="54"/>
    </row>
    <row r="341" spans="17:19" x14ac:dyDescent="0.2">
      <c r="Q341" s="54"/>
      <c r="R341" s="54"/>
      <c r="S341" s="54"/>
    </row>
    <row r="342" spans="17:19" x14ac:dyDescent="0.2">
      <c r="Q342" s="54"/>
      <c r="R342" s="54"/>
      <c r="S342" s="54"/>
    </row>
    <row r="343" spans="17:19" x14ac:dyDescent="0.2">
      <c r="Q343" s="54"/>
      <c r="R343" s="54"/>
      <c r="S343" s="54"/>
    </row>
    <row r="344" spans="17:19" x14ac:dyDescent="0.2">
      <c r="Q344" s="54"/>
      <c r="R344" s="54"/>
      <c r="S344" s="54"/>
    </row>
    <row r="345" spans="17:19" x14ac:dyDescent="0.2">
      <c r="Q345" s="54"/>
      <c r="R345" s="54"/>
      <c r="S345" s="54"/>
    </row>
    <row r="346" spans="17:19" x14ac:dyDescent="0.2">
      <c r="Q346" s="54"/>
      <c r="R346" s="54"/>
      <c r="S346" s="54"/>
    </row>
    <row r="347" spans="17:19" x14ac:dyDescent="0.2">
      <c r="Q347" s="54"/>
      <c r="R347" s="54"/>
      <c r="S347" s="54"/>
    </row>
    <row r="348" spans="17:19" x14ac:dyDescent="0.2">
      <c r="Q348" s="54"/>
      <c r="R348" s="54"/>
      <c r="S348" s="54"/>
    </row>
    <row r="349" spans="17:19" x14ac:dyDescent="0.2">
      <c r="Q349" s="54"/>
      <c r="R349" s="54"/>
      <c r="S349" s="54"/>
    </row>
    <row r="350" spans="17:19" x14ac:dyDescent="0.2">
      <c r="Q350" s="54"/>
      <c r="R350" s="54"/>
      <c r="S350" s="54"/>
    </row>
    <row r="351" spans="17:19" x14ac:dyDescent="0.2">
      <c r="Q351" s="54"/>
      <c r="R351" s="54"/>
      <c r="S351" s="54"/>
    </row>
    <row r="352" spans="17:19" x14ac:dyDescent="0.2">
      <c r="Q352" s="54"/>
      <c r="R352" s="54"/>
      <c r="S352" s="54"/>
    </row>
    <row r="353" spans="17:19" x14ac:dyDescent="0.2">
      <c r="Q353" s="54"/>
      <c r="R353" s="54"/>
      <c r="S353" s="54"/>
    </row>
    <row r="354" spans="17:19" x14ac:dyDescent="0.2">
      <c r="Q354" s="54"/>
      <c r="R354" s="54"/>
      <c r="S354" s="54"/>
    </row>
    <row r="355" spans="17:19" x14ac:dyDescent="0.2">
      <c r="Q355" s="54"/>
      <c r="R355" s="54"/>
      <c r="S355" s="54"/>
    </row>
    <row r="356" spans="17:19" x14ac:dyDescent="0.2">
      <c r="Q356" s="54"/>
      <c r="R356" s="54"/>
      <c r="S356" s="54"/>
    </row>
    <row r="357" spans="17:19" x14ac:dyDescent="0.2">
      <c r="Q357" s="54"/>
      <c r="R357" s="54"/>
      <c r="S357" s="54"/>
    </row>
    <row r="358" spans="17:19" x14ac:dyDescent="0.2">
      <c r="Q358" s="54"/>
      <c r="R358" s="54"/>
      <c r="S358" s="54"/>
    </row>
    <row r="359" spans="17:19" x14ac:dyDescent="0.2">
      <c r="Q359" s="54"/>
      <c r="R359" s="54"/>
      <c r="S359" s="54"/>
    </row>
    <row r="360" spans="17:19" x14ac:dyDescent="0.2">
      <c r="Q360" s="54"/>
      <c r="R360" s="54"/>
      <c r="S360" s="54"/>
    </row>
    <row r="361" spans="17:19" x14ac:dyDescent="0.2">
      <c r="Q361" s="54"/>
      <c r="R361" s="54"/>
      <c r="S361" s="54"/>
    </row>
    <row r="362" spans="17:19" x14ac:dyDescent="0.2">
      <c r="Q362" s="54"/>
      <c r="R362" s="54"/>
      <c r="S362" s="54"/>
    </row>
    <row r="363" spans="17:19" x14ac:dyDescent="0.2">
      <c r="Q363" s="54"/>
      <c r="R363" s="54"/>
      <c r="S363" s="54"/>
    </row>
    <row r="364" spans="17:19" x14ac:dyDescent="0.2">
      <c r="Q364" s="54"/>
      <c r="R364" s="54"/>
      <c r="S364" s="54"/>
    </row>
    <row r="365" spans="17:19" x14ac:dyDescent="0.2">
      <c r="Q365" s="54"/>
      <c r="R365" s="54"/>
      <c r="S365" s="54"/>
    </row>
    <row r="366" spans="17:19" x14ac:dyDescent="0.2">
      <c r="Q366" s="54"/>
      <c r="R366" s="54"/>
      <c r="S366" s="54"/>
    </row>
    <row r="367" spans="17:19" x14ac:dyDescent="0.2">
      <c r="Q367" s="54"/>
      <c r="R367" s="54"/>
      <c r="S367" s="54"/>
    </row>
    <row r="368" spans="17:19" x14ac:dyDescent="0.2">
      <c r="Q368" s="54"/>
      <c r="R368" s="54"/>
      <c r="S368" s="54"/>
    </row>
    <row r="369" spans="17:19" x14ac:dyDescent="0.2">
      <c r="Q369" s="54"/>
      <c r="R369" s="54"/>
      <c r="S369" s="54"/>
    </row>
    <row r="370" spans="17:19" x14ac:dyDescent="0.2">
      <c r="Q370" s="54"/>
      <c r="R370" s="54"/>
      <c r="S370" s="54"/>
    </row>
    <row r="371" spans="17:19" x14ac:dyDescent="0.2">
      <c r="Q371" s="54"/>
      <c r="R371" s="54"/>
      <c r="S371" s="54"/>
    </row>
    <row r="372" spans="17:19" x14ac:dyDescent="0.2">
      <c r="Q372" s="54"/>
      <c r="R372" s="54"/>
      <c r="S372" s="54"/>
    </row>
    <row r="373" spans="17:19" x14ac:dyDescent="0.2">
      <c r="Q373" s="54"/>
      <c r="R373" s="54"/>
      <c r="S373" s="54"/>
    </row>
    <row r="374" spans="17:19" x14ac:dyDescent="0.2">
      <c r="Q374" s="54"/>
      <c r="R374" s="54"/>
      <c r="S374" s="54"/>
    </row>
    <row r="375" spans="17:19" x14ac:dyDescent="0.2">
      <c r="Q375" s="54"/>
      <c r="R375" s="54"/>
      <c r="S375" s="54"/>
    </row>
    <row r="376" spans="17:19" x14ac:dyDescent="0.2">
      <c r="Q376" s="54"/>
      <c r="R376" s="54"/>
      <c r="S376" s="54"/>
    </row>
    <row r="377" spans="17:19" x14ac:dyDescent="0.2">
      <c r="Q377" s="54"/>
      <c r="R377" s="54"/>
      <c r="S377" s="54"/>
    </row>
    <row r="378" spans="17:19" x14ac:dyDescent="0.2">
      <c r="Q378" s="54"/>
      <c r="R378" s="54"/>
      <c r="S378" s="54"/>
    </row>
    <row r="379" spans="17:19" x14ac:dyDescent="0.2">
      <c r="Q379" s="54"/>
      <c r="R379" s="54"/>
      <c r="S379" s="54"/>
    </row>
    <row r="380" spans="17:19" x14ac:dyDescent="0.2">
      <c r="Q380" s="54"/>
      <c r="R380" s="54"/>
      <c r="S380" s="54"/>
    </row>
    <row r="381" spans="17:19" x14ac:dyDescent="0.2">
      <c r="Q381" s="54"/>
      <c r="R381" s="54"/>
      <c r="S381" s="54"/>
    </row>
    <row r="382" spans="17:19" x14ac:dyDescent="0.2">
      <c r="Q382" s="54"/>
      <c r="R382" s="54"/>
      <c r="S382" s="54"/>
    </row>
    <row r="383" spans="17:19" x14ac:dyDescent="0.2">
      <c r="Q383" s="54"/>
      <c r="R383" s="54"/>
      <c r="S383" s="54"/>
    </row>
    <row r="384" spans="17:19" x14ac:dyDescent="0.2">
      <c r="Q384" s="54"/>
      <c r="R384" s="54"/>
      <c r="S384" s="54"/>
    </row>
    <row r="385" spans="17:19" x14ac:dyDescent="0.2">
      <c r="Q385" s="54"/>
      <c r="R385" s="54"/>
      <c r="S385" s="54"/>
    </row>
    <row r="386" spans="17:19" x14ac:dyDescent="0.2">
      <c r="Q386" s="54"/>
      <c r="R386" s="54"/>
      <c r="S386" s="54"/>
    </row>
    <row r="387" spans="17:19" x14ac:dyDescent="0.2">
      <c r="Q387" s="54"/>
      <c r="R387" s="54"/>
      <c r="S387" s="54"/>
    </row>
    <row r="388" spans="17:19" x14ac:dyDescent="0.2">
      <c r="Q388" s="54"/>
      <c r="R388" s="54"/>
      <c r="S388" s="54"/>
    </row>
    <row r="389" spans="17:19" x14ac:dyDescent="0.2">
      <c r="Q389" s="54"/>
      <c r="R389" s="54"/>
      <c r="S389" s="54"/>
    </row>
    <row r="390" spans="17:19" x14ac:dyDescent="0.2">
      <c r="Q390" s="54"/>
      <c r="R390" s="54"/>
      <c r="S390" s="54"/>
    </row>
    <row r="391" spans="17:19" x14ac:dyDescent="0.2">
      <c r="Q391" s="54"/>
      <c r="R391" s="54"/>
      <c r="S391" s="54"/>
    </row>
    <row r="392" spans="17:19" x14ac:dyDescent="0.2">
      <c r="Q392" s="54"/>
      <c r="R392" s="54"/>
      <c r="S392" s="54"/>
    </row>
    <row r="393" spans="17:19" x14ac:dyDescent="0.2">
      <c r="Q393" s="54"/>
      <c r="R393" s="54"/>
      <c r="S393" s="54"/>
    </row>
    <row r="394" spans="17:19" x14ac:dyDescent="0.2">
      <c r="Q394" s="54"/>
      <c r="R394" s="54"/>
      <c r="S394" s="54"/>
    </row>
    <row r="395" spans="17:19" x14ac:dyDescent="0.2">
      <c r="Q395" s="54"/>
      <c r="R395" s="54"/>
      <c r="S395" s="54"/>
    </row>
    <row r="396" spans="17:19" x14ac:dyDescent="0.2">
      <c r="Q396" s="54"/>
      <c r="R396" s="54"/>
      <c r="S396" s="54"/>
    </row>
    <row r="397" spans="17:19" x14ac:dyDescent="0.2">
      <c r="Q397" s="54"/>
      <c r="R397" s="54"/>
      <c r="S397" s="54"/>
    </row>
    <row r="398" spans="17:19" x14ac:dyDescent="0.2">
      <c r="Q398" s="54"/>
      <c r="R398" s="54"/>
      <c r="S398" s="54"/>
    </row>
    <row r="399" spans="17:19" x14ac:dyDescent="0.2">
      <c r="Q399" s="54"/>
      <c r="R399" s="54"/>
      <c r="S399" s="54"/>
    </row>
    <row r="400" spans="17:19" x14ac:dyDescent="0.2">
      <c r="Q400" s="54"/>
      <c r="R400" s="54"/>
      <c r="S400" s="54"/>
    </row>
    <row r="401" spans="17:19" x14ac:dyDescent="0.2">
      <c r="Q401" s="54"/>
      <c r="R401" s="54"/>
      <c r="S401" s="54"/>
    </row>
    <row r="402" spans="17:19" x14ac:dyDescent="0.2">
      <c r="Q402" s="54"/>
      <c r="R402" s="54"/>
      <c r="S402" s="54"/>
    </row>
    <row r="403" spans="17:19" x14ac:dyDescent="0.2">
      <c r="Q403" s="54"/>
      <c r="R403" s="54"/>
      <c r="S403" s="54"/>
    </row>
    <row r="404" spans="17:19" x14ac:dyDescent="0.2">
      <c r="Q404" s="54"/>
      <c r="R404" s="54"/>
      <c r="S404" s="54"/>
    </row>
    <row r="405" spans="17:19" x14ac:dyDescent="0.2">
      <c r="Q405" s="54"/>
      <c r="R405" s="54"/>
      <c r="S405" s="54"/>
    </row>
    <row r="406" spans="17:19" x14ac:dyDescent="0.2">
      <c r="Q406" s="54"/>
      <c r="R406" s="54"/>
      <c r="S406" s="54"/>
    </row>
    <row r="407" spans="17:19" x14ac:dyDescent="0.2">
      <c r="Q407" s="54"/>
      <c r="R407" s="54"/>
      <c r="S407" s="54"/>
    </row>
    <row r="408" spans="17:19" x14ac:dyDescent="0.2">
      <c r="Q408" s="54"/>
      <c r="R408" s="54"/>
      <c r="S408" s="54"/>
    </row>
    <row r="409" spans="17:19" x14ac:dyDescent="0.2">
      <c r="Q409" s="54"/>
      <c r="R409" s="54"/>
      <c r="S409" s="54"/>
    </row>
    <row r="410" spans="17:19" x14ac:dyDescent="0.2">
      <c r="Q410" s="54"/>
      <c r="R410" s="54"/>
      <c r="S410" s="54"/>
    </row>
    <row r="411" spans="17:19" x14ac:dyDescent="0.2">
      <c r="Q411" s="54"/>
      <c r="R411" s="54"/>
      <c r="S411" s="54"/>
    </row>
    <row r="412" spans="17:19" x14ac:dyDescent="0.2">
      <c r="Q412" s="54"/>
      <c r="R412" s="54"/>
      <c r="S412" s="54"/>
    </row>
    <row r="413" spans="17:19" x14ac:dyDescent="0.2">
      <c r="Q413" s="54"/>
      <c r="R413" s="54"/>
      <c r="S413" s="54"/>
    </row>
    <row r="414" spans="17:19" x14ac:dyDescent="0.2">
      <c r="Q414" s="54"/>
      <c r="R414" s="54"/>
      <c r="S414" s="54"/>
    </row>
    <row r="415" spans="17:19" x14ac:dyDescent="0.2">
      <c r="Q415" s="54"/>
      <c r="R415" s="54"/>
      <c r="S415" s="54"/>
    </row>
    <row r="416" spans="17:19" x14ac:dyDescent="0.2">
      <c r="Q416" s="54"/>
      <c r="R416" s="54"/>
      <c r="S416" s="54"/>
    </row>
    <row r="417" spans="17:19" x14ac:dyDescent="0.2">
      <c r="Q417" s="54"/>
      <c r="R417" s="54"/>
      <c r="S417" s="54"/>
    </row>
    <row r="418" spans="17:19" x14ac:dyDescent="0.2">
      <c r="Q418" s="54"/>
      <c r="R418" s="54"/>
      <c r="S418" s="54"/>
    </row>
    <row r="419" spans="17:19" x14ac:dyDescent="0.2">
      <c r="Q419" s="54"/>
      <c r="R419" s="54"/>
      <c r="S419" s="54"/>
    </row>
    <row r="420" spans="17:19" x14ac:dyDescent="0.2">
      <c r="Q420" s="54"/>
      <c r="R420" s="54"/>
      <c r="S420" s="54"/>
    </row>
    <row r="421" spans="17:19" x14ac:dyDescent="0.2">
      <c r="Q421" s="54"/>
      <c r="R421" s="54"/>
      <c r="S421" s="54"/>
    </row>
    <row r="422" spans="17:19" x14ac:dyDescent="0.2">
      <c r="Q422" s="54"/>
      <c r="R422" s="54"/>
      <c r="S422" s="54"/>
    </row>
    <row r="423" spans="17:19" x14ac:dyDescent="0.2">
      <c r="Q423" s="54"/>
      <c r="R423" s="54"/>
      <c r="S423" s="54"/>
    </row>
    <row r="424" spans="17:19" x14ac:dyDescent="0.2">
      <c r="Q424" s="54"/>
      <c r="R424" s="54"/>
      <c r="S424" s="54"/>
    </row>
    <row r="425" spans="17:19" x14ac:dyDescent="0.2">
      <c r="Q425" s="54"/>
      <c r="R425" s="54"/>
      <c r="S425" s="54"/>
    </row>
    <row r="426" spans="17:19" x14ac:dyDescent="0.2">
      <c r="Q426" s="54"/>
      <c r="R426" s="54"/>
      <c r="S426" s="54"/>
    </row>
    <row r="427" spans="17:19" x14ac:dyDescent="0.2">
      <c r="Q427" s="54"/>
      <c r="R427" s="54"/>
      <c r="S427" s="54"/>
    </row>
    <row r="428" spans="17:19" x14ac:dyDescent="0.2">
      <c r="Q428" s="54"/>
      <c r="R428" s="54"/>
      <c r="S428" s="54"/>
    </row>
    <row r="429" spans="17:19" x14ac:dyDescent="0.2">
      <c r="Q429" s="54"/>
      <c r="R429" s="54"/>
      <c r="S429" s="54"/>
    </row>
    <row r="430" spans="17:19" x14ac:dyDescent="0.2">
      <c r="Q430" s="54"/>
      <c r="R430" s="54"/>
      <c r="S430" s="54"/>
    </row>
    <row r="431" spans="17:19" x14ac:dyDescent="0.2">
      <c r="Q431" s="54"/>
      <c r="R431" s="54"/>
      <c r="S431" s="54"/>
    </row>
    <row r="432" spans="17:19" x14ac:dyDescent="0.2">
      <c r="Q432" s="54"/>
      <c r="R432" s="54"/>
      <c r="S432" s="54"/>
    </row>
    <row r="433" spans="17:19" x14ac:dyDescent="0.2">
      <c r="Q433" s="54"/>
      <c r="R433" s="54"/>
      <c r="S433" s="54"/>
    </row>
    <row r="434" spans="17:19" x14ac:dyDescent="0.2">
      <c r="Q434" s="54"/>
      <c r="R434" s="54"/>
      <c r="S434" s="54"/>
    </row>
    <row r="435" spans="17:19" x14ac:dyDescent="0.2">
      <c r="Q435" s="54"/>
      <c r="R435" s="54"/>
      <c r="S435" s="54"/>
    </row>
    <row r="436" spans="17:19" x14ac:dyDescent="0.2">
      <c r="Q436" s="54"/>
      <c r="R436" s="54"/>
      <c r="S436" s="54"/>
    </row>
    <row r="437" spans="17:19" x14ac:dyDescent="0.2">
      <c r="Q437" s="54"/>
      <c r="R437" s="54"/>
      <c r="S437" s="54"/>
    </row>
    <row r="438" spans="17:19" x14ac:dyDescent="0.2">
      <c r="Q438" s="54"/>
      <c r="R438" s="54"/>
      <c r="S438" s="54"/>
    </row>
    <row r="439" spans="17:19" x14ac:dyDescent="0.2">
      <c r="Q439" s="54"/>
      <c r="R439" s="54"/>
      <c r="S439" s="54"/>
    </row>
    <row r="440" spans="17:19" x14ac:dyDescent="0.2">
      <c r="Q440" s="54"/>
      <c r="R440" s="54"/>
      <c r="S440" s="54"/>
    </row>
    <row r="441" spans="17:19" x14ac:dyDescent="0.2">
      <c r="Q441" s="54"/>
      <c r="R441" s="54"/>
      <c r="S441" s="54"/>
    </row>
    <row r="442" spans="17:19" x14ac:dyDescent="0.2">
      <c r="Q442" s="54"/>
      <c r="R442" s="54"/>
      <c r="S442" s="54"/>
    </row>
    <row r="443" spans="17:19" x14ac:dyDescent="0.2">
      <c r="Q443" s="54"/>
      <c r="R443" s="54"/>
      <c r="S443" s="54"/>
    </row>
    <row r="444" spans="17:19" x14ac:dyDescent="0.2">
      <c r="Q444" s="54"/>
      <c r="R444" s="54"/>
      <c r="S444" s="54"/>
    </row>
    <row r="445" spans="17:19" x14ac:dyDescent="0.2">
      <c r="Q445" s="54"/>
      <c r="R445" s="54"/>
      <c r="S445" s="54"/>
    </row>
    <row r="446" spans="17:19" x14ac:dyDescent="0.2">
      <c r="Q446" s="54"/>
      <c r="R446" s="54"/>
      <c r="S446" s="54"/>
    </row>
    <row r="447" spans="17:19" x14ac:dyDescent="0.2">
      <c r="Q447" s="54"/>
      <c r="R447" s="54"/>
      <c r="S447" s="54"/>
    </row>
    <row r="448" spans="17:19" x14ac:dyDescent="0.2">
      <c r="Q448" s="54"/>
      <c r="R448" s="54"/>
      <c r="S448" s="54"/>
    </row>
    <row r="449" spans="17:19" x14ac:dyDescent="0.2">
      <c r="Q449" s="54"/>
      <c r="R449" s="54"/>
      <c r="S449" s="54"/>
    </row>
    <row r="450" spans="17:19" x14ac:dyDescent="0.2">
      <c r="Q450" s="54"/>
      <c r="R450" s="54"/>
      <c r="S450" s="54"/>
    </row>
    <row r="451" spans="17:19" x14ac:dyDescent="0.2">
      <c r="Q451" s="54"/>
      <c r="R451" s="54"/>
      <c r="S451" s="54"/>
    </row>
    <row r="452" spans="17:19" x14ac:dyDescent="0.2">
      <c r="Q452" s="54"/>
      <c r="R452" s="54"/>
      <c r="S452" s="54"/>
    </row>
    <row r="453" spans="17:19" x14ac:dyDescent="0.2">
      <c r="Q453" s="54"/>
      <c r="R453" s="54"/>
      <c r="S453" s="54"/>
    </row>
    <row r="454" spans="17:19" x14ac:dyDescent="0.2">
      <c r="Q454" s="54"/>
      <c r="R454" s="54"/>
      <c r="S454" s="54"/>
    </row>
    <row r="455" spans="17:19" x14ac:dyDescent="0.2">
      <c r="Q455" s="54"/>
      <c r="R455" s="54"/>
      <c r="S455" s="54"/>
    </row>
    <row r="456" spans="17:19" x14ac:dyDescent="0.2">
      <c r="Q456" s="54"/>
      <c r="R456" s="54"/>
      <c r="S456" s="54"/>
    </row>
    <row r="457" spans="17:19" x14ac:dyDescent="0.2">
      <c r="Q457" s="54"/>
      <c r="R457" s="54"/>
      <c r="S457" s="54"/>
    </row>
    <row r="458" spans="17:19" x14ac:dyDescent="0.2">
      <c r="Q458" s="54"/>
      <c r="R458" s="54"/>
      <c r="S458" s="54"/>
    </row>
    <row r="459" spans="17:19" x14ac:dyDescent="0.2">
      <c r="Q459" s="54"/>
      <c r="R459" s="54"/>
      <c r="S459" s="54"/>
    </row>
    <row r="460" spans="17:19" x14ac:dyDescent="0.2">
      <c r="Q460" s="54"/>
      <c r="R460" s="54"/>
      <c r="S460" s="54"/>
    </row>
    <row r="461" spans="17:19" x14ac:dyDescent="0.2">
      <c r="Q461" s="54"/>
      <c r="R461" s="54"/>
      <c r="S461" s="54"/>
    </row>
    <row r="462" spans="17:19" x14ac:dyDescent="0.2">
      <c r="Q462" s="54"/>
      <c r="R462" s="54"/>
      <c r="S462" s="54"/>
    </row>
    <row r="463" spans="17:19" x14ac:dyDescent="0.2">
      <c r="Q463" s="54"/>
      <c r="R463" s="54"/>
      <c r="S463" s="54"/>
    </row>
    <row r="464" spans="17:19" x14ac:dyDescent="0.2">
      <c r="Q464" s="54"/>
      <c r="R464" s="54"/>
      <c r="S464" s="54"/>
    </row>
  </sheetData>
  <mergeCells count="1">
    <mergeCell ref="D1:AI1"/>
  </mergeCells>
  <phoneticPr fontId="0" type="noConversion"/>
  <conditionalFormatting sqref="H2:J2 AC2:AH2">
    <cfRule type="cellIs" dxfId="11" priority="1" stopIfTrue="1" operator="equal">
      <formula>$B$4</formula>
    </cfRule>
  </conditionalFormatting>
  <conditionalFormatting sqref="Q2:S2 Q465:S65536 O2:P203 K204:P65536 N3:N203 K2:N2 T2:V65536 Z2:AB65536 W2:Y2">
    <cfRule type="cellIs" dxfId="10" priority="2" stopIfTrue="1" operator="lessThan">
      <formula>0</formula>
    </cfRule>
  </conditionalFormatting>
  <conditionalFormatting sqref="R3:S464 Q4:Q464">
    <cfRule type="cellIs" dxfId="9" priority="5" stopIfTrue="1" operator="lessThan">
      <formula>0</formula>
    </cfRule>
    <cfRule type="expression" dxfId="8" priority="6" stopIfTrue="1">
      <formula>AND(Q3&gt;0,Q3&lt;=$U3)</formula>
    </cfRule>
  </conditionalFormatting>
  <conditionalFormatting sqref="M3:M203 K4:L203">
    <cfRule type="cellIs" dxfId="7" priority="7" stopIfTrue="1" operator="lessThan">
      <formula>0</formula>
    </cfRule>
    <cfRule type="expression" dxfId="6" priority="8" stopIfTrue="1">
      <formula>AND(K3&gt;0,K3&lt;=$O3)</formula>
    </cfRule>
  </conditionalFormatting>
  <conditionalFormatting sqref="K3:L3">
    <cfRule type="cellIs" dxfId="5" priority="9" stopIfTrue="1" operator="lessThan">
      <formula>0</formula>
    </cfRule>
    <cfRule type="expression" dxfId="4" priority="10" stopIfTrue="1">
      <formula>AND(K3&gt;0,K3&lt;=$O3)</formula>
    </cfRule>
  </conditionalFormatting>
  <conditionalFormatting sqref="Q3">
    <cfRule type="cellIs" dxfId="3" priority="11" stopIfTrue="1" operator="lessThan">
      <formula>0</formula>
    </cfRule>
    <cfRule type="expression" dxfId="2" priority="12" stopIfTrue="1">
      <formula>AND(Q3&gt;0,Q3&lt;=$U3)</formula>
    </cfRule>
  </conditionalFormatting>
  <conditionalFormatting sqref="W3:Y65536">
    <cfRule type="cellIs" dxfId="1" priority="13" stopIfTrue="1" operator="lessThan">
      <formula>0</formula>
    </cfRule>
    <cfRule type="expression" dxfId="0" priority="14" stopIfTrue="1">
      <formula>AND(W3&gt;0,W3&lt;=$AA3)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2"/>
  </dataValidations>
  <printOptions horizontalCentered="1"/>
  <pageMargins left="0.25" right="0.25" top="1" bottom="1" header="0.5" footer="0.5"/>
  <pageSetup paperSize="5" fitToHeight="0" orientation="landscape" r:id="rId1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  <webPublishItems count="1">
    <webPublishItem id="15892" divId="Single_Div_Excel_03_Webtest_15033" sourceType="range" sourceRef="C1:AI33" destinationFile="ftp://nextlifter.com/jpm75usafa/OnlineScoreBoard/GenericTest.htm" title=" Squat  1 - Refresh browser to update this page.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104"/>
  <sheetViews>
    <sheetView showGridLines="0" topLeftCell="G1" workbookViewId="0">
      <selection activeCell="F1" sqref="F1:F65536"/>
    </sheetView>
  </sheetViews>
  <sheetFormatPr defaultColWidth="9.140625" defaultRowHeight="12.75" x14ac:dyDescent="0.2"/>
  <cols>
    <col min="1" max="1" width="9.140625" style="147" hidden="1" customWidth="1"/>
    <col min="2" max="2" width="17.7109375" style="148" hidden="1" customWidth="1"/>
    <col min="3" max="6" width="5.140625" style="147" hidden="1" customWidth="1"/>
    <col min="7" max="9" width="5.140625" style="147" customWidth="1"/>
    <col min="10" max="10" width="9.5703125" style="150" customWidth="1"/>
    <col min="11" max="11" width="33.85546875" style="149" customWidth="1"/>
    <col min="12" max="15" width="11.140625" style="149" customWidth="1"/>
    <col min="16" max="16" width="13.42578125" style="149" customWidth="1"/>
    <col min="17" max="18" width="9.140625" style="149"/>
    <col min="19" max="24" width="9.140625" style="150"/>
    <col min="25" max="25" width="10.5703125" style="150" customWidth="1"/>
    <col min="26" max="26" width="15.7109375" style="150" customWidth="1"/>
    <col min="27" max="27" width="10.28515625" style="150" customWidth="1"/>
    <col min="28" max="28" width="15.140625" style="150" customWidth="1"/>
    <col min="29" max="16384" width="9.140625" style="149"/>
  </cols>
  <sheetData>
    <row r="1" spans="1:34" ht="7.5" customHeight="1" x14ac:dyDescent="0.2"/>
    <row r="2" spans="1:34" ht="45" customHeight="1" x14ac:dyDescent="0.2">
      <c r="J2" s="368" t="str">
        <f>Setup!C2</f>
        <v>APF</v>
      </c>
      <c r="K2" s="368"/>
      <c r="L2" s="368"/>
      <c r="M2" s="368"/>
      <c r="N2" s="368"/>
      <c r="O2" s="368"/>
      <c r="P2" s="368"/>
    </row>
    <row r="3" spans="1:34" ht="110.25" customHeight="1" x14ac:dyDescent="0.2">
      <c r="B3" s="151"/>
      <c r="L3" s="218" t="s">
        <v>171</v>
      </c>
    </row>
    <row r="5" spans="1:34" x14ac:dyDescent="0.2">
      <c r="A5" s="148" t="s">
        <v>131</v>
      </c>
      <c r="B5" s="148" t="s">
        <v>140</v>
      </c>
    </row>
    <row r="6" spans="1:34" s="154" customFormat="1" ht="36" customHeight="1" x14ac:dyDescent="0.2">
      <c r="A6" s="152" t="str">
        <f ca="1">OFFSET(Setup!O6,MATCH(J6,INDIRECT(B6),0),0)</f>
        <v>F-O</v>
      </c>
      <c r="B6" s="152" t="str">
        <f>CONCATENATE("Setup!P7:P",COUNTA(Setup!O:O)+4)</f>
        <v>Setup!P7:P135</v>
      </c>
      <c r="C6" s="147"/>
      <c r="D6" s="147"/>
      <c r="E6" s="147"/>
      <c r="F6" s="147"/>
      <c r="G6" s="147"/>
      <c r="H6" s="147"/>
      <c r="I6" s="147"/>
      <c r="J6" s="367" t="s">
        <v>170</v>
      </c>
      <c r="K6" s="367"/>
      <c r="L6" s="367"/>
      <c r="M6" s="367"/>
      <c r="N6" s="367"/>
      <c r="O6" s="367"/>
      <c r="P6" s="153"/>
      <c r="R6" s="149"/>
      <c r="S6" s="150"/>
      <c r="T6" s="150"/>
      <c r="U6" s="150"/>
      <c r="V6" s="150"/>
      <c r="W6" s="150"/>
      <c r="X6" s="150"/>
      <c r="Y6" s="155"/>
      <c r="Z6" s="155"/>
      <c r="AA6" s="150"/>
      <c r="AB6" s="150"/>
      <c r="AC6" s="149"/>
      <c r="AD6" s="149"/>
    </row>
    <row r="7" spans="1:34" s="154" customFormat="1" ht="36" customHeight="1" x14ac:dyDescent="0.2">
      <c r="A7" s="152" t="s">
        <v>141</v>
      </c>
      <c r="B7" s="152" t="str">
        <f ca="1">IF(LEFT(A6,1)="M","Setup!K9:K23","Setup!M9:M23")</f>
        <v>Setup!M9:M23</v>
      </c>
      <c r="C7" s="147"/>
      <c r="D7" s="147"/>
      <c r="E7" s="147"/>
      <c r="F7" s="147"/>
      <c r="G7" s="147"/>
      <c r="H7" s="147"/>
      <c r="I7" s="147"/>
      <c r="J7" s="196">
        <v>181</v>
      </c>
      <c r="K7" s="156" t="str">
        <f>IF(J7="SHW","Class",IF(Setup!K6="BWt (Kg)","Kilo Class","Pound Class"))</f>
        <v>Pound Class</v>
      </c>
      <c r="L7" s="366" t="s">
        <v>69</v>
      </c>
      <c r="M7" s="366"/>
      <c r="N7" s="366"/>
      <c r="O7" s="366"/>
      <c r="P7" s="153"/>
      <c r="R7" s="149"/>
      <c r="S7" s="150"/>
      <c r="T7" s="150"/>
      <c r="U7" s="150"/>
      <c r="V7" s="150"/>
      <c r="W7" s="150"/>
      <c r="X7" s="150"/>
      <c r="Y7" s="155"/>
      <c r="Z7" s="155"/>
      <c r="AA7" s="150"/>
      <c r="AB7" s="150"/>
      <c r="AC7" s="149"/>
      <c r="AD7" s="149"/>
    </row>
    <row r="8" spans="1:34" ht="5.25" customHeight="1" x14ac:dyDescent="0.2">
      <c r="J8" s="157"/>
      <c r="K8" s="158"/>
      <c r="L8" s="158"/>
      <c r="M8" s="158"/>
      <c r="N8" s="158"/>
      <c r="O8" s="158"/>
      <c r="P8" s="158"/>
      <c r="Y8" s="155"/>
      <c r="Z8" s="155"/>
    </row>
    <row r="9" spans="1:34" s="154" customFormat="1" ht="36" customHeight="1" x14ac:dyDescent="0.2">
      <c r="A9" s="159"/>
      <c r="B9" s="148">
        <f ca="1">OFFSET(Setup!Q6,MATCH(J6,INDIRECT(B6),0),0)</f>
        <v>1</v>
      </c>
      <c r="C9" s="147"/>
      <c r="D9" s="147"/>
      <c r="E9" s="147"/>
      <c r="F9" s="147"/>
      <c r="G9" s="147"/>
      <c r="H9" s="147"/>
      <c r="I9" s="147"/>
      <c r="J9" s="160" t="s">
        <v>79</v>
      </c>
      <c r="K9" s="161" t="s">
        <v>0</v>
      </c>
      <c r="L9" s="160" t="s">
        <v>11</v>
      </c>
      <c r="M9" s="160" t="s">
        <v>15</v>
      </c>
      <c r="N9" s="160" t="s">
        <v>21</v>
      </c>
      <c r="O9" s="160" t="s">
        <v>69</v>
      </c>
      <c r="P9" s="162" t="str">
        <f ca="1">IF(B9=1,"","Coeff-Score")</f>
        <v/>
      </c>
      <c r="R9" s="149"/>
      <c r="S9" s="150"/>
      <c r="T9" s="150"/>
      <c r="U9" s="150"/>
      <c r="V9" s="150"/>
      <c r="W9" s="150"/>
      <c r="X9" s="150"/>
      <c r="Y9" s="155"/>
      <c r="Z9" s="155"/>
      <c r="AA9" s="150"/>
      <c r="AB9" s="150"/>
      <c r="AC9" s="149"/>
      <c r="AD9" s="149"/>
      <c r="AH9" s="163"/>
    </row>
    <row r="10" spans="1:34" s="154" customFormat="1" ht="36" customHeight="1" x14ac:dyDescent="0.2">
      <c r="A10" s="159"/>
      <c r="B10" s="148" t="str">
        <f ca="1">CONCATENATE(J10,"-",$A$6,IF($B$9=1,CONCATENATE("-",IF($J$7="SHW",$J$7,ROUND($J$7,1))),""))</f>
        <v>1-F-O-181</v>
      </c>
      <c r="C10" s="147"/>
      <c r="D10" s="147"/>
      <c r="E10" s="147"/>
      <c r="F10" s="147"/>
      <c r="G10" s="147"/>
      <c r="H10" s="147"/>
      <c r="I10" s="147"/>
      <c r="J10" s="160">
        <v>1</v>
      </c>
      <c r="K10" s="161" t="str">
        <f ca="1">IF(ISERROR(INDIRECT(CONCATENATE("Lifting!C",MATCH(B10,Lifting!$AF:$AF,0)))),"",INDIRECT(CONCATENATE("Lifting!C",MATCH(B10,Lifting!$AF:$AF,0))))</f>
        <v/>
      </c>
      <c r="L10" s="160" t="str">
        <f ca="1">IF(OR($L$7="Best Bench",$L$7="Best Deadlift",$L$7="Push Pull Total"),"",IF(K10="","",INDIRECT(CONCATENATE("Lifting!O",MATCH(B10,Lifting!$AF:$AF,0)))))</f>
        <v/>
      </c>
      <c r="M10" s="160" t="str">
        <f ca="1">IF(OR($L$7="Best Squat",$L$7="Best Deadlift"),"",IF(K10="","",INDIRECT(CONCATENATE("Lifting!U",MATCH(B10,Lifting!$AF:$AF,0)))))</f>
        <v/>
      </c>
      <c r="N10" s="160" t="str">
        <f ca="1">IF(OR($L$7="Best Bench",$L$7="Best Squat"),"",IF(K10="","",INDIRECT(CONCATENATE("Lifting!AA",MATCH(B10,Lifting!$AF:$AF,0)))))</f>
        <v/>
      </c>
      <c r="O10" s="160" t="str">
        <f ca="1">IF(OR($L$7="Best Bench",$L$7="Best Deadlift",$L$7="Best Deadlift"),"",IF(K10="","",INDIRECT(CONCATENATE("Lifting!AB",MATCH(B10,Lifting!$AF:$AF,0)))))</f>
        <v/>
      </c>
      <c r="P10" s="153" t="str">
        <f ca="1">IF(OR($B$9=1,K10=""),"",INDIRECT(CONCATENATE(CONCATENATE("Lifting!",IF($B$9=2,"AC","AD"),MATCH(B10,Lifting!$AF:$AF,0)))))</f>
        <v/>
      </c>
      <c r="R10" s="149"/>
      <c r="S10" s="150"/>
      <c r="T10" s="150"/>
      <c r="U10" s="150"/>
      <c r="V10" s="150"/>
      <c r="W10" s="150"/>
      <c r="X10" s="150"/>
      <c r="Y10" s="155"/>
      <c r="Z10" s="155"/>
      <c r="AA10" s="150"/>
      <c r="AB10" s="150"/>
      <c r="AC10" s="149"/>
      <c r="AD10" s="149"/>
      <c r="AH10" s="163"/>
    </row>
    <row r="11" spans="1:34" s="154" customFormat="1" ht="36" customHeight="1" x14ac:dyDescent="0.2">
      <c r="A11" s="159"/>
      <c r="B11" s="148" t="str">
        <f ca="1">CONCATENATE(J11,"-",$A$6,IF($B$9=1,CONCATENATE("-",IF($J$7="SHW",$J$7,ROUND($J$7,1))),""))</f>
        <v>2-F-O-181</v>
      </c>
      <c r="C11" s="147"/>
      <c r="D11" s="147"/>
      <c r="E11" s="147"/>
      <c r="F11" s="147"/>
      <c r="G11" s="147"/>
      <c r="H11" s="147"/>
      <c r="I11" s="147"/>
      <c r="J11" s="160">
        <v>2</v>
      </c>
      <c r="K11" s="161" t="str">
        <f ca="1">IF(ISERROR(INDIRECT(CONCATENATE("Lifting!C",MATCH(B11,Lifting!$AF:$AF,0)))),"",INDIRECT(CONCATENATE("Lifting!C",MATCH(B11,Lifting!$AF:$AF,0))))</f>
        <v/>
      </c>
      <c r="L11" s="160" t="str">
        <f ca="1">IF(OR($L$7="Best Bench",$L$7="Best Deadlift",$L$7="Push Pull Total"),"",IF(K11="","",INDIRECT(CONCATENATE("Lifting!O",MATCH(B11,Lifting!$AF:$AF,0)))))</f>
        <v/>
      </c>
      <c r="M11" s="160" t="str">
        <f ca="1">IF(OR($L$7="Best Squat",$L$7="Best Deadlift"),"",IF(K11="","",INDIRECT(CONCATENATE("Lifting!U",MATCH(B11,Lifting!$AF:$AF,0)))))</f>
        <v/>
      </c>
      <c r="N11" s="160" t="str">
        <f ca="1">IF(OR($L$7="Best Bench",$L$7="Best Squat"),"",IF(K11="","",INDIRECT(CONCATENATE("Lifting!AA",MATCH(B11,Lifting!$AF:$AF,0)))))</f>
        <v/>
      </c>
      <c r="O11" s="160" t="str">
        <f ca="1">IF(OR($L$7="Best Bench",$L$7="Best Deadlift",$L$7="Best Deadlift"),"",IF(K11="","",INDIRECT(CONCATENATE("Lifting!AB",MATCH(B11,Lifting!$AF:$AF,0)))))</f>
        <v/>
      </c>
      <c r="P11" s="153" t="str">
        <f ca="1">IF(OR($B$9=1,K11=""),"",INDIRECT(CONCATENATE(CONCATENATE("Lifting!",IF($B$9=2,"AC","AD"),MATCH(B11,Lifting!$AF:$AF,0)))))</f>
        <v/>
      </c>
      <c r="R11" s="149"/>
      <c r="S11" s="150"/>
      <c r="T11" s="150"/>
      <c r="U11" s="150"/>
      <c r="V11" s="150"/>
      <c r="W11" s="150"/>
      <c r="X11" s="150"/>
      <c r="Y11" s="155"/>
      <c r="Z11" s="155"/>
      <c r="AA11" s="150"/>
      <c r="AB11" s="150"/>
      <c r="AC11" s="149"/>
      <c r="AD11" s="149"/>
      <c r="AH11" s="163"/>
    </row>
    <row r="12" spans="1:34" s="154" customFormat="1" ht="36" customHeight="1" x14ac:dyDescent="0.2">
      <c r="A12" s="159"/>
      <c r="B12" s="148" t="str">
        <f ca="1">CONCATENATE(J12,"-",$A$6,IF($B$9=1,CONCATENATE("-",IF($J$7="SHW",$J$7,ROUND($J$7,1))),""))</f>
        <v>3-F-O-181</v>
      </c>
      <c r="C12" s="147"/>
      <c r="D12" s="147"/>
      <c r="E12" s="147"/>
      <c r="F12" s="147"/>
      <c r="G12" s="147"/>
      <c r="H12" s="147"/>
      <c r="I12" s="147"/>
      <c r="J12" s="160">
        <v>3</v>
      </c>
      <c r="K12" s="161" t="str">
        <f ca="1">IF(ISERROR(INDIRECT(CONCATENATE("Lifting!C",MATCH(B12,Lifting!$AF:$AF,0)))),"",INDIRECT(CONCATENATE("Lifting!C",MATCH(B12,Lifting!$AF:$AF,0))))</f>
        <v/>
      </c>
      <c r="L12" s="160" t="str">
        <f ca="1">IF(OR($L$7="Best Bench",$L$7="Best Deadlift",$L$7="Push Pull Total"),"",IF(K12="","",INDIRECT(CONCATENATE("Lifting!O",MATCH(B12,Lifting!$AF:$AF,0)))))</f>
        <v/>
      </c>
      <c r="M12" s="160" t="str">
        <f ca="1">IF(OR($L$7="Best Squat",$L$7="Best Deadlift"),"",IF(K12="","",INDIRECT(CONCATENATE("Lifting!U",MATCH(B12,Lifting!$AF:$AF,0)))))</f>
        <v/>
      </c>
      <c r="N12" s="160" t="str">
        <f ca="1">IF(OR($L$7="Best Bench",$L$7="Best Squat"),"",IF(K12="","",INDIRECT(CONCATENATE("Lifting!AA",MATCH(B12,Lifting!$AF:$AF,0)))))</f>
        <v/>
      </c>
      <c r="O12" s="160" t="str">
        <f ca="1">IF(OR($L$7="Best Bench",$L$7="Best Deadlift",$L$7="Best Deadlift"),"",IF(K12="","",INDIRECT(CONCATENATE("Lifting!AB",MATCH(B12,Lifting!$AF:$AF,0)))))</f>
        <v/>
      </c>
      <c r="P12" s="153" t="str">
        <f ca="1">IF(OR($B$9=1,K12=""),"",INDIRECT(CONCATENATE(CONCATENATE("Lifting!",IF($B$9=2,"AC","AD"),MATCH(B12,Lifting!$AF:$AF,0)))))</f>
        <v/>
      </c>
      <c r="R12" s="149"/>
      <c r="S12" s="150"/>
      <c r="T12" s="150"/>
      <c r="U12" s="150"/>
      <c r="V12" s="150"/>
      <c r="W12" s="150"/>
      <c r="X12" s="150"/>
      <c r="Y12" s="155"/>
      <c r="Z12" s="155"/>
      <c r="AA12" s="150"/>
      <c r="AB12" s="150"/>
      <c r="AC12" s="149"/>
      <c r="AD12" s="149"/>
      <c r="AH12" s="163"/>
    </row>
    <row r="13" spans="1:34" s="154" customFormat="1" ht="36" customHeight="1" x14ac:dyDescent="0.2">
      <c r="A13" s="159"/>
      <c r="B13" s="148" t="str">
        <f ca="1">CONCATENATE(J13,"-",$A$6,IF($B$9=1,CONCATENATE("-",IF($J$7="SHW",$J$7,ROUND($J$7,1))),""))</f>
        <v>4-F-O-181</v>
      </c>
      <c r="C13" s="147"/>
      <c r="D13" s="147"/>
      <c r="E13" s="147"/>
      <c r="F13" s="147"/>
      <c r="G13" s="147"/>
      <c r="H13" s="147"/>
      <c r="I13" s="147"/>
      <c r="J13" s="160">
        <v>4</v>
      </c>
      <c r="K13" s="161" t="str">
        <f ca="1">IF(ISERROR(INDIRECT(CONCATENATE("Lifting!C",MATCH(B13,Lifting!$AF:$AF,0)))),"",INDIRECT(CONCATENATE("Lifting!C",MATCH(B13,Lifting!$AF:$AF,0))))</f>
        <v/>
      </c>
      <c r="L13" s="160" t="str">
        <f ca="1">IF(OR($L$7="Best Bench",$L$7="Best Deadlift",$L$7="Push Pull Total"),"",IF(K13="","",INDIRECT(CONCATENATE("Lifting!O",MATCH(B13,Lifting!$AF:$AF,0)))))</f>
        <v/>
      </c>
      <c r="M13" s="160" t="str">
        <f ca="1">IF(OR($L$7="Best Squat",$L$7="Best Deadlift"),"",IF(K13="","",INDIRECT(CONCATENATE("Lifting!U",MATCH(B13,Lifting!$AF:$AF,0)))))</f>
        <v/>
      </c>
      <c r="N13" s="160" t="str">
        <f ca="1">IF(OR($L$7="Best Bench",$L$7="Best Squat"),"",IF(K13="","",INDIRECT(CONCATENATE("Lifting!AA",MATCH(B13,Lifting!$AF:$AF,0)))))</f>
        <v/>
      </c>
      <c r="O13" s="160" t="str">
        <f ca="1">IF(OR($L$7="Best Bench",$L$7="Best Deadlift",$L$7="Best Deadlift"),"",IF(K13="","",INDIRECT(CONCATENATE("Lifting!AB",MATCH(B13,Lifting!$AF:$AF,0)))))</f>
        <v/>
      </c>
      <c r="P13" s="153" t="str">
        <f ca="1">IF(OR($B$9=1,K13=""),"",INDIRECT(CONCATENATE(CONCATENATE("Lifting!",IF($B$9=2,"AC","AD"),MATCH(B13,Lifting!$AF:$AF,0)))))</f>
        <v/>
      </c>
      <c r="R13" s="149"/>
      <c r="S13" s="150"/>
      <c r="T13" s="150"/>
      <c r="U13" s="150"/>
      <c r="V13" s="150"/>
      <c r="W13" s="150"/>
      <c r="X13" s="150"/>
      <c r="Y13" s="155"/>
      <c r="Z13" s="155"/>
      <c r="AA13" s="150"/>
      <c r="AB13" s="150"/>
      <c r="AC13" s="149"/>
      <c r="AD13" s="149"/>
      <c r="AH13" s="163"/>
    </row>
    <row r="14" spans="1:34" s="154" customFormat="1" ht="36" customHeight="1" x14ac:dyDescent="0.2">
      <c r="A14" s="159"/>
      <c r="B14" s="148" t="str">
        <f ca="1">CONCATENATE(J14,"-",$A$6,IF($B$9=1,CONCATENATE("-",IF($J$7="SHW",$J$7,ROUND($J$7,1))),""))</f>
        <v>5-F-O-181</v>
      </c>
      <c r="C14" s="147"/>
      <c r="D14" s="147"/>
      <c r="E14" s="147"/>
      <c r="F14" s="147"/>
      <c r="G14" s="147"/>
      <c r="H14" s="147"/>
      <c r="I14" s="147"/>
      <c r="J14" s="160">
        <v>5</v>
      </c>
      <c r="K14" s="161" t="str">
        <f ca="1">IF(ISERROR(INDIRECT(CONCATENATE("Lifting!C",MATCH(B14,Lifting!$AF:$AF,0)))),"",INDIRECT(CONCATENATE("Lifting!C",MATCH(B14,Lifting!$AF:$AF,0))))</f>
        <v/>
      </c>
      <c r="L14" s="160" t="str">
        <f ca="1">IF(OR($L$7="Best Bench",$L$7="Best Deadlift",$L$7="Push Pull Total"),"",IF(K14="","",INDIRECT(CONCATENATE("Lifting!O",MATCH(B14,Lifting!$AF:$AF,0)))))</f>
        <v/>
      </c>
      <c r="M14" s="160" t="str">
        <f ca="1">IF(OR($L$7="Best Squat",$L$7="Best Deadlift"),"",IF(K14="","",INDIRECT(CONCATENATE("Lifting!U",MATCH(B14,Lifting!$AF:$AF,0)))))</f>
        <v/>
      </c>
      <c r="N14" s="160" t="str">
        <f ca="1">IF(OR($L$7="Best Bench",$L$7="Best Squat"),"",IF(K14="","",INDIRECT(CONCATENATE("Lifting!AA",MATCH(B14,Lifting!$AF:$AF,0)))))</f>
        <v/>
      </c>
      <c r="O14" s="160" t="str">
        <f ca="1">IF(OR($L$7="Best Bench",$L$7="Best Deadlift",$L$7="Best Deadlift"),"",IF(K14="","",INDIRECT(CONCATENATE("Lifting!AB",MATCH(B14,Lifting!$AF:$AF,0)))))</f>
        <v/>
      </c>
      <c r="P14" s="153" t="str">
        <f ca="1">IF(OR($B$9=1,K14=""),"",INDIRECT(CONCATENATE(CONCATENATE("Lifting!",IF($B$9=2,"AC","AD"),MATCH(B14,Lifting!$AF:$AF,0)))))</f>
        <v/>
      </c>
      <c r="R14" s="149"/>
      <c r="S14" s="150"/>
      <c r="T14" s="150"/>
      <c r="U14" s="150"/>
      <c r="V14" s="150"/>
      <c r="W14" s="150"/>
      <c r="X14" s="150"/>
      <c r="Y14" s="155"/>
      <c r="Z14" s="155"/>
      <c r="AA14" s="150"/>
      <c r="AB14" s="150"/>
      <c r="AC14" s="149"/>
      <c r="AD14" s="149"/>
      <c r="AH14" s="163"/>
    </row>
    <row r="15" spans="1:34" s="154" customFormat="1" ht="36" customHeight="1" x14ac:dyDescent="0.2">
      <c r="A15" s="159"/>
      <c r="B15" s="148"/>
      <c r="C15" s="147"/>
      <c r="D15" s="147"/>
      <c r="E15" s="147"/>
      <c r="F15" s="147"/>
      <c r="G15" s="147"/>
      <c r="H15" s="147"/>
      <c r="I15" s="147"/>
      <c r="J15" s="164"/>
      <c r="K15" s="165"/>
      <c r="L15" s="164"/>
      <c r="M15" s="164"/>
      <c r="N15" s="164"/>
      <c r="O15" s="164"/>
      <c r="P15" s="166"/>
      <c r="R15" s="149"/>
      <c r="S15" s="150"/>
      <c r="T15" s="150"/>
      <c r="U15" s="150"/>
      <c r="V15" s="150"/>
      <c r="W15" s="150"/>
      <c r="X15" s="150"/>
      <c r="Y15" s="155"/>
      <c r="Z15" s="155"/>
      <c r="AA15" s="150"/>
      <c r="AB15" s="150"/>
      <c r="AC15" s="149"/>
      <c r="AD15" s="149"/>
      <c r="AH15" s="163"/>
    </row>
    <row r="16" spans="1:34" s="154" customFormat="1" ht="36" customHeight="1" x14ac:dyDescent="0.2">
      <c r="A16" s="159"/>
      <c r="B16" s="148"/>
      <c r="C16" s="147"/>
      <c r="D16" s="147"/>
      <c r="E16" s="147"/>
      <c r="F16" s="147"/>
      <c r="G16" s="147"/>
      <c r="H16" s="147"/>
      <c r="I16" s="147"/>
      <c r="J16" s="164"/>
      <c r="K16" s="165"/>
      <c r="L16" s="164"/>
      <c r="M16" s="164"/>
      <c r="N16" s="164"/>
      <c r="O16" s="164"/>
      <c r="P16" s="166"/>
      <c r="R16" s="149"/>
      <c r="S16" s="150"/>
      <c r="T16" s="150"/>
      <c r="U16" s="150"/>
      <c r="V16" s="150"/>
      <c r="W16" s="150"/>
      <c r="X16" s="150"/>
      <c r="Y16" s="155"/>
      <c r="Z16" s="155"/>
      <c r="AA16" s="150"/>
      <c r="AB16" s="150"/>
      <c r="AC16" s="149"/>
      <c r="AD16" s="149"/>
    </row>
    <row r="17" spans="1:30" s="154" customFormat="1" ht="36" customHeight="1" x14ac:dyDescent="0.2">
      <c r="A17" s="159"/>
      <c r="B17" s="148"/>
      <c r="C17" s="147"/>
      <c r="D17" s="147"/>
      <c r="E17" s="147"/>
      <c r="F17" s="147"/>
      <c r="G17" s="147"/>
      <c r="H17" s="147"/>
      <c r="I17" s="147"/>
      <c r="J17" s="164"/>
      <c r="K17" s="165"/>
      <c r="L17" s="164"/>
      <c r="M17" s="164"/>
      <c r="N17" s="164"/>
      <c r="O17" s="164"/>
      <c r="P17" s="166"/>
      <c r="R17" s="149"/>
      <c r="S17" s="150"/>
      <c r="T17" s="150"/>
      <c r="U17" s="150"/>
      <c r="V17" s="150"/>
      <c r="W17" s="150"/>
      <c r="X17" s="150"/>
      <c r="Y17" s="155"/>
      <c r="Z17" s="155"/>
      <c r="AA17" s="150"/>
      <c r="AB17" s="150"/>
      <c r="AC17" s="149"/>
      <c r="AD17" s="149"/>
    </row>
    <row r="18" spans="1:30" s="154" customFormat="1" ht="36" customHeight="1" x14ac:dyDescent="0.2">
      <c r="A18" s="159"/>
      <c r="B18" s="148"/>
      <c r="C18" s="147"/>
      <c r="D18" s="147"/>
      <c r="E18" s="147"/>
      <c r="F18" s="147"/>
      <c r="G18" s="147"/>
      <c r="H18" s="147"/>
      <c r="I18" s="147"/>
      <c r="J18" s="164"/>
      <c r="K18" s="165"/>
      <c r="L18" s="164"/>
      <c r="M18" s="164"/>
      <c r="N18" s="164"/>
      <c r="O18" s="164"/>
      <c r="P18" s="166"/>
      <c r="R18" s="149"/>
      <c r="S18" s="150"/>
      <c r="T18" s="150"/>
      <c r="U18" s="150"/>
      <c r="V18" s="150"/>
      <c r="W18" s="150"/>
      <c r="X18" s="150"/>
      <c r="Y18" s="155"/>
      <c r="Z18" s="155"/>
      <c r="AA18" s="150"/>
      <c r="AB18" s="150"/>
      <c r="AC18" s="149"/>
      <c r="AD18" s="149"/>
    </row>
    <row r="19" spans="1:30" s="154" customFormat="1" ht="36" customHeight="1" x14ac:dyDescent="0.2">
      <c r="A19" s="159"/>
      <c r="B19" s="148"/>
      <c r="C19" s="147"/>
      <c r="D19" s="147"/>
      <c r="E19" s="147"/>
      <c r="F19" s="147"/>
      <c r="G19" s="147"/>
      <c r="H19" s="147"/>
      <c r="I19" s="147"/>
      <c r="J19" s="164"/>
      <c r="K19" s="165"/>
      <c r="L19" s="164"/>
      <c r="M19" s="164"/>
      <c r="N19" s="164"/>
      <c r="O19" s="164"/>
      <c r="P19" s="166"/>
      <c r="R19" s="149"/>
      <c r="S19" s="150"/>
      <c r="T19" s="150"/>
      <c r="U19" s="150"/>
      <c r="V19" s="150"/>
      <c r="W19" s="150"/>
      <c r="X19" s="150"/>
      <c r="Y19" s="155"/>
      <c r="Z19" s="155"/>
      <c r="AA19" s="150"/>
      <c r="AB19" s="150"/>
      <c r="AC19" s="149"/>
      <c r="AD19" s="149"/>
    </row>
    <row r="20" spans="1:30" s="154" customFormat="1" ht="36" customHeight="1" x14ac:dyDescent="0.2">
      <c r="A20" s="159"/>
      <c r="B20" s="148"/>
      <c r="C20" s="147"/>
      <c r="D20" s="147"/>
      <c r="E20" s="147"/>
      <c r="F20" s="147"/>
      <c r="G20" s="147"/>
      <c r="H20" s="147"/>
      <c r="I20" s="147"/>
      <c r="J20" s="164"/>
      <c r="K20" s="165"/>
      <c r="L20" s="164"/>
      <c r="M20" s="164"/>
      <c r="N20" s="164"/>
      <c r="O20" s="164"/>
      <c r="P20" s="166"/>
      <c r="R20" s="149"/>
      <c r="S20" s="150"/>
      <c r="T20" s="150"/>
      <c r="U20" s="150"/>
      <c r="V20" s="150"/>
      <c r="W20" s="150"/>
      <c r="X20" s="150"/>
      <c r="Y20" s="155"/>
      <c r="Z20" s="155"/>
      <c r="AA20" s="150"/>
      <c r="AB20" s="150"/>
      <c r="AC20" s="149"/>
      <c r="AD20" s="149"/>
    </row>
    <row r="21" spans="1:30" s="154" customFormat="1" ht="36" customHeight="1" x14ac:dyDescent="0.2">
      <c r="A21" s="159"/>
      <c r="B21" s="148"/>
      <c r="C21" s="147"/>
      <c r="D21" s="147"/>
      <c r="E21" s="147"/>
      <c r="F21" s="147"/>
      <c r="G21" s="147"/>
      <c r="H21" s="147"/>
      <c r="I21" s="147"/>
      <c r="J21" s="164"/>
      <c r="K21" s="165"/>
      <c r="L21" s="164"/>
      <c r="M21" s="164"/>
      <c r="N21" s="164"/>
      <c r="O21" s="164"/>
      <c r="P21" s="166"/>
      <c r="R21" s="149"/>
      <c r="S21" s="150"/>
      <c r="T21" s="150"/>
      <c r="U21" s="150"/>
      <c r="V21" s="150"/>
      <c r="W21" s="150"/>
      <c r="X21" s="150"/>
      <c r="Y21" s="155"/>
      <c r="Z21" s="155"/>
      <c r="AA21" s="150"/>
      <c r="AB21" s="150"/>
      <c r="AC21" s="149"/>
      <c r="AD21" s="149"/>
    </row>
    <row r="22" spans="1:30" s="154" customFormat="1" ht="36" customHeight="1" x14ac:dyDescent="0.2">
      <c r="A22" s="159"/>
      <c r="B22" s="148"/>
      <c r="C22" s="167"/>
      <c r="D22" s="167"/>
      <c r="E22" s="167"/>
      <c r="F22" s="167"/>
      <c r="G22" s="167"/>
      <c r="H22" s="167"/>
      <c r="I22" s="167"/>
      <c r="J22" s="164"/>
      <c r="K22" s="165"/>
      <c r="L22" s="164"/>
      <c r="M22" s="164"/>
      <c r="N22" s="164"/>
      <c r="O22" s="164"/>
      <c r="P22" s="166"/>
      <c r="R22" s="149"/>
      <c r="S22" s="150"/>
      <c r="T22" s="150"/>
      <c r="U22" s="150"/>
      <c r="V22" s="150"/>
      <c r="W22" s="150"/>
      <c r="X22" s="150"/>
      <c r="Y22" s="155"/>
      <c r="Z22" s="155"/>
      <c r="AA22" s="150"/>
      <c r="AB22" s="150"/>
      <c r="AC22" s="149"/>
      <c r="AD22" s="149"/>
    </row>
    <row r="23" spans="1:30" s="154" customFormat="1" ht="36" customHeight="1" x14ac:dyDescent="0.2">
      <c r="A23" s="159"/>
      <c r="B23" s="148"/>
      <c r="C23" s="167"/>
      <c r="D23" s="167"/>
      <c r="E23" s="167"/>
      <c r="F23" s="167"/>
      <c r="G23" s="167"/>
      <c r="H23" s="167"/>
      <c r="I23" s="167"/>
      <c r="J23" s="164"/>
      <c r="K23" s="165"/>
      <c r="L23" s="164"/>
      <c r="M23" s="164"/>
      <c r="N23" s="164"/>
      <c r="O23" s="164"/>
      <c r="P23" s="166"/>
      <c r="R23" s="149"/>
      <c r="S23" s="150"/>
      <c r="T23" s="150"/>
      <c r="U23" s="150"/>
      <c r="V23" s="150"/>
      <c r="W23" s="150"/>
      <c r="X23" s="150"/>
      <c r="Y23" s="155"/>
      <c r="Z23" s="155"/>
      <c r="AA23" s="150"/>
      <c r="AB23" s="150"/>
      <c r="AC23" s="149"/>
      <c r="AD23" s="149"/>
    </row>
    <row r="24" spans="1:30" s="154" customFormat="1" ht="36" customHeight="1" x14ac:dyDescent="0.2">
      <c r="A24" s="159"/>
      <c r="B24" s="148"/>
      <c r="C24" s="167"/>
      <c r="D24" s="167"/>
      <c r="E24" s="167"/>
      <c r="F24" s="167"/>
      <c r="G24" s="167"/>
      <c r="H24" s="167"/>
      <c r="I24" s="167"/>
      <c r="J24" s="164"/>
      <c r="K24" s="165"/>
      <c r="L24" s="164"/>
      <c r="M24" s="164"/>
      <c r="N24" s="164"/>
      <c r="O24" s="164"/>
      <c r="P24" s="166"/>
      <c r="R24" s="149"/>
      <c r="S24" s="150"/>
      <c r="T24" s="150"/>
      <c r="U24" s="150"/>
      <c r="V24" s="150"/>
      <c r="W24" s="150"/>
      <c r="X24" s="150"/>
      <c r="Y24" s="155"/>
      <c r="Z24" s="155"/>
      <c r="AA24" s="150"/>
      <c r="AB24" s="150"/>
      <c r="AC24" s="149"/>
      <c r="AD24" s="149"/>
    </row>
    <row r="25" spans="1:30" s="154" customFormat="1" ht="36" customHeight="1" x14ac:dyDescent="0.2">
      <c r="A25" s="159"/>
      <c r="B25" s="148"/>
      <c r="C25" s="167"/>
      <c r="D25" s="167"/>
      <c r="E25" s="167"/>
      <c r="F25" s="167"/>
      <c r="G25" s="167"/>
      <c r="H25" s="167"/>
      <c r="I25" s="167"/>
      <c r="J25" s="164"/>
      <c r="K25" s="165"/>
      <c r="L25" s="164"/>
      <c r="M25" s="164"/>
      <c r="N25" s="164"/>
      <c r="O25" s="164"/>
      <c r="P25" s="166"/>
      <c r="R25" s="149"/>
      <c r="S25" s="150"/>
      <c r="T25" s="150"/>
      <c r="U25" s="150"/>
      <c r="V25" s="150"/>
      <c r="W25" s="150"/>
      <c r="X25" s="150"/>
      <c r="Y25" s="155"/>
      <c r="Z25" s="155"/>
      <c r="AA25" s="150"/>
      <c r="AB25" s="150"/>
      <c r="AC25" s="149"/>
      <c r="AD25" s="149"/>
    </row>
    <row r="26" spans="1:30" s="154" customFormat="1" ht="36" customHeight="1" x14ac:dyDescent="0.2">
      <c r="A26" s="159"/>
      <c r="B26" s="148"/>
      <c r="C26" s="167"/>
      <c r="D26" s="167"/>
      <c r="E26" s="167"/>
      <c r="F26" s="167"/>
      <c r="G26" s="167"/>
      <c r="H26" s="167"/>
      <c r="I26" s="167"/>
      <c r="J26" s="164"/>
      <c r="K26" s="165"/>
      <c r="L26" s="164"/>
      <c r="M26" s="164"/>
      <c r="N26" s="164"/>
      <c r="O26" s="164"/>
      <c r="P26" s="166"/>
      <c r="R26" s="149"/>
      <c r="S26" s="150"/>
      <c r="T26" s="150"/>
      <c r="U26" s="150"/>
      <c r="V26" s="150"/>
      <c r="W26" s="150"/>
      <c r="X26" s="150"/>
      <c r="Y26" s="155"/>
      <c r="Z26" s="155"/>
      <c r="AA26" s="150"/>
      <c r="AB26" s="150"/>
      <c r="AC26" s="149"/>
      <c r="AD26" s="149"/>
    </row>
    <row r="27" spans="1:30" s="154" customFormat="1" ht="36" customHeight="1" x14ac:dyDescent="0.2">
      <c r="A27" s="159"/>
      <c r="B27" s="148"/>
      <c r="C27" s="167"/>
      <c r="D27" s="167"/>
      <c r="E27" s="167"/>
      <c r="F27" s="167"/>
      <c r="G27" s="167"/>
      <c r="H27" s="167"/>
      <c r="I27" s="167"/>
      <c r="J27" s="164"/>
      <c r="K27" s="165"/>
      <c r="L27" s="164"/>
      <c r="M27" s="164"/>
      <c r="N27" s="164"/>
      <c r="O27" s="164"/>
      <c r="P27" s="166"/>
      <c r="R27" s="149"/>
      <c r="S27" s="150"/>
      <c r="T27" s="150"/>
      <c r="U27" s="150"/>
      <c r="V27" s="150"/>
      <c r="W27" s="150"/>
      <c r="X27" s="150"/>
      <c r="Y27" s="155"/>
      <c r="Z27" s="155"/>
      <c r="AA27" s="150"/>
      <c r="AB27" s="150"/>
      <c r="AC27" s="149"/>
      <c r="AD27" s="149"/>
    </row>
    <row r="28" spans="1:30" s="154" customFormat="1" ht="36" customHeight="1" x14ac:dyDescent="0.2">
      <c r="A28" s="159"/>
      <c r="B28" s="148"/>
      <c r="C28" s="167"/>
      <c r="D28" s="167"/>
      <c r="E28" s="167"/>
      <c r="F28" s="167"/>
      <c r="G28" s="167"/>
      <c r="H28" s="167"/>
      <c r="I28" s="167"/>
      <c r="J28" s="164"/>
      <c r="K28" s="165"/>
      <c r="L28" s="164"/>
      <c r="M28" s="164"/>
      <c r="N28" s="164"/>
      <c r="O28" s="164"/>
      <c r="P28" s="166"/>
      <c r="R28" s="149"/>
      <c r="S28" s="150"/>
      <c r="T28" s="150"/>
      <c r="U28" s="150"/>
      <c r="V28" s="150"/>
      <c r="W28" s="150"/>
      <c r="X28" s="150"/>
      <c r="Y28" s="155"/>
      <c r="Z28" s="155"/>
      <c r="AA28" s="150"/>
      <c r="AB28" s="150"/>
      <c r="AC28" s="149"/>
      <c r="AD28" s="149"/>
    </row>
    <row r="29" spans="1:30" s="154" customFormat="1" ht="36" customHeight="1" x14ac:dyDescent="0.2">
      <c r="A29" s="159"/>
      <c r="B29" s="148"/>
      <c r="C29" s="167"/>
      <c r="D29" s="167"/>
      <c r="E29" s="167"/>
      <c r="F29" s="167"/>
      <c r="G29" s="167"/>
      <c r="H29" s="167"/>
      <c r="I29" s="167"/>
      <c r="J29" s="164"/>
      <c r="K29" s="165"/>
      <c r="L29" s="164"/>
      <c r="M29" s="164"/>
      <c r="N29" s="164"/>
      <c r="O29" s="164"/>
      <c r="P29" s="166"/>
      <c r="R29" s="149"/>
      <c r="S29" s="150"/>
      <c r="T29" s="150"/>
      <c r="U29" s="150"/>
      <c r="V29" s="150"/>
      <c r="W29" s="150"/>
      <c r="X29" s="150"/>
      <c r="Y29" s="155"/>
      <c r="Z29" s="155"/>
      <c r="AA29" s="150"/>
      <c r="AB29" s="150"/>
      <c r="AC29" s="149"/>
      <c r="AD29" s="149"/>
    </row>
    <row r="30" spans="1:30" x14ac:dyDescent="0.2">
      <c r="Y30" s="155"/>
      <c r="Z30" s="155"/>
    </row>
    <row r="31" spans="1:30" x14ac:dyDescent="0.2">
      <c r="Y31" s="155"/>
      <c r="Z31" s="155"/>
    </row>
    <row r="32" spans="1:30" x14ac:dyDescent="0.2">
      <c r="Y32" s="155"/>
      <c r="Z32" s="155"/>
    </row>
    <row r="33" spans="25:26" x14ac:dyDescent="0.2">
      <c r="Y33" s="155"/>
      <c r="Z33" s="155"/>
    </row>
    <row r="34" spans="25:26" x14ac:dyDescent="0.2">
      <c r="Y34" s="155"/>
      <c r="Z34" s="155"/>
    </row>
    <row r="35" spans="25:26" x14ac:dyDescent="0.2">
      <c r="Y35" s="155"/>
      <c r="Z35" s="155"/>
    </row>
    <row r="36" spans="25:26" x14ac:dyDescent="0.2">
      <c r="Y36" s="155"/>
      <c r="Z36" s="155"/>
    </row>
    <row r="37" spans="25:26" x14ac:dyDescent="0.2">
      <c r="Y37" s="155"/>
      <c r="Z37" s="155"/>
    </row>
    <row r="38" spans="25:26" x14ac:dyDescent="0.2">
      <c r="Y38" s="155"/>
      <c r="Z38" s="155"/>
    </row>
    <row r="39" spans="25:26" x14ac:dyDescent="0.2">
      <c r="Y39" s="155"/>
      <c r="Z39" s="155"/>
    </row>
    <row r="40" spans="25:26" x14ac:dyDescent="0.2">
      <c r="Y40" s="155"/>
      <c r="Z40" s="155"/>
    </row>
    <row r="41" spans="25:26" x14ac:dyDescent="0.2">
      <c r="Y41" s="155"/>
      <c r="Z41" s="155"/>
    </row>
    <row r="42" spans="25:26" x14ac:dyDescent="0.2">
      <c r="Y42" s="155"/>
      <c r="Z42" s="155"/>
    </row>
    <row r="43" spans="25:26" x14ac:dyDescent="0.2">
      <c r="Y43" s="155"/>
      <c r="Z43" s="155"/>
    </row>
    <row r="44" spans="25:26" x14ac:dyDescent="0.2">
      <c r="Y44" s="155"/>
      <c r="Z44" s="155"/>
    </row>
    <row r="45" spans="25:26" x14ac:dyDescent="0.2">
      <c r="Y45" s="155"/>
      <c r="Z45" s="155"/>
    </row>
    <row r="46" spans="25:26" x14ac:dyDescent="0.2">
      <c r="Y46" s="155"/>
      <c r="Z46" s="155"/>
    </row>
    <row r="47" spans="25:26" x14ac:dyDescent="0.2">
      <c r="Y47" s="155"/>
      <c r="Z47" s="155"/>
    </row>
    <row r="48" spans="25:26" x14ac:dyDescent="0.2">
      <c r="Y48" s="155"/>
      <c r="Z48" s="155"/>
    </row>
    <row r="49" spans="25:26" x14ac:dyDescent="0.2">
      <c r="Y49" s="155"/>
      <c r="Z49" s="155"/>
    </row>
    <row r="50" spans="25:26" x14ac:dyDescent="0.2">
      <c r="Y50" s="155"/>
      <c r="Z50" s="155"/>
    </row>
    <row r="51" spans="25:26" x14ac:dyDescent="0.2">
      <c r="Y51" s="155"/>
      <c r="Z51" s="155"/>
    </row>
    <row r="52" spans="25:26" x14ac:dyDescent="0.2">
      <c r="Y52" s="155"/>
      <c r="Z52" s="155"/>
    </row>
    <row r="53" spans="25:26" x14ac:dyDescent="0.2">
      <c r="Y53" s="155"/>
      <c r="Z53" s="155"/>
    </row>
    <row r="54" spans="25:26" x14ac:dyDescent="0.2">
      <c r="Y54" s="155"/>
      <c r="Z54" s="155"/>
    </row>
    <row r="55" spans="25:26" x14ac:dyDescent="0.2">
      <c r="Y55" s="155"/>
      <c r="Z55" s="155"/>
    </row>
    <row r="56" spans="25:26" x14ac:dyDescent="0.2">
      <c r="Y56" s="155"/>
      <c r="Z56" s="155"/>
    </row>
    <row r="57" spans="25:26" x14ac:dyDescent="0.2">
      <c r="Y57" s="155"/>
      <c r="Z57" s="155"/>
    </row>
    <row r="58" spans="25:26" x14ac:dyDescent="0.2">
      <c r="Y58" s="155"/>
      <c r="Z58" s="155"/>
    </row>
    <row r="59" spans="25:26" x14ac:dyDescent="0.2">
      <c r="Y59" s="155"/>
      <c r="Z59" s="155"/>
    </row>
    <row r="60" spans="25:26" x14ac:dyDescent="0.2">
      <c r="Y60" s="155"/>
      <c r="Z60" s="155"/>
    </row>
    <row r="61" spans="25:26" x14ac:dyDescent="0.2">
      <c r="Y61" s="155"/>
      <c r="Z61" s="155"/>
    </row>
    <row r="62" spans="25:26" x14ac:dyDescent="0.2">
      <c r="Y62" s="155"/>
      <c r="Z62" s="155"/>
    </row>
    <row r="63" spans="25:26" x14ac:dyDescent="0.2">
      <c r="Y63" s="155"/>
      <c r="Z63" s="155"/>
    </row>
    <row r="64" spans="25:26" x14ac:dyDescent="0.2">
      <c r="Y64" s="155"/>
      <c r="Z64" s="155"/>
    </row>
    <row r="65" spans="25:26" x14ac:dyDescent="0.2">
      <c r="Y65" s="155"/>
      <c r="Z65" s="155"/>
    </row>
    <row r="66" spans="25:26" x14ac:dyDescent="0.2">
      <c r="Y66" s="155"/>
      <c r="Z66" s="155"/>
    </row>
    <row r="67" spans="25:26" x14ac:dyDescent="0.2">
      <c r="Y67" s="155"/>
      <c r="Z67" s="155"/>
    </row>
    <row r="68" spans="25:26" x14ac:dyDescent="0.2">
      <c r="Y68" s="155"/>
      <c r="Z68" s="155"/>
    </row>
    <row r="69" spans="25:26" x14ac:dyDescent="0.2">
      <c r="Y69" s="155"/>
      <c r="Z69" s="155"/>
    </row>
    <row r="70" spans="25:26" x14ac:dyDescent="0.2">
      <c r="Y70" s="155"/>
      <c r="Z70" s="155"/>
    </row>
    <row r="71" spans="25:26" x14ac:dyDescent="0.2">
      <c r="Y71" s="155"/>
      <c r="Z71" s="155"/>
    </row>
    <row r="72" spans="25:26" x14ac:dyDescent="0.2">
      <c r="Y72" s="155"/>
      <c r="Z72" s="155"/>
    </row>
    <row r="73" spans="25:26" x14ac:dyDescent="0.2">
      <c r="Y73" s="155"/>
      <c r="Z73" s="155"/>
    </row>
    <row r="74" spans="25:26" x14ac:dyDescent="0.2">
      <c r="Y74" s="155"/>
      <c r="Z74" s="155"/>
    </row>
    <row r="75" spans="25:26" x14ac:dyDescent="0.2">
      <c r="Y75" s="155"/>
      <c r="Z75" s="155"/>
    </row>
    <row r="76" spans="25:26" x14ac:dyDescent="0.2">
      <c r="Y76" s="155"/>
      <c r="Z76" s="155"/>
    </row>
    <row r="77" spans="25:26" x14ac:dyDescent="0.2">
      <c r="Y77" s="155"/>
      <c r="Z77" s="155"/>
    </row>
    <row r="78" spans="25:26" x14ac:dyDescent="0.2">
      <c r="Y78" s="155"/>
      <c r="Z78" s="155"/>
    </row>
    <row r="79" spans="25:26" x14ac:dyDescent="0.2">
      <c r="Y79" s="155"/>
      <c r="Z79" s="155"/>
    </row>
    <row r="80" spans="25:26" x14ac:dyDescent="0.2">
      <c r="Y80" s="155"/>
      <c r="Z80" s="155"/>
    </row>
    <row r="81" spans="25:26" x14ac:dyDescent="0.2">
      <c r="Y81" s="155"/>
      <c r="Z81" s="155"/>
    </row>
    <row r="82" spans="25:26" x14ac:dyDescent="0.2">
      <c r="Y82" s="155"/>
      <c r="Z82" s="155"/>
    </row>
    <row r="83" spans="25:26" x14ac:dyDescent="0.2">
      <c r="Y83" s="155"/>
      <c r="Z83" s="155"/>
    </row>
    <row r="84" spans="25:26" x14ac:dyDescent="0.2">
      <c r="Y84" s="155"/>
      <c r="Z84" s="155"/>
    </row>
    <row r="85" spans="25:26" x14ac:dyDescent="0.2">
      <c r="Y85" s="155"/>
      <c r="Z85" s="155"/>
    </row>
    <row r="86" spans="25:26" x14ac:dyDescent="0.2">
      <c r="Y86" s="155"/>
      <c r="Z86" s="155"/>
    </row>
    <row r="87" spans="25:26" x14ac:dyDescent="0.2">
      <c r="Y87" s="155"/>
      <c r="Z87" s="155"/>
    </row>
    <row r="88" spans="25:26" x14ac:dyDescent="0.2">
      <c r="Y88" s="155"/>
      <c r="Z88" s="155"/>
    </row>
    <row r="89" spans="25:26" x14ac:dyDescent="0.2">
      <c r="Y89" s="155"/>
      <c r="Z89" s="155"/>
    </row>
    <row r="90" spans="25:26" x14ac:dyDescent="0.2">
      <c r="Y90" s="155"/>
      <c r="Z90" s="155"/>
    </row>
    <row r="91" spans="25:26" x14ac:dyDescent="0.2">
      <c r="Y91" s="155"/>
      <c r="Z91" s="155"/>
    </row>
    <row r="92" spans="25:26" x14ac:dyDescent="0.2">
      <c r="Y92" s="155"/>
      <c r="Z92" s="155"/>
    </row>
    <row r="93" spans="25:26" x14ac:dyDescent="0.2">
      <c r="Y93" s="155"/>
      <c r="Z93" s="155"/>
    </row>
    <row r="94" spans="25:26" x14ac:dyDescent="0.2">
      <c r="Y94" s="155"/>
      <c r="Z94" s="155"/>
    </row>
    <row r="95" spans="25:26" x14ac:dyDescent="0.2">
      <c r="Y95" s="155"/>
      <c r="Z95" s="155"/>
    </row>
    <row r="96" spans="25:26" x14ac:dyDescent="0.2">
      <c r="Y96" s="155"/>
      <c r="Z96" s="155"/>
    </row>
    <row r="97" spans="25:26" x14ac:dyDescent="0.2">
      <c r="Y97" s="155"/>
      <c r="Z97" s="155"/>
    </row>
    <row r="98" spans="25:26" x14ac:dyDescent="0.2">
      <c r="Y98" s="155"/>
      <c r="Z98" s="155"/>
    </row>
    <row r="99" spans="25:26" x14ac:dyDescent="0.2">
      <c r="Y99" s="155"/>
      <c r="Z99" s="155"/>
    </row>
    <row r="100" spans="25:26" x14ac:dyDescent="0.2">
      <c r="Y100" s="155"/>
      <c r="Z100" s="155"/>
    </row>
    <row r="101" spans="25:26" x14ac:dyDescent="0.2">
      <c r="Y101" s="155"/>
      <c r="Z101" s="155"/>
    </row>
    <row r="102" spans="25:26" x14ac:dyDescent="0.2">
      <c r="Y102" s="155"/>
      <c r="Z102" s="155"/>
    </row>
    <row r="103" spans="25:26" x14ac:dyDescent="0.2">
      <c r="Y103" s="155"/>
      <c r="Z103" s="155"/>
    </row>
    <row r="104" spans="25:26" x14ac:dyDescent="0.2">
      <c r="Y104" s="155"/>
      <c r="Z104" s="155"/>
    </row>
  </sheetData>
  <mergeCells count="3">
    <mergeCell ref="L7:O7"/>
    <mergeCell ref="J6:O6"/>
    <mergeCell ref="J2:P2"/>
  </mergeCells>
  <phoneticPr fontId="0" type="noConversion"/>
  <dataValidations count="4">
    <dataValidation allowBlank="1" showInputMessage="1" showErrorMessage="1" prompt="Don't delete this row.  It's OK to hide columns, change width or sort this sheet for easier printing." sqref="B2"/>
    <dataValidation type="list" allowBlank="1" showInputMessage="1" showErrorMessage="1" promptTitle="Mens/Womens Weight Classes" prompt="Make a selection from the Division menu first so the program can choose the Men's or Women's weight classes." sqref="J7">
      <formula1>INDIRECT($B$7)</formula1>
    </dataValidation>
    <dataValidation type="list" allowBlank="1" showInputMessage="1" showErrorMessage="1" sqref="J6">
      <formula1>INDIRECT($B$6)</formula1>
    </dataValidation>
    <dataValidation type="list" allowBlank="1" showInputMessage="1" showErrorMessage="1" sqref="L7:O7">
      <formula1>"PL Total, Best Squat, Best Bench, Best Deadlift, Push Pull Total"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28"/>
  <sheetViews>
    <sheetView workbookViewId="0">
      <selection activeCell="B11" sqref="B11:N11"/>
    </sheetView>
  </sheetViews>
  <sheetFormatPr defaultRowHeight="12.75" x14ac:dyDescent="0.2"/>
  <sheetData>
    <row r="2" spans="2:14" x14ac:dyDescent="0.2">
      <c r="B2" s="369" t="s">
        <v>172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</row>
    <row r="3" spans="2:14" x14ac:dyDescent="0.2">
      <c r="B3" s="369" t="s">
        <v>173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2:14" x14ac:dyDescent="0.2">
      <c r="B4" s="369" t="s">
        <v>46</v>
      </c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</row>
    <row r="5" spans="2:14" x14ac:dyDescent="0.2"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</row>
    <row r="6" spans="2:14" x14ac:dyDescent="0.2">
      <c r="B6" s="369" t="s">
        <v>175</v>
      </c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</row>
    <row r="7" spans="2:14" x14ac:dyDescent="0.2">
      <c r="B7" s="369" t="s">
        <v>174</v>
      </c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</row>
    <row r="8" spans="2:14" x14ac:dyDescent="0.2"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</row>
    <row r="9" spans="2:14" x14ac:dyDescent="0.2">
      <c r="B9" s="369" t="s">
        <v>47</v>
      </c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</row>
    <row r="10" spans="2:14" x14ac:dyDescent="0.2">
      <c r="B10" s="369" t="s">
        <v>177</v>
      </c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</row>
    <row r="11" spans="2:14" x14ac:dyDescent="0.2">
      <c r="B11" s="369" t="s">
        <v>48</v>
      </c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</row>
    <row r="12" spans="2:14" x14ac:dyDescent="0.2">
      <c r="B12" s="369" t="s">
        <v>176</v>
      </c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</row>
    <row r="13" spans="2:14" x14ac:dyDescent="0.2">
      <c r="B13" s="369" t="s">
        <v>49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</row>
    <row r="14" spans="2:14" x14ac:dyDescent="0.2">
      <c r="B14" s="15"/>
    </row>
    <row r="15" spans="2:14" x14ac:dyDescent="0.2">
      <c r="B15" s="15" t="s">
        <v>50</v>
      </c>
    </row>
    <row r="16" spans="2:14" x14ac:dyDescent="0.2">
      <c r="B16" s="15"/>
    </row>
    <row r="17" spans="2:7" x14ac:dyDescent="0.2">
      <c r="B17" s="15" t="s">
        <v>51</v>
      </c>
    </row>
    <row r="18" spans="2:7" x14ac:dyDescent="0.2">
      <c r="B18" t="s">
        <v>52</v>
      </c>
    </row>
    <row r="20" spans="2:7" x14ac:dyDescent="0.2">
      <c r="B20" t="s">
        <v>53</v>
      </c>
    </row>
    <row r="21" spans="2:7" x14ac:dyDescent="0.2">
      <c r="B21" t="s">
        <v>54</v>
      </c>
      <c r="C21" s="16" t="s">
        <v>55</v>
      </c>
    </row>
    <row r="22" spans="2:7" x14ac:dyDescent="0.2">
      <c r="B22" t="s">
        <v>56</v>
      </c>
      <c r="C22" s="16" t="s">
        <v>57</v>
      </c>
    </row>
    <row r="24" spans="2:7" x14ac:dyDescent="0.2">
      <c r="B24" t="s">
        <v>58</v>
      </c>
    </row>
    <row r="25" spans="2:7" x14ac:dyDescent="0.2">
      <c r="B25" t="s">
        <v>54</v>
      </c>
      <c r="C25" t="s">
        <v>59</v>
      </c>
    </row>
    <row r="26" spans="2:7" x14ac:dyDescent="0.2">
      <c r="B26" t="s">
        <v>56</v>
      </c>
      <c r="C26" t="s">
        <v>60</v>
      </c>
    </row>
    <row r="27" spans="2:7" x14ac:dyDescent="0.2">
      <c r="B27" t="s">
        <v>61</v>
      </c>
      <c r="C27" t="s">
        <v>76</v>
      </c>
    </row>
    <row r="28" spans="2:7" x14ac:dyDescent="0.2">
      <c r="G28" s="15"/>
    </row>
  </sheetData>
  <mergeCells count="12">
    <mergeCell ref="B6:N6"/>
    <mergeCell ref="B7:N7"/>
    <mergeCell ref="B2:N2"/>
    <mergeCell ref="B3:N3"/>
    <mergeCell ref="B4:N4"/>
    <mergeCell ref="B5:N5"/>
    <mergeCell ref="B8:N8"/>
    <mergeCell ref="B9:N9"/>
    <mergeCell ref="B13:N13"/>
    <mergeCell ref="B10:N10"/>
    <mergeCell ref="B11:N11"/>
    <mergeCell ref="B12:N12"/>
  </mergeCells>
  <phoneticPr fontId="0" type="noConversion"/>
  <hyperlinks>
    <hyperlink ref="C21" r:id="rId1"/>
    <hyperlink ref="C22" r:id="rId2"/>
  </hyperlink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Q260"/>
  <sheetViews>
    <sheetView showZeros="0" showOutlineSymbols="0" zoomScaleNormal="100" zoomScaleSheetLayoutView="100" workbookViewId="0">
      <pane ySplit="3" topLeftCell="A4" activePane="bottomLeft" state="frozen"/>
      <selection pane="bottomLeft" activeCell="E2" sqref="E2"/>
    </sheetView>
  </sheetViews>
  <sheetFormatPr defaultColWidth="9.140625" defaultRowHeight="12.75" customHeight="1" x14ac:dyDescent="0.2"/>
  <cols>
    <col min="1" max="1" width="9.7109375" style="209" customWidth="1"/>
    <col min="2" max="2" width="4.7109375" style="212" customWidth="1"/>
    <col min="3" max="3" width="4.7109375" style="213" customWidth="1"/>
    <col min="4" max="4" width="4.7109375" style="212" customWidth="1"/>
    <col min="5" max="5" width="4.7109375" style="213" customWidth="1"/>
    <col min="6" max="6" width="4.7109375" style="212" customWidth="1"/>
    <col min="7" max="7" width="4.7109375" style="213" customWidth="1"/>
    <col min="8" max="8" width="4.7109375" style="212" customWidth="1"/>
    <col min="9" max="9" width="4.7109375" style="213" customWidth="1"/>
    <col min="10" max="10" width="4.7109375" style="212" customWidth="1"/>
    <col min="11" max="11" width="7.28515625" style="213" customWidth="1"/>
    <col min="12" max="13" width="9.140625" style="209" hidden="1" customWidth="1"/>
    <col min="14" max="14" width="0" style="209" hidden="1" customWidth="1"/>
    <col min="15" max="17" width="9.140625" style="209" hidden="1" customWidth="1"/>
    <col min="18" max="18" width="0" style="209" hidden="1" customWidth="1"/>
    <col min="19" max="16384" width="9.140625" style="209"/>
  </cols>
  <sheetData>
    <row r="1" spans="1:17" s="203" customFormat="1" ht="25.5" customHeight="1" x14ac:dyDescent="0.2">
      <c r="A1" s="199" t="s">
        <v>185</v>
      </c>
      <c r="B1" s="200">
        <v>4</v>
      </c>
      <c r="C1" s="201">
        <v>0</v>
      </c>
      <c r="D1" s="200">
        <v>0</v>
      </c>
      <c r="E1" s="201">
        <v>16</v>
      </c>
      <c r="F1" s="200">
        <v>2</v>
      </c>
      <c r="G1" s="201">
        <v>2</v>
      </c>
      <c r="H1" s="200">
        <v>4</v>
      </c>
      <c r="I1" s="201">
        <v>2</v>
      </c>
      <c r="J1" s="200">
        <v>2</v>
      </c>
      <c r="K1" s="201" t="s">
        <v>186</v>
      </c>
      <c r="L1" s="202">
        <f>K2+B2*B1+C2*C1+D2*D1+E2*E1+F2*F1+G2*G1+H2*H1+I2*I1+J2*J1</f>
        <v>630</v>
      </c>
      <c r="M1" s="202"/>
    </row>
    <row r="2" spans="1:17" ht="12.75" customHeight="1" x14ac:dyDescent="0.2">
      <c r="A2" s="204" t="s">
        <v>77</v>
      </c>
      <c r="B2" s="205">
        <f>IF($A$2="Kilos",50,110)</f>
        <v>50</v>
      </c>
      <c r="C2" s="206">
        <f>IF($A$2="Kilos",45,100)</f>
        <v>45</v>
      </c>
      <c r="D2" s="205">
        <f>IF($A$2="Kilos",25,55)</f>
        <v>25</v>
      </c>
      <c r="E2" s="206">
        <f>IF($A$2="Kilos",20,45)</f>
        <v>20</v>
      </c>
      <c r="F2" s="205">
        <f>IF($A$2="Kilos",15,35)</f>
        <v>15</v>
      </c>
      <c r="G2" s="206">
        <f>IF($A$2="Kilos",10,25)</f>
        <v>10</v>
      </c>
      <c r="H2" s="205">
        <f>IF($A$2="Kilos",5,10)</f>
        <v>5</v>
      </c>
      <c r="I2" s="206">
        <f>IF($A$2="Kilos",2.5,5)</f>
        <v>2.5</v>
      </c>
      <c r="J2" s="205">
        <f>IF($A$2="Kilos",1.25,2.5)</f>
        <v>1.25</v>
      </c>
      <c r="K2" s="207">
        <v>32.5</v>
      </c>
      <c r="L2" s="208" t="s">
        <v>187</v>
      </c>
      <c r="M2" s="208"/>
      <c r="O2" s="209">
        <f>IF($A$2="Pounds",P2,Q2)</f>
        <v>20</v>
      </c>
      <c r="P2" s="209">
        <v>45</v>
      </c>
      <c r="Q2" s="209">
        <v>20</v>
      </c>
    </row>
    <row r="3" spans="1:17" ht="12.75" customHeight="1" x14ac:dyDescent="0.2">
      <c r="A3" s="210" t="s">
        <v>188</v>
      </c>
      <c r="B3" s="205"/>
      <c r="C3" s="206"/>
      <c r="D3" s="205"/>
      <c r="E3" s="206"/>
      <c r="F3" s="205"/>
      <c r="G3" s="206"/>
      <c r="H3" s="205"/>
      <c r="I3" s="206"/>
      <c r="J3" s="205"/>
      <c r="K3" s="206"/>
      <c r="L3" s="208"/>
      <c r="M3" s="208" t="s">
        <v>189</v>
      </c>
      <c r="O3" s="209">
        <f>IF($A$2="Pounds",P3,Q3)</f>
        <v>22.5</v>
      </c>
      <c r="P3" s="209">
        <v>50</v>
      </c>
      <c r="Q3" s="209">
        <v>22.5</v>
      </c>
    </row>
    <row r="4" spans="1:17" ht="12.75" customHeight="1" x14ac:dyDescent="0.2">
      <c r="A4" s="210">
        <f>IF(M4+$K$2&gt;$L$1,0,M4+$K$2)</f>
        <v>32.5</v>
      </c>
      <c r="B4" s="205">
        <f>IF(A4=0,0,MIN($B$1/2,INT(M4/(2*$B$2))))</f>
        <v>0</v>
      </c>
      <c r="C4" s="206">
        <f>IF(A4=0,0,MIN($C$1/2,INT(($M4-2*$B4*$B$2)/(2*$C$2))))</f>
        <v>0</v>
      </c>
      <c r="D4" s="205">
        <f>IF(A4=0,0,MIN($D$1/2,INT(($M4-2*$B4*$B$2-2*$C4*$C$2)/(2*$D$2))))</f>
        <v>0</v>
      </c>
      <c r="E4" s="206">
        <f>IF(A4=0,0,MIN($E$1/2,INT(($M4-2*$B4*$B$2-2*$C4*$C$2-2*$D4*$D$2)/(2*$E$2))))</f>
        <v>0</v>
      </c>
      <c r="F4" s="205">
        <f>IF(A4=0,0,MIN($F$1/2,INT(($M4-2*$B4*$B$2-2*$C4*$C$2-2*$D4*$D$2-2*$E4*$E$2)/(2*$F$2))))</f>
        <v>0</v>
      </c>
      <c r="G4" s="206">
        <f>IF(A4=0,0,MIN($G$1/2,INT(($M4-2*$B4*$B$2-2*$C4*$C$2-2*$D4*$D$2-2*$E4*$E$2-2*$F4*$F$2)/(2*$G$2))))</f>
        <v>0</v>
      </c>
      <c r="H4" s="205">
        <f>IF(A4=0,0,MIN($H$1/2,INT(($M4-2*$B4*$B$2-2*$C4*$C$2-2*$D4*$D$2-2*$E4*$E$2-2*$F4*$F$2-2*$G4*$G$2)/(2*$H$2))))</f>
        <v>0</v>
      </c>
      <c r="I4" s="206">
        <f>IF(A4=0,0,MIN($I$1/2,INT(($M4-2*$B4*$B$2-2*$C4*$C$2-2*$D4*$D$2-2*$E4*$E$2-2*$F4*$F$2-2*$G4*$G$2-2*$H4*$H$2)/(2*$I$2))))</f>
        <v>0</v>
      </c>
      <c r="J4" s="205">
        <f>IF(A4=0,0,MIN($J$1/2,INT(($M4-2*$B4*$B$2-2*$C4*$C$2-2*$D4*$D$2-2*$E4*$E$2-2*$F4*$F$2-2*$G4*$G$2-2*$H4*$H$2-2*$I4*$I$2)/(2*$J$2))))</f>
        <v>0</v>
      </c>
      <c r="K4" s="206"/>
      <c r="L4" s="208">
        <v>0</v>
      </c>
      <c r="M4" s="211">
        <v>0</v>
      </c>
      <c r="N4" s="209" t="str">
        <f>IF($K$2+2*(B4*$B$2+C4*$C$2+D4*$D$2+E4*$E$2+F4*$F$2+G4*$G$2+H4*$H$2+I4*$I$2+J4*$J$2)=A4,"","Not enough weight for this load")</f>
        <v/>
      </c>
      <c r="O4" s="209">
        <f>IF($A$2="Pounds",P4,Q4)</f>
        <v>25</v>
      </c>
      <c r="P4" s="209">
        <v>55</v>
      </c>
      <c r="Q4" s="209">
        <v>25</v>
      </c>
    </row>
    <row r="5" spans="1:17" ht="12.75" customHeight="1" x14ac:dyDescent="0.2">
      <c r="A5" s="210">
        <f t="shared" ref="A5:A68" si="0">IF(M5+$K$2&gt;$L$1,0,M5+$K$2)</f>
        <v>35</v>
      </c>
      <c r="B5" s="205">
        <f t="shared" ref="B5:B68" si="1">IF(A5=0,0,MIN($B$1/2,INT(M5/(2*$B$2))))</f>
        <v>0</v>
      </c>
      <c r="C5" s="206">
        <f t="shared" ref="C5:C68" si="2">IF(A5=0,0,MIN($C$1/2,INT(($M5-2*$B5*$B$2)/(2*$C$2))))</f>
        <v>0</v>
      </c>
      <c r="D5" s="205">
        <f t="shared" ref="D5:D68" si="3">IF(A5=0,0,MIN($D$1/2,INT(($M5-2*$B5*$B$2-2*$C5*$C$2)/(2*$D$2))))</f>
        <v>0</v>
      </c>
      <c r="E5" s="206">
        <f t="shared" ref="E5:E68" si="4">IF(A5=0,0,MIN($E$1/2,INT(($M5-2*$B5*$B$2-2*$C5*$C$2-2*$D5*$D$2)/(2*$E$2))))</f>
        <v>0</v>
      </c>
      <c r="F5" s="205">
        <f t="shared" ref="F5:F68" si="5">IF(A5=0,0,MIN($F$1/2,INT(($M5-2*$B5*$B$2-2*$C5*$C$2-2*$D5*$D$2-2*$E5*$E$2)/(2*$F$2))))</f>
        <v>0</v>
      </c>
      <c r="G5" s="206">
        <f t="shared" ref="G5:G68" si="6">IF(A5=0,0,MIN($G$1/2,INT(($M5-2*$B5*$B$2-2*$C5*$C$2-2*$D5*$D$2-2*$E5*$E$2-2*$F5*$F$2)/(2*$G$2))))</f>
        <v>0</v>
      </c>
      <c r="H5" s="205">
        <f t="shared" ref="H5:H68" si="7">IF(A5=0,0,MIN($H$1/2,INT(($M5-2*$B5*$B$2-2*$C5*$C$2-2*$D5*$D$2-2*$E5*$E$2-2*$F5*$F$2-2*$G5*$G$2)/(2*$H$2))))</f>
        <v>0</v>
      </c>
      <c r="I5" s="206">
        <f t="shared" ref="I5:I68" si="8">IF(A5=0,0,MIN($I$1/2,INT(($M5-2*$B5*$B$2-2*$C5*$C$2-2*$D5*$D$2-2*$E5*$E$2-2*$F5*$F$2-2*$G5*$G$2-2*$H5*$H$2)/(2*$I$2))))</f>
        <v>0</v>
      </c>
      <c r="J5" s="205">
        <f t="shared" ref="J5:J68" si="9">IF(A5=0,0,MIN($J$1/2,INT(($M5-2*$B5*$B$2-2*$C5*$C$2-2*$D5*$D$2-2*$E5*$E$2-2*$F5*$F$2-2*$G5*$G$2-2*$H5*$H$2-2*$I5*$I$2)/(2*$J$2))))</f>
        <v>1</v>
      </c>
      <c r="K5" s="206"/>
      <c r="L5" s="208">
        <v>1</v>
      </c>
      <c r="M5" s="208">
        <f t="shared" ref="M5:M68" si="10">IF($A$2="Pounds",5*L5,2.5*L5)</f>
        <v>2.5</v>
      </c>
      <c r="O5" s="209">
        <f>IF($A$2="Pounds",P5,Q5)</f>
        <v>30</v>
      </c>
      <c r="P5" s="209">
        <v>65</v>
      </c>
      <c r="Q5" s="209">
        <v>30</v>
      </c>
    </row>
    <row r="6" spans="1:17" ht="12.75" customHeight="1" x14ac:dyDescent="0.2">
      <c r="A6" s="210">
        <f t="shared" si="0"/>
        <v>37.5</v>
      </c>
      <c r="B6" s="205">
        <f t="shared" si="1"/>
        <v>0</v>
      </c>
      <c r="C6" s="206">
        <f t="shared" si="2"/>
        <v>0</v>
      </c>
      <c r="D6" s="205">
        <f t="shared" si="3"/>
        <v>0</v>
      </c>
      <c r="E6" s="206">
        <f t="shared" si="4"/>
        <v>0</v>
      </c>
      <c r="F6" s="205">
        <f t="shared" si="5"/>
        <v>0</v>
      </c>
      <c r="G6" s="206">
        <f t="shared" si="6"/>
        <v>0</v>
      </c>
      <c r="H6" s="205">
        <f t="shared" si="7"/>
        <v>0</v>
      </c>
      <c r="I6" s="206">
        <f t="shared" si="8"/>
        <v>1</v>
      </c>
      <c r="J6" s="205">
        <f t="shared" si="9"/>
        <v>0</v>
      </c>
      <c r="K6" s="206"/>
      <c r="L6" s="208">
        <v>2</v>
      </c>
      <c r="M6" s="208">
        <f t="shared" si="10"/>
        <v>5</v>
      </c>
      <c r="O6" s="209">
        <f>IF($A$2="Pounds",P6,Q6)</f>
        <v>32.5</v>
      </c>
      <c r="P6" s="209">
        <v>70</v>
      </c>
      <c r="Q6" s="209">
        <v>32.5</v>
      </c>
    </row>
    <row r="7" spans="1:17" ht="12.75" customHeight="1" x14ac:dyDescent="0.2">
      <c r="A7" s="210">
        <f t="shared" si="0"/>
        <v>40</v>
      </c>
      <c r="B7" s="205">
        <f t="shared" si="1"/>
        <v>0</v>
      </c>
      <c r="C7" s="206">
        <f t="shared" si="2"/>
        <v>0</v>
      </c>
      <c r="D7" s="205">
        <f t="shared" si="3"/>
        <v>0</v>
      </c>
      <c r="E7" s="206">
        <f t="shared" si="4"/>
        <v>0</v>
      </c>
      <c r="F7" s="205">
        <f t="shared" si="5"/>
        <v>0</v>
      </c>
      <c r="G7" s="206">
        <f t="shared" si="6"/>
        <v>0</v>
      </c>
      <c r="H7" s="205">
        <f t="shared" si="7"/>
        <v>0</v>
      </c>
      <c r="I7" s="206">
        <f t="shared" si="8"/>
        <v>1</v>
      </c>
      <c r="J7" s="205">
        <f t="shared" si="9"/>
        <v>1</v>
      </c>
      <c r="K7" s="206"/>
      <c r="L7" s="208">
        <v>3</v>
      </c>
      <c r="M7" s="208">
        <f t="shared" si="10"/>
        <v>7.5</v>
      </c>
    </row>
    <row r="8" spans="1:17" ht="12.75" customHeight="1" x14ac:dyDescent="0.2">
      <c r="A8" s="210">
        <f t="shared" si="0"/>
        <v>42.5</v>
      </c>
      <c r="B8" s="205">
        <f t="shared" si="1"/>
        <v>0</v>
      </c>
      <c r="C8" s="206">
        <f t="shared" si="2"/>
        <v>0</v>
      </c>
      <c r="D8" s="205">
        <f t="shared" si="3"/>
        <v>0</v>
      </c>
      <c r="E8" s="206">
        <f t="shared" si="4"/>
        <v>0</v>
      </c>
      <c r="F8" s="205">
        <f t="shared" si="5"/>
        <v>0</v>
      </c>
      <c r="G8" s="206">
        <f t="shared" si="6"/>
        <v>0</v>
      </c>
      <c r="H8" s="205">
        <f t="shared" si="7"/>
        <v>1</v>
      </c>
      <c r="I8" s="206">
        <f t="shared" si="8"/>
        <v>0</v>
      </c>
      <c r="J8" s="205">
        <f t="shared" si="9"/>
        <v>0</v>
      </c>
      <c r="K8" s="206"/>
      <c r="L8" s="208">
        <v>4</v>
      </c>
      <c r="M8" s="208">
        <f t="shared" si="10"/>
        <v>10</v>
      </c>
    </row>
    <row r="9" spans="1:17" ht="12.75" customHeight="1" x14ac:dyDescent="0.2">
      <c r="A9" s="210">
        <f t="shared" si="0"/>
        <v>45</v>
      </c>
      <c r="B9" s="205">
        <f t="shared" si="1"/>
        <v>0</v>
      </c>
      <c r="C9" s="206">
        <f t="shared" si="2"/>
        <v>0</v>
      </c>
      <c r="D9" s="205">
        <f t="shared" si="3"/>
        <v>0</v>
      </c>
      <c r="E9" s="206">
        <f t="shared" si="4"/>
        <v>0</v>
      </c>
      <c r="F9" s="205">
        <f t="shared" si="5"/>
        <v>0</v>
      </c>
      <c r="G9" s="206">
        <f t="shared" si="6"/>
        <v>0</v>
      </c>
      <c r="H9" s="205">
        <f t="shared" si="7"/>
        <v>1</v>
      </c>
      <c r="I9" s="206">
        <f t="shared" si="8"/>
        <v>0</v>
      </c>
      <c r="J9" s="205">
        <f t="shared" si="9"/>
        <v>1</v>
      </c>
      <c r="K9" s="206"/>
      <c r="L9" s="208">
        <v>5</v>
      </c>
      <c r="M9" s="208">
        <f t="shared" si="10"/>
        <v>12.5</v>
      </c>
    </row>
    <row r="10" spans="1:17" ht="12.75" customHeight="1" x14ac:dyDescent="0.2">
      <c r="A10" s="210">
        <f t="shared" si="0"/>
        <v>47.5</v>
      </c>
      <c r="B10" s="205">
        <f t="shared" si="1"/>
        <v>0</v>
      </c>
      <c r="C10" s="206">
        <f t="shared" si="2"/>
        <v>0</v>
      </c>
      <c r="D10" s="205">
        <f t="shared" si="3"/>
        <v>0</v>
      </c>
      <c r="E10" s="206">
        <f t="shared" si="4"/>
        <v>0</v>
      </c>
      <c r="F10" s="205">
        <f t="shared" si="5"/>
        <v>0</v>
      </c>
      <c r="G10" s="206">
        <f t="shared" si="6"/>
        <v>0</v>
      </c>
      <c r="H10" s="205">
        <f t="shared" si="7"/>
        <v>1</v>
      </c>
      <c r="I10" s="206">
        <f t="shared" si="8"/>
        <v>1</v>
      </c>
      <c r="J10" s="205">
        <f t="shared" si="9"/>
        <v>0</v>
      </c>
      <c r="K10" s="206"/>
      <c r="L10" s="208">
        <v>6</v>
      </c>
      <c r="M10" s="208">
        <f t="shared" si="10"/>
        <v>15</v>
      </c>
    </row>
    <row r="11" spans="1:17" ht="12.75" customHeight="1" x14ac:dyDescent="0.2">
      <c r="A11" s="210">
        <f t="shared" si="0"/>
        <v>50</v>
      </c>
      <c r="B11" s="205">
        <f t="shared" si="1"/>
        <v>0</v>
      </c>
      <c r="C11" s="206">
        <f t="shared" si="2"/>
        <v>0</v>
      </c>
      <c r="D11" s="205">
        <f t="shared" si="3"/>
        <v>0</v>
      </c>
      <c r="E11" s="206">
        <f t="shared" si="4"/>
        <v>0</v>
      </c>
      <c r="F11" s="205">
        <f t="shared" si="5"/>
        <v>0</v>
      </c>
      <c r="G11" s="206">
        <f t="shared" si="6"/>
        <v>0</v>
      </c>
      <c r="H11" s="205">
        <f t="shared" si="7"/>
        <v>1</v>
      </c>
      <c r="I11" s="206">
        <f t="shared" si="8"/>
        <v>1</v>
      </c>
      <c r="J11" s="205">
        <f t="shared" si="9"/>
        <v>1</v>
      </c>
      <c r="K11" s="206"/>
      <c r="L11" s="208">
        <v>7</v>
      </c>
      <c r="M11" s="208">
        <f t="shared" si="10"/>
        <v>17.5</v>
      </c>
    </row>
    <row r="12" spans="1:17" ht="12.75" customHeight="1" x14ac:dyDescent="0.2">
      <c r="A12" s="210">
        <f t="shared" si="0"/>
        <v>52.5</v>
      </c>
      <c r="B12" s="205">
        <f t="shared" si="1"/>
        <v>0</v>
      </c>
      <c r="C12" s="206">
        <f t="shared" si="2"/>
        <v>0</v>
      </c>
      <c r="D12" s="205">
        <f t="shared" si="3"/>
        <v>0</v>
      </c>
      <c r="E12" s="206">
        <f t="shared" si="4"/>
        <v>0</v>
      </c>
      <c r="F12" s="205">
        <f t="shared" si="5"/>
        <v>0</v>
      </c>
      <c r="G12" s="206">
        <f t="shared" si="6"/>
        <v>1</v>
      </c>
      <c r="H12" s="205">
        <f t="shared" si="7"/>
        <v>0</v>
      </c>
      <c r="I12" s="206">
        <f t="shared" si="8"/>
        <v>0</v>
      </c>
      <c r="J12" s="205">
        <f t="shared" si="9"/>
        <v>0</v>
      </c>
      <c r="K12" s="206"/>
      <c r="L12" s="208">
        <v>8</v>
      </c>
      <c r="M12" s="208">
        <f t="shared" si="10"/>
        <v>20</v>
      </c>
    </row>
    <row r="13" spans="1:17" ht="12.75" customHeight="1" x14ac:dyDescent="0.2">
      <c r="A13" s="210">
        <f t="shared" si="0"/>
        <v>55</v>
      </c>
      <c r="B13" s="205">
        <f t="shared" si="1"/>
        <v>0</v>
      </c>
      <c r="C13" s="206">
        <f t="shared" si="2"/>
        <v>0</v>
      </c>
      <c r="D13" s="205">
        <f t="shared" si="3"/>
        <v>0</v>
      </c>
      <c r="E13" s="206">
        <f t="shared" si="4"/>
        <v>0</v>
      </c>
      <c r="F13" s="205">
        <f t="shared" si="5"/>
        <v>0</v>
      </c>
      <c r="G13" s="206">
        <f t="shared" si="6"/>
        <v>1</v>
      </c>
      <c r="H13" s="205">
        <f t="shared" si="7"/>
        <v>0</v>
      </c>
      <c r="I13" s="206">
        <f t="shared" si="8"/>
        <v>0</v>
      </c>
      <c r="J13" s="205">
        <f t="shared" si="9"/>
        <v>1</v>
      </c>
      <c r="K13" s="206"/>
      <c r="L13" s="208">
        <f t="shared" ref="L13:L76" si="11">L12+1</f>
        <v>9</v>
      </c>
      <c r="M13" s="208">
        <f t="shared" si="10"/>
        <v>22.5</v>
      </c>
    </row>
    <row r="14" spans="1:17" ht="12.75" customHeight="1" x14ac:dyDescent="0.2">
      <c r="A14" s="210">
        <f t="shared" si="0"/>
        <v>57.5</v>
      </c>
      <c r="B14" s="205">
        <f t="shared" si="1"/>
        <v>0</v>
      </c>
      <c r="C14" s="206">
        <f t="shared" si="2"/>
        <v>0</v>
      </c>
      <c r="D14" s="205">
        <f t="shared" si="3"/>
        <v>0</v>
      </c>
      <c r="E14" s="206">
        <f t="shared" si="4"/>
        <v>0</v>
      </c>
      <c r="F14" s="205">
        <f t="shared" si="5"/>
        <v>0</v>
      </c>
      <c r="G14" s="206">
        <f t="shared" si="6"/>
        <v>1</v>
      </c>
      <c r="H14" s="205">
        <f t="shared" si="7"/>
        <v>0</v>
      </c>
      <c r="I14" s="206">
        <f t="shared" si="8"/>
        <v>1</v>
      </c>
      <c r="J14" s="205">
        <f t="shared" si="9"/>
        <v>0</v>
      </c>
      <c r="K14" s="206"/>
      <c r="L14" s="208">
        <f t="shared" si="11"/>
        <v>10</v>
      </c>
      <c r="M14" s="208">
        <f t="shared" si="10"/>
        <v>25</v>
      </c>
    </row>
    <row r="15" spans="1:17" ht="12.75" customHeight="1" x14ac:dyDescent="0.2">
      <c r="A15" s="210">
        <f t="shared" si="0"/>
        <v>60</v>
      </c>
      <c r="B15" s="205">
        <f t="shared" si="1"/>
        <v>0</v>
      </c>
      <c r="C15" s="206">
        <f t="shared" si="2"/>
        <v>0</v>
      </c>
      <c r="D15" s="205">
        <f t="shared" si="3"/>
        <v>0</v>
      </c>
      <c r="E15" s="206">
        <f t="shared" si="4"/>
        <v>0</v>
      </c>
      <c r="F15" s="205">
        <f t="shared" si="5"/>
        <v>0</v>
      </c>
      <c r="G15" s="206">
        <f t="shared" si="6"/>
        <v>1</v>
      </c>
      <c r="H15" s="205">
        <f t="shared" si="7"/>
        <v>0</v>
      </c>
      <c r="I15" s="206">
        <f t="shared" si="8"/>
        <v>1</v>
      </c>
      <c r="J15" s="205">
        <f t="shared" si="9"/>
        <v>1</v>
      </c>
      <c r="K15" s="206"/>
      <c r="L15" s="208">
        <f t="shared" si="11"/>
        <v>11</v>
      </c>
      <c r="M15" s="208">
        <f t="shared" si="10"/>
        <v>27.5</v>
      </c>
    </row>
    <row r="16" spans="1:17" ht="12.75" customHeight="1" x14ac:dyDescent="0.2">
      <c r="A16" s="210">
        <f t="shared" si="0"/>
        <v>62.5</v>
      </c>
      <c r="B16" s="205">
        <f t="shared" si="1"/>
        <v>0</v>
      </c>
      <c r="C16" s="206">
        <f t="shared" si="2"/>
        <v>0</v>
      </c>
      <c r="D16" s="205">
        <f t="shared" si="3"/>
        <v>0</v>
      </c>
      <c r="E16" s="206">
        <f t="shared" si="4"/>
        <v>0</v>
      </c>
      <c r="F16" s="205">
        <f t="shared" si="5"/>
        <v>1</v>
      </c>
      <c r="G16" s="206">
        <f t="shared" si="6"/>
        <v>0</v>
      </c>
      <c r="H16" s="205">
        <f t="shared" si="7"/>
        <v>0</v>
      </c>
      <c r="I16" s="206">
        <f t="shared" si="8"/>
        <v>0</v>
      </c>
      <c r="J16" s="205">
        <f t="shared" si="9"/>
        <v>0</v>
      </c>
      <c r="K16" s="206"/>
      <c r="L16" s="208">
        <f t="shared" si="11"/>
        <v>12</v>
      </c>
      <c r="M16" s="208">
        <f t="shared" si="10"/>
        <v>30</v>
      </c>
    </row>
    <row r="17" spans="1:13" ht="12.75" customHeight="1" x14ac:dyDescent="0.2">
      <c r="A17" s="210">
        <f t="shared" si="0"/>
        <v>65</v>
      </c>
      <c r="B17" s="205">
        <f t="shared" si="1"/>
        <v>0</v>
      </c>
      <c r="C17" s="206">
        <f t="shared" si="2"/>
        <v>0</v>
      </c>
      <c r="D17" s="205">
        <f t="shared" si="3"/>
        <v>0</v>
      </c>
      <c r="E17" s="206">
        <f t="shared" si="4"/>
        <v>0</v>
      </c>
      <c r="F17" s="205">
        <f t="shared" si="5"/>
        <v>1</v>
      </c>
      <c r="G17" s="206">
        <f t="shared" si="6"/>
        <v>0</v>
      </c>
      <c r="H17" s="205">
        <f t="shared" si="7"/>
        <v>0</v>
      </c>
      <c r="I17" s="206">
        <f t="shared" si="8"/>
        <v>0</v>
      </c>
      <c r="J17" s="205">
        <f t="shared" si="9"/>
        <v>1</v>
      </c>
      <c r="K17" s="206"/>
      <c r="L17" s="208">
        <f t="shared" si="11"/>
        <v>13</v>
      </c>
      <c r="M17" s="208">
        <f t="shared" si="10"/>
        <v>32.5</v>
      </c>
    </row>
    <row r="18" spans="1:13" ht="12.75" customHeight="1" x14ac:dyDescent="0.2">
      <c r="A18" s="210">
        <f t="shared" si="0"/>
        <v>67.5</v>
      </c>
      <c r="B18" s="205">
        <f t="shared" si="1"/>
        <v>0</v>
      </c>
      <c r="C18" s="206">
        <f t="shared" si="2"/>
        <v>0</v>
      </c>
      <c r="D18" s="205">
        <f t="shared" si="3"/>
        <v>0</v>
      </c>
      <c r="E18" s="206">
        <f t="shared" si="4"/>
        <v>0</v>
      </c>
      <c r="F18" s="205">
        <f t="shared" si="5"/>
        <v>1</v>
      </c>
      <c r="G18" s="206">
        <f t="shared" si="6"/>
        <v>0</v>
      </c>
      <c r="H18" s="205">
        <f t="shared" si="7"/>
        <v>0</v>
      </c>
      <c r="I18" s="206">
        <f t="shared" si="8"/>
        <v>1</v>
      </c>
      <c r="J18" s="205">
        <f t="shared" si="9"/>
        <v>0</v>
      </c>
      <c r="K18" s="206"/>
      <c r="L18" s="208">
        <f t="shared" si="11"/>
        <v>14</v>
      </c>
      <c r="M18" s="208">
        <f t="shared" si="10"/>
        <v>35</v>
      </c>
    </row>
    <row r="19" spans="1:13" ht="12.75" customHeight="1" x14ac:dyDescent="0.2">
      <c r="A19" s="210">
        <f t="shared" si="0"/>
        <v>70</v>
      </c>
      <c r="B19" s="205">
        <f t="shared" si="1"/>
        <v>0</v>
      </c>
      <c r="C19" s="206">
        <f t="shared" si="2"/>
        <v>0</v>
      </c>
      <c r="D19" s="205">
        <f t="shared" si="3"/>
        <v>0</v>
      </c>
      <c r="E19" s="206">
        <f t="shared" si="4"/>
        <v>0</v>
      </c>
      <c r="F19" s="205">
        <f t="shared" si="5"/>
        <v>1</v>
      </c>
      <c r="G19" s="206">
        <f t="shared" si="6"/>
        <v>0</v>
      </c>
      <c r="H19" s="205">
        <f t="shared" si="7"/>
        <v>0</v>
      </c>
      <c r="I19" s="206">
        <f t="shared" si="8"/>
        <v>1</v>
      </c>
      <c r="J19" s="205">
        <f t="shared" si="9"/>
        <v>1</v>
      </c>
      <c r="K19" s="206"/>
      <c r="L19" s="208">
        <f t="shared" si="11"/>
        <v>15</v>
      </c>
      <c r="M19" s="208">
        <f t="shared" si="10"/>
        <v>37.5</v>
      </c>
    </row>
    <row r="20" spans="1:13" ht="12.75" customHeight="1" x14ac:dyDescent="0.2">
      <c r="A20" s="210">
        <f t="shared" si="0"/>
        <v>72.5</v>
      </c>
      <c r="B20" s="205">
        <f t="shared" si="1"/>
        <v>0</v>
      </c>
      <c r="C20" s="206">
        <f t="shared" si="2"/>
        <v>0</v>
      </c>
      <c r="D20" s="205">
        <f t="shared" si="3"/>
        <v>0</v>
      </c>
      <c r="E20" s="206">
        <f t="shared" si="4"/>
        <v>1</v>
      </c>
      <c r="F20" s="205">
        <f t="shared" si="5"/>
        <v>0</v>
      </c>
      <c r="G20" s="206">
        <f t="shared" si="6"/>
        <v>0</v>
      </c>
      <c r="H20" s="205">
        <f t="shared" si="7"/>
        <v>0</v>
      </c>
      <c r="I20" s="206">
        <f t="shared" si="8"/>
        <v>0</v>
      </c>
      <c r="J20" s="205">
        <f t="shared" si="9"/>
        <v>0</v>
      </c>
      <c r="K20" s="206"/>
      <c r="L20" s="208">
        <f t="shared" si="11"/>
        <v>16</v>
      </c>
      <c r="M20" s="208">
        <f t="shared" si="10"/>
        <v>40</v>
      </c>
    </row>
    <row r="21" spans="1:13" ht="12.75" customHeight="1" x14ac:dyDescent="0.2">
      <c r="A21" s="210">
        <f t="shared" si="0"/>
        <v>75</v>
      </c>
      <c r="B21" s="205">
        <f t="shared" si="1"/>
        <v>0</v>
      </c>
      <c r="C21" s="206">
        <f t="shared" si="2"/>
        <v>0</v>
      </c>
      <c r="D21" s="205">
        <f t="shared" si="3"/>
        <v>0</v>
      </c>
      <c r="E21" s="206">
        <f t="shared" si="4"/>
        <v>1</v>
      </c>
      <c r="F21" s="205">
        <f t="shared" si="5"/>
        <v>0</v>
      </c>
      <c r="G21" s="206">
        <f t="shared" si="6"/>
        <v>0</v>
      </c>
      <c r="H21" s="205">
        <f t="shared" si="7"/>
        <v>0</v>
      </c>
      <c r="I21" s="206">
        <f t="shared" si="8"/>
        <v>0</v>
      </c>
      <c r="J21" s="205">
        <f t="shared" si="9"/>
        <v>1</v>
      </c>
      <c r="K21" s="206"/>
      <c r="L21" s="208">
        <f t="shared" si="11"/>
        <v>17</v>
      </c>
      <c r="M21" s="208">
        <f t="shared" si="10"/>
        <v>42.5</v>
      </c>
    </row>
    <row r="22" spans="1:13" ht="12.75" customHeight="1" x14ac:dyDescent="0.2">
      <c r="A22" s="210">
        <f t="shared" si="0"/>
        <v>77.5</v>
      </c>
      <c r="B22" s="205">
        <f t="shared" si="1"/>
        <v>0</v>
      </c>
      <c r="C22" s="206">
        <f t="shared" si="2"/>
        <v>0</v>
      </c>
      <c r="D22" s="205">
        <f t="shared" si="3"/>
        <v>0</v>
      </c>
      <c r="E22" s="206">
        <f t="shared" si="4"/>
        <v>1</v>
      </c>
      <c r="F22" s="205">
        <f t="shared" si="5"/>
        <v>0</v>
      </c>
      <c r="G22" s="206">
        <f t="shared" si="6"/>
        <v>0</v>
      </c>
      <c r="H22" s="205">
        <f t="shared" si="7"/>
        <v>0</v>
      </c>
      <c r="I22" s="206">
        <f t="shared" si="8"/>
        <v>1</v>
      </c>
      <c r="J22" s="205">
        <f t="shared" si="9"/>
        <v>0</v>
      </c>
      <c r="K22" s="206"/>
      <c r="L22" s="208">
        <f t="shared" si="11"/>
        <v>18</v>
      </c>
      <c r="M22" s="208">
        <f t="shared" si="10"/>
        <v>45</v>
      </c>
    </row>
    <row r="23" spans="1:13" ht="12.75" customHeight="1" x14ac:dyDescent="0.2">
      <c r="A23" s="210">
        <f t="shared" si="0"/>
        <v>80</v>
      </c>
      <c r="B23" s="205">
        <f t="shared" si="1"/>
        <v>0</v>
      </c>
      <c r="C23" s="206">
        <f t="shared" si="2"/>
        <v>0</v>
      </c>
      <c r="D23" s="205">
        <f t="shared" si="3"/>
        <v>0</v>
      </c>
      <c r="E23" s="206">
        <f t="shared" si="4"/>
        <v>1</v>
      </c>
      <c r="F23" s="205">
        <f t="shared" si="5"/>
        <v>0</v>
      </c>
      <c r="G23" s="206">
        <f t="shared" si="6"/>
        <v>0</v>
      </c>
      <c r="H23" s="205">
        <f t="shared" si="7"/>
        <v>0</v>
      </c>
      <c r="I23" s="206">
        <f t="shared" si="8"/>
        <v>1</v>
      </c>
      <c r="J23" s="205">
        <f t="shared" si="9"/>
        <v>1</v>
      </c>
      <c r="K23" s="206"/>
      <c r="L23" s="208">
        <f t="shared" si="11"/>
        <v>19</v>
      </c>
      <c r="M23" s="208">
        <f t="shared" si="10"/>
        <v>47.5</v>
      </c>
    </row>
    <row r="24" spans="1:13" ht="12.75" customHeight="1" x14ac:dyDescent="0.2">
      <c r="A24" s="210">
        <f t="shared" si="0"/>
        <v>82.5</v>
      </c>
      <c r="B24" s="205">
        <f t="shared" si="1"/>
        <v>0</v>
      </c>
      <c r="C24" s="206">
        <f t="shared" si="2"/>
        <v>0</v>
      </c>
      <c r="D24" s="205">
        <f t="shared" si="3"/>
        <v>0</v>
      </c>
      <c r="E24" s="206">
        <f t="shared" si="4"/>
        <v>1</v>
      </c>
      <c r="F24" s="205">
        <f t="shared" si="5"/>
        <v>0</v>
      </c>
      <c r="G24" s="206">
        <f t="shared" si="6"/>
        <v>0</v>
      </c>
      <c r="H24" s="205">
        <f t="shared" si="7"/>
        <v>1</v>
      </c>
      <c r="I24" s="206">
        <f t="shared" si="8"/>
        <v>0</v>
      </c>
      <c r="J24" s="205">
        <f t="shared" si="9"/>
        <v>0</v>
      </c>
      <c r="K24" s="206"/>
      <c r="L24" s="208">
        <f t="shared" si="11"/>
        <v>20</v>
      </c>
      <c r="M24" s="208">
        <f t="shared" si="10"/>
        <v>50</v>
      </c>
    </row>
    <row r="25" spans="1:13" ht="12.75" customHeight="1" x14ac:dyDescent="0.2">
      <c r="A25" s="210">
        <f t="shared" si="0"/>
        <v>85</v>
      </c>
      <c r="B25" s="205">
        <f t="shared" si="1"/>
        <v>0</v>
      </c>
      <c r="C25" s="206">
        <f t="shared" si="2"/>
        <v>0</v>
      </c>
      <c r="D25" s="205">
        <f t="shared" si="3"/>
        <v>0</v>
      </c>
      <c r="E25" s="206">
        <f t="shared" si="4"/>
        <v>1</v>
      </c>
      <c r="F25" s="205">
        <f t="shared" si="5"/>
        <v>0</v>
      </c>
      <c r="G25" s="206">
        <f t="shared" si="6"/>
        <v>0</v>
      </c>
      <c r="H25" s="205">
        <f t="shared" si="7"/>
        <v>1</v>
      </c>
      <c r="I25" s="206">
        <f t="shared" si="8"/>
        <v>0</v>
      </c>
      <c r="J25" s="205">
        <f t="shared" si="9"/>
        <v>1</v>
      </c>
      <c r="K25" s="206"/>
      <c r="L25" s="208">
        <f t="shared" si="11"/>
        <v>21</v>
      </c>
      <c r="M25" s="208">
        <f t="shared" si="10"/>
        <v>52.5</v>
      </c>
    </row>
    <row r="26" spans="1:13" ht="12.75" customHeight="1" x14ac:dyDescent="0.2">
      <c r="A26" s="210">
        <f t="shared" si="0"/>
        <v>87.5</v>
      </c>
      <c r="B26" s="205">
        <f t="shared" si="1"/>
        <v>0</v>
      </c>
      <c r="C26" s="206">
        <f t="shared" si="2"/>
        <v>0</v>
      </c>
      <c r="D26" s="205">
        <f t="shared" si="3"/>
        <v>0</v>
      </c>
      <c r="E26" s="206">
        <f t="shared" si="4"/>
        <v>1</v>
      </c>
      <c r="F26" s="205">
        <f t="shared" si="5"/>
        <v>0</v>
      </c>
      <c r="G26" s="206">
        <f t="shared" si="6"/>
        <v>0</v>
      </c>
      <c r="H26" s="205">
        <f t="shared" si="7"/>
        <v>1</v>
      </c>
      <c r="I26" s="206">
        <f t="shared" si="8"/>
        <v>1</v>
      </c>
      <c r="J26" s="205">
        <f t="shared" si="9"/>
        <v>0</v>
      </c>
      <c r="K26" s="206"/>
      <c r="L26" s="208">
        <f t="shared" si="11"/>
        <v>22</v>
      </c>
      <c r="M26" s="208">
        <f t="shared" si="10"/>
        <v>55</v>
      </c>
    </row>
    <row r="27" spans="1:13" ht="12.75" customHeight="1" x14ac:dyDescent="0.2">
      <c r="A27" s="210">
        <f t="shared" si="0"/>
        <v>90</v>
      </c>
      <c r="B27" s="205">
        <f t="shared" si="1"/>
        <v>0</v>
      </c>
      <c r="C27" s="206">
        <f t="shared" si="2"/>
        <v>0</v>
      </c>
      <c r="D27" s="205">
        <f t="shared" si="3"/>
        <v>0</v>
      </c>
      <c r="E27" s="206">
        <f t="shared" si="4"/>
        <v>1</v>
      </c>
      <c r="F27" s="205">
        <f t="shared" si="5"/>
        <v>0</v>
      </c>
      <c r="G27" s="206">
        <f t="shared" si="6"/>
        <v>0</v>
      </c>
      <c r="H27" s="205">
        <f t="shared" si="7"/>
        <v>1</v>
      </c>
      <c r="I27" s="206">
        <f t="shared" si="8"/>
        <v>1</v>
      </c>
      <c r="J27" s="205">
        <f t="shared" si="9"/>
        <v>1</v>
      </c>
      <c r="K27" s="206"/>
      <c r="L27" s="208">
        <f t="shared" si="11"/>
        <v>23</v>
      </c>
      <c r="M27" s="208">
        <f t="shared" si="10"/>
        <v>57.5</v>
      </c>
    </row>
    <row r="28" spans="1:13" ht="12.75" customHeight="1" x14ac:dyDescent="0.2">
      <c r="A28" s="210">
        <f t="shared" si="0"/>
        <v>92.5</v>
      </c>
      <c r="B28" s="205">
        <f t="shared" si="1"/>
        <v>0</v>
      </c>
      <c r="C28" s="206">
        <f t="shared" si="2"/>
        <v>0</v>
      </c>
      <c r="D28" s="205">
        <f t="shared" si="3"/>
        <v>0</v>
      </c>
      <c r="E28" s="206">
        <f t="shared" si="4"/>
        <v>1</v>
      </c>
      <c r="F28" s="205">
        <f t="shared" si="5"/>
        <v>0</v>
      </c>
      <c r="G28" s="206">
        <f t="shared" si="6"/>
        <v>1</v>
      </c>
      <c r="H28" s="205">
        <f t="shared" si="7"/>
        <v>0</v>
      </c>
      <c r="I28" s="206">
        <f t="shared" si="8"/>
        <v>0</v>
      </c>
      <c r="J28" s="205">
        <f t="shared" si="9"/>
        <v>0</v>
      </c>
      <c r="K28" s="206"/>
      <c r="L28" s="208">
        <f t="shared" si="11"/>
        <v>24</v>
      </c>
      <c r="M28" s="208">
        <f t="shared" si="10"/>
        <v>60</v>
      </c>
    </row>
    <row r="29" spans="1:13" ht="12.75" customHeight="1" x14ac:dyDescent="0.2">
      <c r="A29" s="210">
        <f t="shared" si="0"/>
        <v>95</v>
      </c>
      <c r="B29" s="205">
        <f t="shared" si="1"/>
        <v>0</v>
      </c>
      <c r="C29" s="206">
        <f t="shared" si="2"/>
        <v>0</v>
      </c>
      <c r="D29" s="205">
        <f t="shared" si="3"/>
        <v>0</v>
      </c>
      <c r="E29" s="206">
        <f t="shared" si="4"/>
        <v>1</v>
      </c>
      <c r="F29" s="205">
        <f t="shared" si="5"/>
        <v>0</v>
      </c>
      <c r="G29" s="206">
        <f t="shared" si="6"/>
        <v>1</v>
      </c>
      <c r="H29" s="205">
        <f t="shared" si="7"/>
        <v>0</v>
      </c>
      <c r="I29" s="206">
        <f t="shared" si="8"/>
        <v>0</v>
      </c>
      <c r="J29" s="205">
        <f t="shared" si="9"/>
        <v>1</v>
      </c>
      <c r="K29" s="206"/>
      <c r="L29" s="208">
        <f t="shared" si="11"/>
        <v>25</v>
      </c>
      <c r="M29" s="208">
        <f t="shared" si="10"/>
        <v>62.5</v>
      </c>
    </row>
    <row r="30" spans="1:13" ht="12.75" customHeight="1" x14ac:dyDescent="0.2">
      <c r="A30" s="210">
        <f t="shared" si="0"/>
        <v>97.5</v>
      </c>
      <c r="B30" s="205">
        <f t="shared" si="1"/>
        <v>0</v>
      </c>
      <c r="C30" s="206">
        <f t="shared" si="2"/>
        <v>0</v>
      </c>
      <c r="D30" s="205">
        <f t="shared" si="3"/>
        <v>0</v>
      </c>
      <c r="E30" s="206">
        <f t="shared" si="4"/>
        <v>1</v>
      </c>
      <c r="F30" s="205">
        <f t="shared" si="5"/>
        <v>0</v>
      </c>
      <c r="G30" s="206">
        <f t="shared" si="6"/>
        <v>1</v>
      </c>
      <c r="H30" s="205">
        <f t="shared" si="7"/>
        <v>0</v>
      </c>
      <c r="I30" s="206">
        <f t="shared" si="8"/>
        <v>1</v>
      </c>
      <c r="J30" s="205">
        <f t="shared" si="9"/>
        <v>0</v>
      </c>
      <c r="K30" s="206"/>
      <c r="L30" s="208">
        <f t="shared" si="11"/>
        <v>26</v>
      </c>
      <c r="M30" s="208">
        <f t="shared" si="10"/>
        <v>65</v>
      </c>
    </row>
    <row r="31" spans="1:13" ht="12.75" customHeight="1" x14ac:dyDescent="0.2">
      <c r="A31" s="210">
        <f t="shared" si="0"/>
        <v>100</v>
      </c>
      <c r="B31" s="205">
        <f t="shared" si="1"/>
        <v>0</v>
      </c>
      <c r="C31" s="206">
        <f t="shared" si="2"/>
        <v>0</v>
      </c>
      <c r="D31" s="205">
        <f t="shared" si="3"/>
        <v>0</v>
      </c>
      <c r="E31" s="206">
        <f t="shared" si="4"/>
        <v>1</v>
      </c>
      <c r="F31" s="205">
        <f t="shared" si="5"/>
        <v>0</v>
      </c>
      <c r="G31" s="206">
        <f t="shared" si="6"/>
        <v>1</v>
      </c>
      <c r="H31" s="205">
        <f t="shared" si="7"/>
        <v>0</v>
      </c>
      <c r="I31" s="206">
        <f t="shared" si="8"/>
        <v>1</v>
      </c>
      <c r="J31" s="205">
        <f t="shared" si="9"/>
        <v>1</v>
      </c>
      <c r="K31" s="206"/>
      <c r="L31" s="208">
        <f t="shared" si="11"/>
        <v>27</v>
      </c>
      <c r="M31" s="208">
        <f t="shared" si="10"/>
        <v>67.5</v>
      </c>
    </row>
    <row r="32" spans="1:13" ht="12.75" customHeight="1" x14ac:dyDescent="0.2">
      <c r="A32" s="210">
        <f t="shared" si="0"/>
        <v>102.5</v>
      </c>
      <c r="B32" s="205">
        <f t="shared" si="1"/>
        <v>0</v>
      </c>
      <c r="C32" s="206">
        <f t="shared" si="2"/>
        <v>0</v>
      </c>
      <c r="D32" s="205">
        <f t="shared" si="3"/>
        <v>0</v>
      </c>
      <c r="E32" s="206">
        <f t="shared" si="4"/>
        <v>1</v>
      </c>
      <c r="F32" s="205">
        <f t="shared" si="5"/>
        <v>1</v>
      </c>
      <c r="G32" s="206">
        <f t="shared" si="6"/>
        <v>0</v>
      </c>
      <c r="H32" s="205">
        <f t="shared" si="7"/>
        <v>0</v>
      </c>
      <c r="I32" s="206">
        <f t="shared" si="8"/>
        <v>0</v>
      </c>
      <c r="J32" s="205">
        <f t="shared" si="9"/>
        <v>0</v>
      </c>
      <c r="K32" s="206"/>
      <c r="L32" s="208">
        <f t="shared" si="11"/>
        <v>28</v>
      </c>
      <c r="M32" s="208">
        <f t="shared" si="10"/>
        <v>70</v>
      </c>
    </row>
    <row r="33" spans="1:13" ht="12.75" customHeight="1" x14ac:dyDescent="0.2">
      <c r="A33" s="210">
        <f t="shared" si="0"/>
        <v>105</v>
      </c>
      <c r="B33" s="205">
        <f t="shared" si="1"/>
        <v>0</v>
      </c>
      <c r="C33" s="206">
        <f t="shared" si="2"/>
        <v>0</v>
      </c>
      <c r="D33" s="205">
        <f t="shared" si="3"/>
        <v>0</v>
      </c>
      <c r="E33" s="206">
        <f t="shared" si="4"/>
        <v>1</v>
      </c>
      <c r="F33" s="205">
        <f t="shared" si="5"/>
        <v>1</v>
      </c>
      <c r="G33" s="206">
        <f t="shared" si="6"/>
        <v>0</v>
      </c>
      <c r="H33" s="205">
        <f t="shared" si="7"/>
        <v>0</v>
      </c>
      <c r="I33" s="206">
        <f t="shared" si="8"/>
        <v>0</v>
      </c>
      <c r="J33" s="205">
        <f t="shared" si="9"/>
        <v>1</v>
      </c>
      <c r="K33" s="206"/>
      <c r="L33" s="208">
        <f t="shared" si="11"/>
        <v>29</v>
      </c>
      <c r="M33" s="208">
        <f t="shared" si="10"/>
        <v>72.5</v>
      </c>
    </row>
    <row r="34" spans="1:13" ht="12.75" customHeight="1" x14ac:dyDescent="0.2">
      <c r="A34" s="210">
        <f t="shared" si="0"/>
        <v>107.5</v>
      </c>
      <c r="B34" s="205">
        <f t="shared" si="1"/>
        <v>0</v>
      </c>
      <c r="C34" s="206">
        <f t="shared" si="2"/>
        <v>0</v>
      </c>
      <c r="D34" s="205">
        <f t="shared" si="3"/>
        <v>0</v>
      </c>
      <c r="E34" s="206">
        <f t="shared" si="4"/>
        <v>1</v>
      </c>
      <c r="F34" s="205">
        <f t="shared" si="5"/>
        <v>1</v>
      </c>
      <c r="G34" s="206">
        <f t="shared" si="6"/>
        <v>0</v>
      </c>
      <c r="H34" s="205">
        <f t="shared" si="7"/>
        <v>0</v>
      </c>
      <c r="I34" s="206">
        <f t="shared" si="8"/>
        <v>1</v>
      </c>
      <c r="J34" s="205">
        <f t="shared" si="9"/>
        <v>0</v>
      </c>
      <c r="K34" s="206"/>
      <c r="L34" s="208">
        <f t="shared" si="11"/>
        <v>30</v>
      </c>
      <c r="M34" s="208">
        <f t="shared" si="10"/>
        <v>75</v>
      </c>
    </row>
    <row r="35" spans="1:13" ht="12.75" customHeight="1" x14ac:dyDescent="0.2">
      <c r="A35" s="210">
        <f t="shared" si="0"/>
        <v>110</v>
      </c>
      <c r="B35" s="205">
        <f t="shared" si="1"/>
        <v>0</v>
      </c>
      <c r="C35" s="206">
        <f t="shared" si="2"/>
        <v>0</v>
      </c>
      <c r="D35" s="205">
        <f t="shared" si="3"/>
        <v>0</v>
      </c>
      <c r="E35" s="206">
        <f t="shared" si="4"/>
        <v>1</v>
      </c>
      <c r="F35" s="205">
        <f t="shared" si="5"/>
        <v>1</v>
      </c>
      <c r="G35" s="206">
        <f t="shared" si="6"/>
        <v>0</v>
      </c>
      <c r="H35" s="205">
        <f t="shared" si="7"/>
        <v>0</v>
      </c>
      <c r="I35" s="206">
        <f t="shared" si="8"/>
        <v>1</v>
      </c>
      <c r="J35" s="205">
        <f t="shared" si="9"/>
        <v>1</v>
      </c>
      <c r="K35" s="206"/>
      <c r="L35" s="208">
        <f t="shared" si="11"/>
        <v>31</v>
      </c>
      <c r="M35" s="208">
        <f t="shared" si="10"/>
        <v>77.5</v>
      </c>
    </row>
    <row r="36" spans="1:13" ht="12.75" customHeight="1" x14ac:dyDescent="0.2">
      <c r="A36" s="210">
        <f t="shared" si="0"/>
        <v>112.5</v>
      </c>
      <c r="B36" s="205">
        <f t="shared" si="1"/>
        <v>0</v>
      </c>
      <c r="C36" s="206">
        <f t="shared" si="2"/>
        <v>0</v>
      </c>
      <c r="D36" s="205">
        <f t="shared" si="3"/>
        <v>0</v>
      </c>
      <c r="E36" s="206">
        <f t="shared" si="4"/>
        <v>2</v>
      </c>
      <c r="F36" s="205">
        <f t="shared" si="5"/>
        <v>0</v>
      </c>
      <c r="G36" s="206">
        <f t="shared" si="6"/>
        <v>0</v>
      </c>
      <c r="H36" s="205">
        <f t="shared" si="7"/>
        <v>0</v>
      </c>
      <c r="I36" s="206">
        <f t="shared" si="8"/>
        <v>0</v>
      </c>
      <c r="J36" s="205">
        <f t="shared" si="9"/>
        <v>0</v>
      </c>
      <c r="K36" s="206"/>
      <c r="L36" s="208">
        <f t="shared" si="11"/>
        <v>32</v>
      </c>
      <c r="M36" s="208">
        <f t="shared" si="10"/>
        <v>80</v>
      </c>
    </row>
    <row r="37" spans="1:13" ht="12.75" customHeight="1" x14ac:dyDescent="0.2">
      <c r="A37" s="210">
        <f t="shared" si="0"/>
        <v>115</v>
      </c>
      <c r="B37" s="205">
        <f t="shared" si="1"/>
        <v>0</v>
      </c>
      <c r="C37" s="206">
        <f t="shared" si="2"/>
        <v>0</v>
      </c>
      <c r="D37" s="205">
        <f t="shared" si="3"/>
        <v>0</v>
      </c>
      <c r="E37" s="206">
        <f t="shared" si="4"/>
        <v>2</v>
      </c>
      <c r="F37" s="205">
        <f t="shared" si="5"/>
        <v>0</v>
      </c>
      <c r="G37" s="206">
        <f t="shared" si="6"/>
        <v>0</v>
      </c>
      <c r="H37" s="205">
        <f t="shared" si="7"/>
        <v>0</v>
      </c>
      <c r="I37" s="206">
        <f t="shared" si="8"/>
        <v>0</v>
      </c>
      <c r="J37" s="205">
        <f t="shared" si="9"/>
        <v>1</v>
      </c>
      <c r="K37" s="206"/>
      <c r="L37" s="208">
        <f t="shared" si="11"/>
        <v>33</v>
      </c>
      <c r="M37" s="208">
        <f t="shared" si="10"/>
        <v>82.5</v>
      </c>
    </row>
    <row r="38" spans="1:13" ht="12.75" customHeight="1" x14ac:dyDescent="0.2">
      <c r="A38" s="210">
        <f t="shared" si="0"/>
        <v>117.5</v>
      </c>
      <c r="B38" s="205">
        <f t="shared" si="1"/>
        <v>0</v>
      </c>
      <c r="C38" s="206">
        <f t="shared" si="2"/>
        <v>0</v>
      </c>
      <c r="D38" s="205">
        <f t="shared" si="3"/>
        <v>0</v>
      </c>
      <c r="E38" s="206">
        <f t="shared" si="4"/>
        <v>2</v>
      </c>
      <c r="F38" s="205">
        <f t="shared" si="5"/>
        <v>0</v>
      </c>
      <c r="G38" s="206">
        <f t="shared" si="6"/>
        <v>0</v>
      </c>
      <c r="H38" s="205">
        <f t="shared" si="7"/>
        <v>0</v>
      </c>
      <c r="I38" s="206">
        <f t="shared" si="8"/>
        <v>1</v>
      </c>
      <c r="J38" s="205">
        <f t="shared" si="9"/>
        <v>0</v>
      </c>
      <c r="K38" s="206"/>
      <c r="L38" s="208">
        <f t="shared" si="11"/>
        <v>34</v>
      </c>
      <c r="M38" s="208">
        <f t="shared" si="10"/>
        <v>85</v>
      </c>
    </row>
    <row r="39" spans="1:13" ht="12.75" customHeight="1" x14ac:dyDescent="0.2">
      <c r="A39" s="210">
        <f t="shared" si="0"/>
        <v>120</v>
      </c>
      <c r="B39" s="205">
        <f t="shared" si="1"/>
        <v>0</v>
      </c>
      <c r="C39" s="206">
        <f t="shared" si="2"/>
        <v>0</v>
      </c>
      <c r="D39" s="205">
        <f t="shared" si="3"/>
        <v>0</v>
      </c>
      <c r="E39" s="206">
        <f t="shared" si="4"/>
        <v>2</v>
      </c>
      <c r="F39" s="205">
        <f t="shared" si="5"/>
        <v>0</v>
      </c>
      <c r="G39" s="206">
        <f t="shared" si="6"/>
        <v>0</v>
      </c>
      <c r="H39" s="205">
        <f t="shared" si="7"/>
        <v>0</v>
      </c>
      <c r="I39" s="206">
        <f t="shared" si="8"/>
        <v>1</v>
      </c>
      <c r="J39" s="205">
        <f t="shared" si="9"/>
        <v>1</v>
      </c>
      <c r="K39" s="206"/>
      <c r="L39" s="208">
        <f t="shared" si="11"/>
        <v>35</v>
      </c>
      <c r="M39" s="208">
        <f t="shared" si="10"/>
        <v>87.5</v>
      </c>
    </row>
    <row r="40" spans="1:13" ht="12.75" customHeight="1" x14ac:dyDescent="0.2">
      <c r="A40" s="210">
        <f t="shared" si="0"/>
        <v>122.5</v>
      </c>
      <c r="B40" s="205">
        <f t="shared" si="1"/>
        <v>0</v>
      </c>
      <c r="C40" s="206">
        <f t="shared" si="2"/>
        <v>0</v>
      </c>
      <c r="D40" s="205">
        <f t="shared" si="3"/>
        <v>0</v>
      </c>
      <c r="E40" s="206">
        <f t="shared" si="4"/>
        <v>2</v>
      </c>
      <c r="F40" s="205">
        <f t="shared" si="5"/>
        <v>0</v>
      </c>
      <c r="G40" s="206">
        <f t="shared" si="6"/>
        <v>0</v>
      </c>
      <c r="H40" s="205">
        <f t="shared" si="7"/>
        <v>1</v>
      </c>
      <c r="I40" s="206">
        <f t="shared" si="8"/>
        <v>0</v>
      </c>
      <c r="J40" s="205">
        <f t="shared" si="9"/>
        <v>0</v>
      </c>
      <c r="K40" s="206"/>
      <c r="L40" s="208">
        <f t="shared" si="11"/>
        <v>36</v>
      </c>
      <c r="M40" s="208">
        <f t="shared" si="10"/>
        <v>90</v>
      </c>
    </row>
    <row r="41" spans="1:13" ht="12.75" customHeight="1" x14ac:dyDescent="0.2">
      <c r="A41" s="210">
        <f t="shared" si="0"/>
        <v>125</v>
      </c>
      <c r="B41" s="205">
        <f t="shared" si="1"/>
        <v>0</v>
      </c>
      <c r="C41" s="206">
        <f t="shared" si="2"/>
        <v>0</v>
      </c>
      <c r="D41" s="205">
        <f t="shared" si="3"/>
        <v>0</v>
      </c>
      <c r="E41" s="206">
        <f t="shared" si="4"/>
        <v>2</v>
      </c>
      <c r="F41" s="205">
        <f t="shared" si="5"/>
        <v>0</v>
      </c>
      <c r="G41" s="206">
        <f t="shared" si="6"/>
        <v>0</v>
      </c>
      <c r="H41" s="205">
        <f t="shared" si="7"/>
        <v>1</v>
      </c>
      <c r="I41" s="206">
        <f t="shared" si="8"/>
        <v>0</v>
      </c>
      <c r="J41" s="205">
        <f t="shared" si="9"/>
        <v>1</v>
      </c>
      <c r="K41" s="206"/>
      <c r="L41" s="208">
        <f t="shared" si="11"/>
        <v>37</v>
      </c>
      <c r="M41" s="208">
        <f t="shared" si="10"/>
        <v>92.5</v>
      </c>
    </row>
    <row r="42" spans="1:13" ht="12.75" customHeight="1" x14ac:dyDescent="0.2">
      <c r="A42" s="210">
        <f t="shared" si="0"/>
        <v>127.5</v>
      </c>
      <c r="B42" s="205">
        <f t="shared" si="1"/>
        <v>0</v>
      </c>
      <c r="C42" s="206">
        <f t="shared" si="2"/>
        <v>0</v>
      </c>
      <c r="D42" s="205">
        <f t="shared" si="3"/>
        <v>0</v>
      </c>
      <c r="E42" s="206">
        <f t="shared" si="4"/>
        <v>2</v>
      </c>
      <c r="F42" s="205">
        <f t="shared" si="5"/>
        <v>0</v>
      </c>
      <c r="G42" s="206">
        <f t="shared" si="6"/>
        <v>0</v>
      </c>
      <c r="H42" s="205">
        <f t="shared" si="7"/>
        <v>1</v>
      </c>
      <c r="I42" s="206">
        <f t="shared" si="8"/>
        <v>1</v>
      </c>
      <c r="J42" s="205">
        <f t="shared" si="9"/>
        <v>0</v>
      </c>
      <c r="K42" s="206"/>
      <c r="L42" s="208">
        <f t="shared" si="11"/>
        <v>38</v>
      </c>
      <c r="M42" s="208">
        <f t="shared" si="10"/>
        <v>95</v>
      </c>
    </row>
    <row r="43" spans="1:13" ht="12.75" customHeight="1" x14ac:dyDescent="0.2">
      <c r="A43" s="210">
        <f t="shared" si="0"/>
        <v>130</v>
      </c>
      <c r="B43" s="205">
        <f t="shared" si="1"/>
        <v>0</v>
      </c>
      <c r="C43" s="206">
        <f t="shared" si="2"/>
        <v>0</v>
      </c>
      <c r="D43" s="205">
        <f t="shared" si="3"/>
        <v>0</v>
      </c>
      <c r="E43" s="206">
        <f t="shared" si="4"/>
        <v>2</v>
      </c>
      <c r="F43" s="205">
        <f t="shared" si="5"/>
        <v>0</v>
      </c>
      <c r="G43" s="206">
        <f t="shared" si="6"/>
        <v>0</v>
      </c>
      <c r="H43" s="205">
        <f t="shared" si="7"/>
        <v>1</v>
      </c>
      <c r="I43" s="206">
        <f t="shared" si="8"/>
        <v>1</v>
      </c>
      <c r="J43" s="205">
        <f t="shared" si="9"/>
        <v>1</v>
      </c>
      <c r="K43" s="206"/>
      <c r="L43" s="208">
        <f t="shared" si="11"/>
        <v>39</v>
      </c>
      <c r="M43" s="208">
        <f t="shared" si="10"/>
        <v>97.5</v>
      </c>
    </row>
    <row r="44" spans="1:13" ht="12.75" customHeight="1" x14ac:dyDescent="0.2">
      <c r="A44" s="210">
        <f t="shared" si="0"/>
        <v>132.5</v>
      </c>
      <c r="B44" s="205">
        <f t="shared" si="1"/>
        <v>1</v>
      </c>
      <c r="C44" s="206">
        <f t="shared" si="2"/>
        <v>0</v>
      </c>
      <c r="D44" s="205">
        <f t="shared" si="3"/>
        <v>0</v>
      </c>
      <c r="E44" s="206">
        <f t="shared" si="4"/>
        <v>0</v>
      </c>
      <c r="F44" s="205">
        <f t="shared" si="5"/>
        <v>0</v>
      </c>
      <c r="G44" s="206">
        <f t="shared" si="6"/>
        <v>0</v>
      </c>
      <c r="H44" s="205">
        <f t="shared" si="7"/>
        <v>0</v>
      </c>
      <c r="I44" s="206">
        <f t="shared" si="8"/>
        <v>0</v>
      </c>
      <c r="J44" s="205">
        <f t="shared" si="9"/>
        <v>0</v>
      </c>
      <c r="K44" s="206"/>
      <c r="L44" s="208">
        <f t="shared" si="11"/>
        <v>40</v>
      </c>
      <c r="M44" s="208">
        <f t="shared" si="10"/>
        <v>100</v>
      </c>
    </row>
    <row r="45" spans="1:13" ht="12.75" customHeight="1" x14ac:dyDescent="0.2">
      <c r="A45" s="210">
        <f t="shared" si="0"/>
        <v>135</v>
      </c>
      <c r="B45" s="205">
        <f t="shared" si="1"/>
        <v>1</v>
      </c>
      <c r="C45" s="206">
        <f t="shared" si="2"/>
        <v>0</v>
      </c>
      <c r="D45" s="205">
        <f t="shared" si="3"/>
        <v>0</v>
      </c>
      <c r="E45" s="206">
        <f t="shared" si="4"/>
        <v>0</v>
      </c>
      <c r="F45" s="205">
        <f t="shared" si="5"/>
        <v>0</v>
      </c>
      <c r="G45" s="206">
        <f t="shared" si="6"/>
        <v>0</v>
      </c>
      <c r="H45" s="205">
        <f t="shared" si="7"/>
        <v>0</v>
      </c>
      <c r="I45" s="206">
        <f t="shared" si="8"/>
        <v>0</v>
      </c>
      <c r="J45" s="205">
        <f t="shared" si="9"/>
        <v>1</v>
      </c>
      <c r="K45" s="206"/>
      <c r="L45" s="208">
        <f t="shared" si="11"/>
        <v>41</v>
      </c>
      <c r="M45" s="208">
        <f t="shared" si="10"/>
        <v>102.5</v>
      </c>
    </row>
    <row r="46" spans="1:13" ht="12.75" customHeight="1" x14ac:dyDescent="0.2">
      <c r="A46" s="210">
        <f t="shared" si="0"/>
        <v>137.5</v>
      </c>
      <c r="B46" s="205">
        <f t="shared" si="1"/>
        <v>1</v>
      </c>
      <c r="C46" s="206">
        <f t="shared" si="2"/>
        <v>0</v>
      </c>
      <c r="D46" s="205">
        <f t="shared" si="3"/>
        <v>0</v>
      </c>
      <c r="E46" s="206">
        <f t="shared" si="4"/>
        <v>0</v>
      </c>
      <c r="F46" s="205">
        <f t="shared" si="5"/>
        <v>0</v>
      </c>
      <c r="G46" s="206">
        <f t="shared" si="6"/>
        <v>0</v>
      </c>
      <c r="H46" s="205">
        <f t="shared" si="7"/>
        <v>0</v>
      </c>
      <c r="I46" s="206">
        <f t="shared" si="8"/>
        <v>1</v>
      </c>
      <c r="J46" s="205">
        <f t="shared" si="9"/>
        <v>0</v>
      </c>
      <c r="K46" s="206"/>
      <c r="L46" s="208">
        <f t="shared" si="11"/>
        <v>42</v>
      </c>
      <c r="M46" s="208">
        <f t="shared" si="10"/>
        <v>105</v>
      </c>
    </row>
    <row r="47" spans="1:13" ht="12.75" customHeight="1" x14ac:dyDescent="0.2">
      <c r="A47" s="210">
        <f t="shared" si="0"/>
        <v>140</v>
      </c>
      <c r="B47" s="205">
        <f t="shared" si="1"/>
        <v>1</v>
      </c>
      <c r="C47" s="206">
        <f t="shared" si="2"/>
        <v>0</v>
      </c>
      <c r="D47" s="205">
        <f t="shared" si="3"/>
        <v>0</v>
      </c>
      <c r="E47" s="206">
        <f t="shared" si="4"/>
        <v>0</v>
      </c>
      <c r="F47" s="205">
        <f t="shared" si="5"/>
        <v>0</v>
      </c>
      <c r="G47" s="206">
        <f t="shared" si="6"/>
        <v>0</v>
      </c>
      <c r="H47" s="205">
        <f t="shared" si="7"/>
        <v>0</v>
      </c>
      <c r="I47" s="206">
        <f t="shared" si="8"/>
        <v>1</v>
      </c>
      <c r="J47" s="205">
        <f t="shared" si="9"/>
        <v>1</v>
      </c>
      <c r="K47" s="206"/>
      <c r="L47" s="208">
        <f t="shared" si="11"/>
        <v>43</v>
      </c>
      <c r="M47" s="208">
        <f t="shared" si="10"/>
        <v>107.5</v>
      </c>
    </row>
    <row r="48" spans="1:13" ht="12.75" customHeight="1" x14ac:dyDescent="0.2">
      <c r="A48" s="210">
        <f t="shared" si="0"/>
        <v>142.5</v>
      </c>
      <c r="B48" s="205">
        <f t="shared" si="1"/>
        <v>1</v>
      </c>
      <c r="C48" s="206">
        <f t="shared" si="2"/>
        <v>0</v>
      </c>
      <c r="D48" s="205">
        <f t="shared" si="3"/>
        <v>0</v>
      </c>
      <c r="E48" s="206">
        <f t="shared" si="4"/>
        <v>0</v>
      </c>
      <c r="F48" s="205">
        <f t="shared" si="5"/>
        <v>0</v>
      </c>
      <c r="G48" s="206">
        <f t="shared" si="6"/>
        <v>0</v>
      </c>
      <c r="H48" s="205">
        <f t="shared" si="7"/>
        <v>1</v>
      </c>
      <c r="I48" s="206">
        <f t="shared" si="8"/>
        <v>0</v>
      </c>
      <c r="J48" s="205">
        <f t="shared" si="9"/>
        <v>0</v>
      </c>
      <c r="K48" s="206"/>
      <c r="L48" s="208">
        <f t="shared" si="11"/>
        <v>44</v>
      </c>
      <c r="M48" s="208">
        <f t="shared" si="10"/>
        <v>110</v>
      </c>
    </row>
    <row r="49" spans="1:13" ht="12.75" customHeight="1" x14ac:dyDescent="0.2">
      <c r="A49" s="210">
        <f t="shared" si="0"/>
        <v>145</v>
      </c>
      <c r="B49" s="205">
        <f t="shared" si="1"/>
        <v>1</v>
      </c>
      <c r="C49" s="206">
        <f t="shared" si="2"/>
        <v>0</v>
      </c>
      <c r="D49" s="205">
        <f t="shared" si="3"/>
        <v>0</v>
      </c>
      <c r="E49" s="206">
        <f t="shared" si="4"/>
        <v>0</v>
      </c>
      <c r="F49" s="205">
        <f t="shared" si="5"/>
        <v>0</v>
      </c>
      <c r="G49" s="206">
        <f t="shared" si="6"/>
        <v>0</v>
      </c>
      <c r="H49" s="205">
        <f t="shared" si="7"/>
        <v>1</v>
      </c>
      <c r="I49" s="206">
        <f t="shared" si="8"/>
        <v>0</v>
      </c>
      <c r="J49" s="205">
        <f t="shared" si="9"/>
        <v>1</v>
      </c>
      <c r="K49" s="206"/>
      <c r="L49" s="208">
        <f t="shared" si="11"/>
        <v>45</v>
      </c>
      <c r="M49" s="208">
        <f t="shared" si="10"/>
        <v>112.5</v>
      </c>
    </row>
    <row r="50" spans="1:13" ht="12.75" customHeight="1" x14ac:dyDescent="0.2">
      <c r="A50" s="210">
        <f t="shared" si="0"/>
        <v>147.5</v>
      </c>
      <c r="B50" s="205">
        <f t="shared" si="1"/>
        <v>1</v>
      </c>
      <c r="C50" s="206">
        <f t="shared" si="2"/>
        <v>0</v>
      </c>
      <c r="D50" s="205">
        <f t="shared" si="3"/>
        <v>0</v>
      </c>
      <c r="E50" s="206">
        <f t="shared" si="4"/>
        <v>0</v>
      </c>
      <c r="F50" s="205">
        <f t="shared" si="5"/>
        <v>0</v>
      </c>
      <c r="G50" s="206">
        <f t="shared" si="6"/>
        <v>0</v>
      </c>
      <c r="H50" s="205">
        <f t="shared" si="7"/>
        <v>1</v>
      </c>
      <c r="I50" s="206">
        <f t="shared" si="8"/>
        <v>1</v>
      </c>
      <c r="J50" s="205">
        <f t="shared" si="9"/>
        <v>0</v>
      </c>
      <c r="K50" s="206"/>
      <c r="L50" s="208">
        <f t="shared" si="11"/>
        <v>46</v>
      </c>
      <c r="M50" s="208">
        <f t="shared" si="10"/>
        <v>115</v>
      </c>
    </row>
    <row r="51" spans="1:13" ht="12.75" customHeight="1" x14ac:dyDescent="0.2">
      <c r="A51" s="210">
        <f t="shared" si="0"/>
        <v>150</v>
      </c>
      <c r="B51" s="205">
        <f t="shared" si="1"/>
        <v>1</v>
      </c>
      <c r="C51" s="206">
        <f t="shared" si="2"/>
        <v>0</v>
      </c>
      <c r="D51" s="205">
        <f t="shared" si="3"/>
        <v>0</v>
      </c>
      <c r="E51" s="206">
        <f t="shared" si="4"/>
        <v>0</v>
      </c>
      <c r="F51" s="205">
        <f t="shared" si="5"/>
        <v>0</v>
      </c>
      <c r="G51" s="206">
        <f t="shared" si="6"/>
        <v>0</v>
      </c>
      <c r="H51" s="205">
        <f t="shared" si="7"/>
        <v>1</v>
      </c>
      <c r="I51" s="206">
        <f t="shared" si="8"/>
        <v>1</v>
      </c>
      <c r="J51" s="205">
        <f t="shared" si="9"/>
        <v>1</v>
      </c>
      <c r="K51" s="206"/>
      <c r="L51" s="208">
        <f t="shared" si="11"/>
        <v>47</v>
      </c>
      <c r="M51" s="208">
        <f t="shared" si="10"/>
        <v>117.5</v>
      </c>
    </row>
    <row r="52" spans="1:13" ht="12.75" customHeight="1" x14ac:dyDescent="0.2">
      <c r="A52" s="210">
        <f t="shared" si="0"/>
        <v>152.5</v>
      </c>
      <c r="B52" s="205">
        <f t="shared" si="1"/>
        <v>1</v>
      </c>
      <c r="C52" s="206">
        <f t="shared" si="2"/>
        <v>0</v>
      </c>
      <c r="D52" s="205">
        <f t="shared" si="3"/>
        <v>0</v>
      </c>
      <c r="E52" s="206">
        <f t="shared" si="4"/>
        <v>0</v>
      </c>
      <c r="F52" s="205">
        <f t="shared" si="5"/>
        <v>0</v>
      </c>
      <c r="G52" s="206">
        <f t="shared" si="6"/>
        <v>1</v>
      </c>
      <c r="H52" s="205">
        <f t="shared" si="7"/>
        <v>0</v>
      </c>
      <c r="I52" s="206">
        <f t="shared" si="8"/>
        <v>0</v>
      </c>
      <c r="J52" s="205">
        <f t="shared" si="9"/>
        <v>0</v>
      </c>
      <c r="K52" s="206"/>
      <c r="L52" s="208">
        <f t="shared" si="11"/>
        <v>48</v>
      </c>
      <c r="M52" s="208">
        <f t="shared" si="10"/>
        <v>120</v>
      </c>
    </row>
    <row r="53" spans="1:13" ht="12.75" customHeight="1" x14ac:dyDescent="0.2">
      <c r="A53" s="210">
        <f t="shared" si="0"/>
        <v>155</v>
      </c>
      <c r="B53" s="205">
        <f t="shared" si="1"/>
        <v>1</v>
      </c>
      <c r="C53" s="206">
        <f t="shared" si="2"/>
        <v>0</v>
      </c>
      <c r="D53" s="205">
        <f t="shared" si="3"/>
        <v>0</v>
      </c>
      <c r="E53" s="206">
        <f t="shared" si="4"/>
        <v>0</v>
      </c>
      <c r="F53" s="205">
        <f t="shared" si="5"/>
        <v>0</v>
      </c>
      <c r="G53" s="206">
        <f t="shared" si="6"/>
        <v>1</v>
      </c>
      <c r="H53" s="205">
        <f t="shared" si="7"/>
        <v>0</v>
      </c>
      <c r="I53" s="206">
        <f t="shared" si="8"/>
        <v>0</v>
      </c>
      <c r="J53" s="205">
        <f t="shared" si="9"/>
        <v>1</v>
      </c>
      <c r="K53" s="206"/>
      <c r="L53" s="208">
        <f t="shared" si="11"/>
        <v>49</v>
      </c>
      <c r="M53" s="208">
        <f t="shared" si="10"/>
        <v>122.5</v>
      </c>
    </row>
    <row r="54" spans="1:13" ht="12.75" customHeight="1" x14ac:dyDescent="0.2">
      <c r="A54" s="210">
        <f t="shared" si="0"/>
        <v>157.5</v>
      </c>
      <c r="B54" s="205">
        <f t="shared" si="1"/>
        <v>1</v>
      </c>
      <c r="C54" s="206">
        <f t="shared" si="2"/>
        <v>0</v>
      </c>
      <c r="D54" s="205">
        <f t="shared" si="3"/>
        <v>0</v>
      </c>
      <c r="E54" s="206">
        <f t="shared" si="4"/>
        <v>0</v>
      </c>
      <c r="F54" s="205">
        <f t="shared" si="5"/>
        <v>0</v>
      </c>
      <c r="G54" s="206">
        <f t="shared" si="6"/>
        <v>1</v>
      </c>
      <c r="H54" s="205">
        <f t="shared" si="7"/>
        <v>0</v>
      </c>
      <c r="I54" s="206">
        <f t="shared" si="8"/>
        <v>1</v>
      </c>
      <c r="J54" s="205">
        <f t="shared" si="9"/>
        <v>0</v>
      </c>
      <c r="K54" s="206"/>
      <c r="L54" s="208">
        <f t="shared" si="11"/>
        <v>50</v>
      </c>
      <c r="M54" s="208">
        <f t="shared" si="10"/>
        <v>125</v>
      </c>
    </row>
    <row r="55" spans="1:13" ht="12.75" customHeight="1" x14ac:dyDescent="0.2">
      <c r="A55" s="210">
        <f t="shared" si="0"/>
        <v>160</v>
      </c>
      <c r="B55" s="205">
        <f t="shared" si="1"/>
        <v>1</v>
      </c>
      <c r="C55" s="206">
        <f t="shared" si="2"/>
        <v>0</v>
      </c>
      <c r="D55" s="205">
        <f t="shared" si="3"/>
        <v>0</v>
      </c>
      <c r="E55" s="206">
        <f t="shared" si="4"/>
        <v>0</v>
      </c>
      <c r="F55" s="205">
        <f t="shared" si="5"/>
        <v>0</v>
      </c>
      <c r="G55" s="206">
        <f t="shared" si="6"/>
        <v>1</v>
      </c>
      <c r="H55" s="205">
        <f t="shared" si="7"/>
        <v>0</v>
      </c>
      <c r="I55" s="206">
        <f t="shared" si="8"/>
        <v>1</v>
      </c>
      <c r="J55" s="205">
        <f t="shared" si="9"/>
        <v>1</v>
      </c>
      <c r="K55" s="206"/>
      <c r="L55" s="208">
        <f t="shared" si="11"/>
        <v>51</v>
      </c>
      <c r="M55" s="208">
        <f t="shared" si="10"/>
        <v>127.5</v>
      </c>
    </row>
    <row r="56" spans="1:13" ht="12.75" customHeight="1" x14ac:dyDescent="0.2">
      <c r="A56" s="210">
        <f t="shared" si="0"/>
        <v>162.5</v>
      </c>
      <c r="B56" s="205">
        <f t="shared" si="1"/>
        <v>1</v>
      </c>
      <c r="C56" s="206">
        <f t="shared" si="2"/>
        <v>0</v>
      </c>
      <c r="D56" s="205">
        <f t="shared" si="3"/>
        <v>0</v>
      </c>
      <c r="E56" s="206">
        <f t="shared" si="4"/>
        <v>0</v>
      </c>
      <c r="F56" s="205">
        <f t="shared" si="5"/>
        <v>1</v>
      </c>
      <c r="G56" s="206">
        <f t="shared" si="6"/>
        <v>0</v>
      </c>
      <c r="H56" s="205">
        <f t="shared" si="7"/>
        <v>0</v>
      </c>
      <c r="I56" s="206">
        <f t="shared" si="8"/>
        <v>0</v>
      </c>
      <c r="J56" s="205">
        <f t="shared" si="9"/>
        <v>0</v>
      </c>
      <c r="K56" s="206"/>
      <c r="L56" s="208">
        <f t="shared" si="11"/>
        <v>52</v>
      </c>
      <c r="M56" s="208">
        <f t="shared" si="10"/>
        <v>130</v>
      </c>
    </row>
    <row r="57" spans="1:13" ht="12.75" customHeight="1" x14ac:dyDescent="0.2">
      <c r="A57" s="210">
        <f t="shared" si="0"/>
        <v>165</v>
      </c>
      <c r="B57" s="205">
        <f t="shared" si="1"/>
        <v>1</v>
      </c>
      <c r="C57" s="206">
        <f t="shared" si="2"/>
        <v>0</v>
      </c>
      <c r="D57" s="205">
        <f t="shared" si="3"/>
        <v>0</v>
      </c>
      <c r="E57" s="206">
        <f t="shared" si="4"/>
        <v>0</v>
      </c>
      <c r="F57" s="205">
        <f t="shared" si="5"/>
        <v>1</v>
      </c>
      <c r="G57" s="206">
        <f t="shared" si="6"/>
        <v>0</v>
      </c>
      <c r="H57" s="205">
        <f t="shared" si="7"/>
        <v>0</v>
      </c>
      <c r="I57" s="206">
        <f t="shared" si="8"/>
        <v>0</v>
      </c>
      <c r="J57" s="205">
        <f t="shared" si="9"/>
        <v>1</v>
      </c>
      <c r="K57" s="206"/>
      <c r="L57" s="208">
        <f t="shared" si="11"/>
        <v>53</v>
      </c>
      <c r="M57" s="208">
        <f t="shared" si="10"/>
        <v>132.5</v>
      </c>
    </row>
    <row r="58" spans="1:13" ht="12.75" customHeight="1" x14ac:dyDescent="0.2">
      <c r="A58" s="210">
        <f t="shared" si="0"/>
        <v>167.5</v>
      </c>
      <c r="B58" s="205">
        <f t="shared" si="1"/>
        <v>1</v>
      </c>
      <c r="C58" s="206">
        <f t="shared" si="2"/>
        <v>0</v>
      </c>
      <c r="D58" s="205">
        <f t="shared" si="3"/>
        <v>0</v>
      </c>
      <c r="E58" s="206">
        <f t="shared" si="4"/>
        <v>0</v>
      </c>
      <c r="F58" s="205">
        <f t="shared" si="5"/>
        <v>1</v>
      </c>
      <c r="G58" s="206">
        <f t="shared" si="6"/>
        <v>0</v>
      </c>
      <c r="H58" s="205">
        <f t="shared" si="7"/>
        <v>0</v>
      </c>
      <c r="I58" s="206">
        <f t="shared" si="8"/>
        <v>1</v>
      </c>
      <c r="J58" s="205">
        <f t="shared" si="9"/>
        <v>0</v>
      </c>
      <c r="K58" s="206"/>
      <c r="L58" s="208">
        <f t="shared" si="11"/>
        <v>54</v>
      </c>
      <c r="M58" s="208">
        <f t="shared" si="10"/>
        <v>135</v>
      </c>
    </row>
    <row r="59" spans="1:13" ht="12.75" customHeight="1" x14ac:dyDescent="0.2">
      <c r="A59" s="210">
        <f t="shared" si="0"/>
        <v>170</v>
      </c>
      <c r="B59" s="205">
        <f t="shared" si="1"/>
        <v>1</v>
      </c>
      <c r="C59" s="206">
        <f t="shared" si="2"/>
        <v>0</v>
      </c>
      <c r="D59" s="205">
        <f t="shared" si="3"/>
        <v>0</v>
      </c>
      <c r="E59" s="206">
        <f t="shared" si="4"/>
        <v>0</v>
      </c>
      <c r="F59" s="205">
        <f t="shared" si="5"/>
        <v>1</v>
      </c>
      <c r="G59" s="206">
        <f t="shared" si="6"/>
        <v>0</v>
      </c>
      <c r="H59" s="205">
        <f t="shared" si="7"/>
        <v>0</v>
      </c>
      <c r="I59" s="206">
        <f t="shared" si="8"/>
        <v>1</v>
      </c>
      <c r="J59" s="205">
        <f t="shared" si="9"/>
        <v>1</v>
      </c>
      <c r="K59" s="206"/>
      <c r="L59" s="208">
        <f t="shared" si="11"/>
        <v>55</v>
      </c>
      <c r="M59" s="208">
        <f t="shared" si="10"/>
        <v>137.5</v>
      </c>
    </row>
    <row r="60" spans="1:13" ht="12.75" customHeight="1" x14ac:dyDescent="0.2">
      <c r="A60" s="210">
        <f t="shared" si="0"/>
        <v>172.5</v>
      </c>
      <c r="B60" s="205">
        <f t="shared" si="1"/>
        <v>1</v>
      </c>
      <c r="C60" s="206">
        <f t="shared" si="2"/>
        <v>0</v>
      </c>
      <c r="D60" s="205">
        <f t="shared" si="3"/>
        <v>0</v>
      </c>
      <c r="E60" s="206">
        <f t="shared" si="4"/>
        <v>1</v>
      </c>
      <c r="F60" s="205">
        <f t="shared" si="5"/>
        <v>0</v>
      </c>
      <c r="G60" s="206">
        <f t="shared" si="6"/>
        <v>0</v>
      </c>
      <c r="H60" s="205">
        <f t="shared" si="7"/>
        <v>0</v>
      </c>
      <c r="I60" s="206">
        <f t="shared" si="8"/>
        <v>0</v>
      </c>
      <c r="J60" s="205">
        <f t="shared" si="9"/>
        <v>0</v>
      </c>
      <c r="K60" s="206"/>
      <c r="L60" s="208">
        <f t="shared" si="11"/>
        <v>56</v>
      </c>
      <c r="M60" s="208">
        <f t="shared" si="10"/>
        <v>140</v>
      </c>
    </row>
    <row r="61" spans="1:13" ht="12.75" customHeight="1" x14ac:dyDescent="0.2">
      <c r="A61" s="210">
        <f t="shared" si="0"/>
        <v>175</v>
      </c>
      <c r="B61" s="205">
        <f t="shared" si="1"/>
        <v>1</v>
      </c>
      <c r="C61" s="206">
        <f t="shared" si="2"/>
        <v>0</v>
      </c>
      <c r="D61" s="205">
        <f t="shared" si="3"/>
        <v>0</v>
      </c>
      <c r="E61" s="206">
        <f t="shared" si="4"/>
        <v>1</v>
      </c>
      <c r="F61" s="205">
        <f t="shared" si="5"/>
        <v>0</v>
      </c>
      <c r="G61" s="206">
        <f t="shared" si="6"/>
        <v>0</v>
      </c>
      <c r="H61" s="205">
        <f t="shared" si="7"/>
        <v>0</v>
      </c>
      <c r="I61" s="206">
        <f t="shared" si="8"/>
        <v>0</v>
      </c>
      <c r="J61" s="205">
        <f t="shared" si="9"/>
        <v>1</v>
      </c>
      <c r="K61" s="206"/>
      <c r="L61" s="208">
        <f t="shared" si="11"/>
        <v>57</v>
      </c>
      <c r="M61" s="208">
        <f t="shared" si="10"/>
        <v>142.5</v>
      </c>
    </row>
    <row r="62" spans="1:13" ht="12.75" customHeight="1" x14ac:dyDescent="0.2">
      <c r="A62" s="210">
        <f t="shared" si="0"/>
        <v>177.5</v>
      </c>
      <c r="B62" s="205">
        <f t="shared" si="1"/>
        <v>1</v>
      </c>
      <c r="C62" s="206">
        <f t="shared" si="2"/>
        <v>0</v>
      </c>
      <c r="D62" s="205">
        <f t="shared" si="3"/>
        <v>0</v>
      </c>
      <c r="E62" s="206">
        <f t="shared" si="4"/>
        <v>1</v>
      </c>
      <c r="F62" s="205">
        <f t="shared" si="5"/>
        <v>0</v>
      </c>
      <c r="G62" s="206">
        <f t="shared" si="6"/>
        <v>0</v>
      </c>
      <c r="H62" s="205">
        <f t="shared" si="7"/>
        <v>0</v>
      </c>
      <c r="I62" s="206">
        <f t="shared" si="8"/>
        <v>1</v>
      </c>
      <c r="J62" s="205">
        <f t="shared" si="9"/>
        <v>0</v>
      </c>
      <c r="K62" s="206"/>
      <c r="L62" s="208">
        <f t="shared" si="11"/>
        <v>58</v>
      </c>
      <c r="M62" s="208">
        <f t="shared" si="10"/>
        <v>145</v>
      </c>
    </row>
    <row r="63" spans="1:13" ht="12.75" customHeight="1" x14ac:dyDescent="0.2">
      <c r="A63" s="210">
        <f t="shared" si="0"/>
        <v>180</v>
      </c>
      <c r="B63" s="205">
        <f t="shared" si="1"/>
        <v>1</v>
      </c>
      <c r="C63" s="206">
        <f t="shared" si="2"/>
        <v>0</v>
      </c>
      <c r="D63" s="205">
        <f t="shared" si="3"/>
        <v>0</v>
      </c>
      <c r="E63" s="206">
        <f t="shared" si="4"/>
        <v>1</v>
      </c>
      <c r="F63" s="205">
        <f t="shared" si="5"/>
        <v>0</v>
      </c>
      <c r="G63" s="206">
        <f t="shared" si="6"/>
        <v>0</v>
      </c>
      <c r="H63" s="205">
        <f t="shared" si="7"/>
        <v>0</v>
      </c>
      <c r="I63" s="206">
        <f t="shared" si="8"/>
        <v>1</v>
      </c>
      <c r="J63" s="205">
        <f t="shared" si="9"/>
        <v>1</v>
      </c>
      <c r="K63" s="206"/>
      <c r="L63" s="208">
        <f t="shared" si="11"/>
        <v>59</v>
      </c>
      <c r="M63" s="208">
        <f t="shared" si="10"/>
        <v>147.5</v>
      </c>
    </row>
    <row r="64" spans="1:13" ht="12.75" customHeight="1" x14ac:dyDescent="0.2">
      <c r="A64" s="210">
        <f t="shared" si="0"/>
        <v>182.5</v>
      </c>
      <c r="B64" s="205">
        <f t="shared" si="1"/>
        <v>1</v>
      </c>
      <c r="C64" s="206">
        <f t="shared" si="2"/>
        <v>0</v>
      </c>
      <c r="D64" s="205">
        <f t="shared" si="3"/>
        <v>0</v>
      </c>
      <c r="E64" s="206">
        <f t="shared" si="4"/>
        <v>1</v>
      </c>
      <c r="F64" s="205">
        <f t="shared" si="5"/>
        <v>0</v>
      </c>
      <c r="G64" s="206">
        <f t="shared" si="6"/>
        <v>0</v>
      </c>
      <c r="H64" s="205">
        <f t="shared" si="7"/>
        <v>1</v>
      </c>
      <c r="I64" s="206">
        <f t="shared" si="8"/>
        <v>0</v>
      </c>
      <c r="J64" s="205">
        <f t="shared" si="9"/>
        <v>0</v>
      </c>
      <c r="K64" s="206"/>
      <c r="L64" s="208">
        <f t="shared" si="11"/>
        <v>60</v>
      </c>
      <c r="M64" s="208">
        <f t="shared" si="10"/>
        <v>150</v>
      </c>
    </row>
    <row r="65" spans="1:13" ht="12.75" customHeight="1" x14ac:dyDescent="0.2">
      <c r="A65" s="210">
        <f t="shared" si="0"/>
        <v>185</v>
      </c>
      <c r="B65" s="205">
        <f t="shared" si="1"/>
        <v>1</v>
      </c>
      <c r="C65" s="206">
        <f t="shared" si="2"/>
        <v>0</v>
      </c>
      <c r="D65" s="205">
        <f t="shared" si="3"/>
        <v>0</v>
      </c>
      <c r="E65" s="206">
        <f t="shared" si="4"/>
        <v>1</v>
      </c>
      <c r="F65" s="205">
        <f t="shared" si="5"/>
        <v>0</v>
      </c>
      <c r="G65" s="206">
        <f t="shared" si="6"/>
        <v>0</v>
      </c>
      <c r="H65" s="205">
        <f t="shared" si="7"/>
        <v>1</v>
      </c>
      <c r="I65" s="206">
        <f t="shared" si="8"/>
        <v>0</v>
      </c>
      <c r="J65" s="205">
        <f t="shared" si="9"/>
        <v>1</v>
      </c>
      <c r="K65" s="206"/>
      <c r="L65" s="208">
        <f t="shared" si="11"/>
        <v>61</v>
      </c>
      <c r="M65" s="208">
        <f t="shared" si="10"/>
        <v>152.5</v>
      </c>
    </row>
    <row r="66" spans="1:13" ht="12.75" customHeight="1" x14ac:dyDescent="0.2">
      <c r="A66" s="210">
        <f t="shared" si="0"/>
        <v>187.5</v>
      </c>
      <c r="B66" s="205">
        <f t="shared" si="1"/>
        <v>1</v>
      </c>
      <c r="C66" s="206">
        <f t="shared" si="2"/>
        <v>0</v>
      </c>
      <c r="D66" s="205">
        <f t="shared" si="3"/>
        <v>0</v>
      </c>
      <c r="E66" s="206">
        <f t="shared" si="4"/>
        <v>1</v>
      </c>
      <c r="F66" s="205">
        <f t="shared" si="5"/>
        <v>0</v>
      </c>
      <c r="G66" s="206">
        <f t="shared" si="6"/>
        <v>0</v>
      </c>
      <c r="H66" s="205">
        <f t="shared" si="7"/>
        <v>1</v>
      </c>
      <c r="I66" s="206">
        <f t="shared" si="8"/>
        <v>1</v>
      </c>
      <c r="J66" s="205">
        <f t="shared" si="9"/>
        <v>0</v>
      </c>
      <c r="K66" s="206"/>
      <c r="L66" s="208">
        <f t="shared" si="11"/>
        <v>62</v>
      </c>
      <c r="M66" s="208">
        <f t="shared" si="10"/>
        <v>155</v>
      </c>
    </row>
    <row r="67" spans="1:13" ht="12.75" customHeight="1" x14ac:dyDescent="0.2">
      <c r="A67" s="210">
        <f t="shared" si="0"/>
        <v>190</v>
      </c>
      <c r="B67" s="205">
        <f t="shared" si="1"/>
        <v>1</v>
      </c>
      <c r="C67" s="206">
        <f t="shared" si="2"/>
        <v>0</v>
      </c>
      <c r="D67" s="205">
        <f t="shared" si="3"/>
        <v>0</v>
      </c>
      <c r="E67" s="206">
        <f t="shared" si="4"/>
        <v>1</v>
      </c>
      <c r="F67" s="205">
        <f t="shared" si="5"/>
        <v>0</v>
      </c>
      <c r="G67" s="206">
        <f t="shared" si="6"/>
        <v>0</v>
      </c>
      <c r="H67" s="205">
        <f t="shared" si="7"/>
        <v>1</v>
      </c>
      <c r="I67" s="206">
        <f t="shared" si="8"/>
        <v>1</v>
      </c>
      <c r="J67" s="205">
        <f t="shared" si="9"/>
        <v>1</v>
      </c>
      <c r="K67" s="206"/>
      <c r="L67" s="208">
        <f t="shared" si="11"/>
        <v>63</v>
      </c>
      <c r="M67" s="208">
        <f t="shared" si="10"/>
        <v>157.5</v>
      </c>
    </row>
    <row r="68" spans="1:13" ht="12.75" customHeight="1" x14ac:dyDescent="0.2">
      <c r="A68" s="210">
        <f t="shared" si="0"/>
        <v>192.5</v>
      </c>
      <c r="B68" s="205">
        <f t="shared" si="1"/>
        <v>1</v>
      </c>
      <c r="C68" s="206">
        <f t="shared" si="2"/>
        <v>0</v>
      </c>
      <c r="D68" s="205">
        <f t="shared" si="3"/>
        <v>0</v>
      </c>
      <c r="E68" s="206">
        <f t="shared" si="4"/>
        <v>1</v>
      </c>
      <c r="F68" s="205">
        <f t="shared" si="5"/>
        <v>0</v>
      </c>
      <c r="G68" s="206">
        <f t="shared" si="6"/>
        <v>1</v>
      </c>
      <c r="H68" s="205">
        <f t="shared" si="7"/>
        <v>0</v>
      </c>
      <c r="I68" s="206">
        <f t="shared" si="8"/>
        <v>0</v>
      </c>
      <c r="J68" s="205">
        <f t="shared" si="9"/>
        <v>0</v>
      </c>
      <c r="K68" s="206"/>
      <c r="L68" s="208">
        <f t="shared" si="11"/>
        <v>64</v>
      </c>
      <c r="M68" s="208">
        <f t="shared" si="10"/>
        <v>160</v>
      </c>
    </row>
    <row r="69" spans="1:13" ht="12.75" customHeight="1" x14ac:dyDescent="0.2">
      <c r="A69" s="210">
        <f t="shared" ref="A69:A132" si="12">IF(M69+$K$2&gt;$L$1,0,M69+$K$2)</f>
        <v>195</v>
      </c>
      <c r="B69" s="205">
        <f t="shared" ref="B69:B132" si="13">IF(A69=0,0,MIN($B$1/2,INT(M69/(2*$B$2))))</f>
        <v>1</v>
      </c>
      <c r="C69" s="206">
        <f t="shared" ref="C69:C132" si="14">IF(A69=0,0,MIN($C$1/2,INT(($M69-2*$B69*$B$2)/(2*$C$2))))</f>
        <v>0</v>
      </c>
      <c r="D69" s="205">
        <f t="shared" ref="D69:D132" si="15">IF(A69=0,0,MIN($D$1/2,INT(($M69-2*$B69*$B$2-2*$C69*$C$2)/(2*$D$2))))</f>
        <v>0</v>
      </c>
      <c r="E69" s="206">
        <f t="shared" ref="E69:E132" si="16">IF(A69=0,0,MIN($E$1/2,INT(($M69-2*$B69*$B$2-2*$C69*$C$2-2*$D69*$D$2)/(2*$E$2))))</f>
        <v>1</v>
      </c>
      <c r="F69" s="205">
        <f t="shared" ref="F69:F132" si="17">IF(A69=0,0,MIN($F$1/2,INT(($M69-2*$B69*$B$2-2*$C69*$C$2-2*$D69*$D$2-2*$E69*$E$2)/(2*$F$2))))</f>
        <v>0</v>
      </c>
      <c r="G69" s="206">
        <f t="shared" ref="G69:G132" si="18">IF(A69=0,0,MIN($G$1/2,INT(($M69-2*$B69*$B$2-2*$C69*$C$2-2*$D69*$D$2-2*$E69*$E$2-2*$F69*$F$2)/(2*$G$2))))</f>
        <v>1</v>
      </c>
      <c r="H69" s="205">
        <f t="shared" ref="H69:H132" si="19">IF(A69=0,0,MIN($H$1/2,INT(($M69-2*$B69*$B$2-2*$C69*$C$2-2*$D69*$D$2-2*$E69*$E$2-2*$F69*$F$2-2*$G69*$G$2)/(2*$H$2))))</f>
        <v>0</v>
      </c>
      <c r="I69" s="206">
        <f t="shared" ref="I69:I132" si="20">IF(A69=0,0,MIN($I$1/2,INT(($M69-2*$B69*$B$2-2*$C69*$C$2-2*$D69*$D$2-2*$E69*$E$2-2*$F69*$F$2-2*$G69*$G$2-2*$H69*$H$2)/(2*$I$2))))</f>
        <v>0</v>
      </c>
      <c r="J69" s="205">
        <f t="shared" ref="J69:J132" si="21">IF(A69=0,0,MIN($J$1/2,INT(($M69-2*$B69*$B$2-2*$C69*$C$2-2*$D69*$D$2-2*$E69*$E$2-2*$F69*$F$2-2*$G69*$G$2-2*$H69*$H$2-2*$I69*$I$2)/(2*$J$2))))</f>
        <v>1</v>
      </c>
      <c r="K69" s="206"/>
      <c r="L69" s="208">
        <f t="shared" si="11"/>
        <v>65</v>
      </c>
      <c r="M69" s="208">
        <f t="shared" ref="M69:M132" si="22">IF($A$2="Pounds",5*L69,2.5*L69)</f>
        <v>162.5</v>
      </c>
    </row>
    <row r="70" spans="1:13" ht="12.75" customHeight="1" x14ac:dyDescent="0.2">
      <c r="A70" s="210">
        <f t="shared" si="12"/>
        <v>197.5</v>
      </c>
      <c r="B70" s="205">
        <f t="shared" si="13"/>
        <v>1</v>
      </c>
      <c r="C70" s="206">
        <f t="shared" si="14"/>
        <v>0</v>
      </c>
      <c r="D70" s="205">
        <f t="shared" si="15"/>
        <v>0</v>
      </c>
      <c r="E70" s="206">
        <f t="shared" si="16"/>
        <v>1</v>
      </c>
      <c r="F70" s="205">
        <f t="shared" si="17"/>
        <v>0</v>
      </c>
      <c r="G70" s="206">
        <f t="shared" si="18"/>
        <v>1</v>
      </c>
      <c r="H70" s="205">
        <f t="shared" si="19"/>
        <v>0</v>
      </c>
      <c r="I70" s="206">
        <f t="shared" si="20"/>
        <v>1</v>
      </c>
      <c r="J70" s="205">
        <f t="shared" si="21"/>
        <v>0</v>
      </c>
      <c r="K70" s="206"/>
      <c r="L70" s="208">
        <f t="shared" si="11"/>
        <v>66</v>
      </c>
      <c r="M70" s="208">
        <f t="shared" si="22"/>
        <v>165</v>
      </c>
    </row>
    <row r="71" spans="1:13" ht="12.75" customHeight="1" x14ac:dyDescent="0.2">
      <c r="A71" s="210">
        <f t="shared" si="12"/>
        <v>200</v>
      </c>
      <c r="B71" s="205">
        <f t="shared" si="13"/>
        <v>1</v>
      </c>
      <c r="C71" s="206">
        <f t="shared" si="14"/>
        <v>0</v>
      </c>
      <c r="D71" s="205">
        <f t="shared" si="15"/>
        <v>0</v>
      </c>
      <c r="E71" s="206">
        <f t="shared" si="16"/>
        <v>1</v>
      </c>
      <c r="F71" s="205">
        <f t="shared" si="17"/>
        <v>0</v>
      </c>
      <c r="G71" s="206">
        <f t="shared" si="18"/>
        <v>1</v>
      </c>
      <c r="H71" s="205">
        <f t="shared" si="19"/>
        <v>0</v>
      </c>
      <c r="I71" s="206">
        <f t="shared" si="20"/>
        <v>1</v>
      </c>
      <c r="J71" s="205">
        <f t="shared" si="21"/>
        <v>1</v>
      </c>
      <c r="K71" s="206"/>
      <c r="L71" s="208">
        <f t="shared" si="11"/>
        <v>67</v>
      </c>
      <c r="M71" s="208">
        <f t="shared" si="22"/>
        <v>167.5</v>
      </c>
    </row>
    <row r="72" spans="1:13" ht="12.75" customHeight="1" x14ac:dyDescent="0.2">
      <c r="A72" s="210">
        <f t="shared" si="12"/>
        <v>202.5</v>
      </c>
      <c r="B72" s="205">
        <f t="shared" si="13"/>
        <v>1</v>
      </c>
      <c r="C72" s="206">
        <f t="shared" si="14"/>
        <v>0</v>
      </c>
      <c r="D72" s="205">
        <f t="shared" si="15"/>
        <v>0</v>
      </c>
      <c r="E72" s="206">
        <f t="shared" si="16"/>
        <v>1</v>
      </c>
      <c r="F72" s="205">
        <f t="shared" si="17"/>
        <v>1</v>
      </c>
      <c r="G72" s="206">
        <f t="shared" si="18"/>
        <v>0</v>
      </c>
      <c r="H72" s="205">
        <f t="shared" si="19"/>
        <v>0</v>
      </c>
      <c r="I72" s="206">
        <f t="shared" si="20"/>
        <v>0</v>
      </c>
      <c r="J72" s="205">
        <f t="shared" si="21"/>
        <v>0</v>
      </c>
      <c r="K72" s="206"/>
      <c r="L72" s="208">
        <f t="shared" si="11"/>
        <v>68</v>
      </c>
      <c r="M72" s="208">
        <f t="shared" si="22"/>
        <v>170</v>
      </c>
    </row>
    <row r="73" spans="1:13" ht="12.75" customHeight="1" x14ac:dyDescent="0.2">
      <c r="A73" s="210">
        <f t="shared" si="12"/>
        <v>205</v>
      </c>
      <c r="B73" s="205">
        <f t="shared" si="13"/>
        <v>1</v>
      </c>
      <c r="C73" s="206">
        <f t="shared" si="14"/>
        <v>0</v>
      </c>
      <c r="D73" s="205">
        <f t="shared" si="15"/>
        <v>0</v>
      </c>
      <c r="E73" s="206">
        <f t="shared" si="16"/>
        <v>1</v>
      </c>
      <c r="F73" s="205">
        <f t="shared" si="17"/>
        <v>1</v>
      </c>
      <c r="G73" s="206">
        <f t="shared" si="18"/>
        <v>0</v>
      </c>
      <c r="H73" s="205">
        <f t="shared" si="19"/>
        <v>0</v>
      </c>
      <c r="I73" s="206">
        <f t="shared" si="20"/>
        <v>0</v>
      </c>
      <c r="J73" s="205">
        <f t="shared" si="21"/>
        <v>1</v>
      </c>
      <c r="K73" s="206"/>
      <c r="L73" s="208">
        <f t="shared" si="11"/>
        <v>69</v>
      </c>
      <c r="M73" s="208">
        <f t="shared" si="22"/>
        <v>172.5</v>
      </c>
    </row>
    <row r="74" spans="1:13" ht="12.75" customHeight="1" x14ac:dyDescent="0.2">
      <c r="A74" s="210">
        <f t="shared" si="12"/>
        <v>207.5</v>
      </c>
      <c r="B74" s="205">
        <f t="shared" si="13"/>
        <v>1</v>
      </c>
      <c r="C74" s="206">
        <f t="shared" si="14"/>
        <v>0</v>
      </c>
      <c r="D74" s="205">
        <f t="shared" si="15"/>
        <v>0</v>
      </c>
      <c r="E74" s="206">
        <f t="shared" si="16"/>
        <v>1</v>
      </c>
      <c r="F74" s="205">
        <f t="shared" si="17"/>
        <v>1</v>
      </c>
      <c r="G74" s="206">
        <f t="shared" si="18"/>
        <v>0</v>
      </c>
      <c r="H74" s="205">
        <f t="shared" si="19"/>
        <v>0</v>
      </c>
      <c r="I74" s="206">
        <f t="shared" si="20"/>
        <v>1</v>
      </c>
      <c r="J74" s="205">
        <f t="shared" si="21"/>
        <v>0</v>
      </c>
      <c r="K74" s="206"/>
      <c r="L74" s="208">
        <f t="shared" si="11"/>
        <v>70</v>
      </c>
      <c r="M74" s="208">
        <f t="shared" si="22"/>
        <v>175</v>
      </c>
    </row>
    <row r="75" spans="1:13" ht="12.75" customHeight="1" x14ac:dyDescent="0.2">
      <c r="A75" s="210">
        <f t="shared" si="12"/>
        <v>210</v>
      </c>
      <c r="B75" s="205">
        <f t="shared" si="13"/>
        <v>1</v>
      </c>
      <c r="C75" s="206">
        <f t="shared" si="14"/>
        <v>0</v>
      </c>
      <c r="D75" s="205">
        <f t="shared" si="15"/>
        <v>0</v>
      </c>
      <c r="E75" s="206">
        <f t="shared" si="16"/>
        <v>1</v>
      </c>
      <c r="F75" s="205">
        <f t="shared" si="17"/>
        <v>1</v>
      </c>
      <c r="G75" s="206">
        <f t="shared" si="18"/>
        <v>0</v>
      </c>
      <c r="H75" s="205">
        <f t="shared" si="19"/>
        <v>0</v>
      </c>
      <c r="I75" s="206">
        <f t="shared" si="20"/>
        <v>1</v>
      </c>
      <c r="J75" s="205">
        <f t="shared" si="21"/>
        <v>1</v>
      </c>
      <c r="K75" s="206"/>
      <c r="L75" s="208">
        <f t="shared" si="11"/>
        <v>71</v>
      </c>
      <c r="M75" s="208">
        <f t="shared" si="22"/>
        <v>177.5</v>
      </c>
    </row>
    <row r="76" spans="1:13" ht="12.75" customHeight="1" x14ac:dyDescent="0.2">
      <c r="A76" s="210">
        <f t="shared" si="12"/>
        <v>212.5</v>
      </c>
      <c r="B76" s="205">
        <f t="shared" si="13"/>
        <v>1</v>
      </c>
      <c r="C76" s="206">
        <f t="shared" si="14"/>
        <v>0</v>
      </c>
      <c r="D76" s="205">
        <f t="shared" si="15"/>
        <v>0</v>
      </c>
      <c r="E76" s="206">
        <f t="shared" si="16"/>
        <v>2</v>
      </c>
      <c r="F76" s="205">
        <f t="shared" si="17"/>
        <v>0</v>
      </c>
      <c r="G76" s="206">
        <f t="shared" si="18"/>
        <v>0</v>
      </c>
      <c r="H76" s="205">
        <f t="shared" si="19"/>
        <v>0</v>
      </c>
      <c r="I76" s="206">
        <f t="shared" si="20"/>
        <v>0</v>
      </c>
      <c r="J76" s="205">
        <f t="shared" si="21"/>
        <v>0</v>
      </c>
      <c r="K76" s="206"/>
      <c r="L76" s="208">
        <f t="shared" si="11"/>
        <v>72</v>
      </c>
      <c r="M76" s="208">
        <f t="shared" si="22"/>
        <v>180</v>
      </c>
    </row>
    <row r="77" spans="1:13" ht="12.75" customHeight="1" x14ac:dyDescent="0.2">
      <c r="A77" s="210">
        <f t="shared" si="12"/>
        <v>215</v>
      </c>
      <c r="B77" s="205">
        <f t="shared" si="13"/>
        <v>1</v>
      </c>
      <c r="C77" s="206">
        <f t="shared" si="14"/>
        <v>0</v>
      </c>
      <c r="D77" s="205">
        <f t="shared" si="15"/>
        <v>0</v>
      </c>
      <c r="E77" s="206">
        <f t="shared" si="16"/>
        <v>2</v>
      </c>
      <c r="F77" s="205">
        <f t="shared" si="17"/>
        <v>0</v>
      </c>
      <c r="G77" s="206">
        <f t="shared" si="18"/>
        <v>0</v>
      </c>
      <c r="H77" s="205">
        <f t="shared" si="19"/>
        <v>0</v>
      </c>
      <c r="I77" s="206">
        <f t="shared" si="20"/>
        <v>0</v>
      </c>
      <c r="J77" s="205">
        <f t="shared" si="21"/>
        <v>1</v>
      </c>
      <c r="K77" s="206"/>
      <c r="L77" s="208">
        <f t="shared" ref="L77:L140" si="23">L76+1</f>
        <v>73</v>
      </c>
      <c r="M77" s="208">
        <f t="shared" si="22"/>
        <v>182.5</v>
      </c>
    </row>
    <row r="78" spans="1:13" ht="12.75" customHeight="1" x14ac:dyDescent="0.2">
      <c r="A78" s="210">
        <f t="shared" si="12"/>
        <v>217.5</v>
      </c>
      <c r="B78" s="205">
        <f t="shared" si="13"/>
        <v>1</v>
      </c>
      <c r="C78" s="206">
        <f t="shared" si="14"/>
        <v>0</v>
      </c>
      <c r="D78" s="205">
        <f t="shared" si="15"/>
        <v>0</v>
      </c>
      <c r="E78" s="206">
        <f t="shared" si="16"/>
        <v>2</v>
      </c>
      <c r="F78" s="205">
        <f t="shared" si="17"/>
        <v>0</v>
      </c>
      <c r="G78" s="206">
        <f t="shared" si="18"/>
        <v>0</v>
      </c>
      <c r="H78" s="205">
        <f t="shared" si="19"/>
        <v>0</v>
      </c>
      <c r="I78" s="206">
        <f t="shared" si="20"/>
        <v>1</v>
      </c>
      <c r="J78" s="205">
        <f t="shared" si="21"/>
        <v>0</v>
      </c>
      <c r="K78" s="206"/>
      <c r="L78" s="208">
        <f t="shared" si="23"/>
        <v>74</v>
      </c>
      <c r="M78" s="208">
        <f t="shared" si="22"/>
        <v>185</v>
      </c>
    </row>
    <row r="79" spans="1:13" ht="12.75" customHeight="1" x14ac:dyDescent="0.2">
      <c r="A79" s="210">
        <f t="shared" si="12"/>
        <v>220</v>
      </c>
      <c r="B79" s="205">
        <f t="shared" si="13"/>
        <v>1</v>
      </c>
      <c r="C79" s="206">
        <f t="shared" si="14"/>
        <v>0</v>
      </c>
      <c r="D79" s="205">
        <f t="shared" si="15"/>
        <v>0</v>
      </c>
      <c r="E79" s="206">
        <f t="shared" si="16"/>
        <v>2</v>
      </c>
      <c r="F79" s="205">
        <f t="shared" si="17"/>
        <v>0</v>
      </c>
      <c r="G79" s="206">
        <f t="shared" si="18"/>
        <v>0</v>
      </c>
      <c r="H79" s="205">
        <f t="shared" si="19"/>
        <v>0</v>
      </c>
      <c r="I79" s="206">
        <f t="shared" si="20"/>
        <v>1</v>
      </c>
      <c r="J79" s="205">
        <f t="shared" si="21"/>
        <v>1</v>
      </c>
      <c r="K79" s="206"/>
      <c r="L79" s="208">
        <f t="shared" si="23"/>
        <v>75</v>
      </c>
      <c r="M79" s="208">
        <f t="shared" si="22"/>
        <v>187.5</v>
      </c>
    </row>
    <row r="80" spans="1:13" ht="12.75" customHeight="1" x14ac:dyDescent="0.2">
      <c r="A80" s="210">
        <f t="shared" si="12"/>
        <v>222.5</v>
      </c>
      <c r="B80" s="205">
        <f t="shared" si="13"/>
        <v>1</v>
      </c>
      <c r="C80" s="206">
        <f t="shared" si="14"/>
        <v>0</v>
      </c>
      <c r="D80" s="205">
        <f t="shared" si="15"/>
        <v>0</v>
      </c>
      <c r="E80" s="206">
        <f t="shared" si="16"/>
        <v>2</v>
      </c>
      <c r="F80" s="205">
        <f t="shared" si="17"/>
        <v>0</v>
      </c>
      <c r="G80" s="206">
        <f t="shared" si="18"/>
        <v>0</v>
      </c>
      <c r="H80" s="205">
        <f t="shared" si="19"/>
        <v>1</v>
      </c>
      <c r="I80" s="206">
        <f t="shared" si="20"/>
        <v>0</v>
      </c>
      <c r="J80" s="205">
        <f t="shared" si="21"/>
        <v>0</v>
      </c>
      <c r="K80" s="206"/>
      <c r="L80" s="208">
        <f t="shared" si="23"/>
        <v>76</v>
      </c>
      <c r="M80" s="208">
        <f t="shared" si="22"/>
        <v>190</v>
      </c>
    </row>
    <row r="81" spans="1:13" ht="12.75" customHeight="1" x14ac:dyDescent="0.2">
      <c r="A81" s="210">
        <f t="shared" si="12"/>
        <v>225</v>
      </c>
      <c r="B81" s="205">
        <f t="shared" si="13"/>
        <v>1</v>
      </c>
      <c r="C81" s="206">
        <f t="shared" si="14"/>
        <v>0</v>
      </c>
      <c r="D81" s="205">
        <f t="shared" si="15"/>
        <v>0</v>
      </c>
      <c r="E81" s="206">
        <f t="shared" si="16"/>
        <v>2</v>
      </c>
      <c r="F81" s="205">
        <f t="shared" si="17"/>
        <v>0</v>
      </c>
      <c r="G81" s="206">
        <f t="shared" si="18"/>
        <v>0</v>
      </c>
      <c r="H81" s="205">
        <f t="shared" si="19"/>
        <v>1</v>
      </c>
      <c r="I81" s="206">
        <f t="shared" si="20"/>
        <v>0</v>
      </c>
      <c r="J81" s="205">
        <f t="shared" si="21"/>
        <v>1</v>
      </c>
      <c r="K81" s="206"/>
      <c r="L81" s="208">
        <f t="shared" si="23"/>
        <v>77</v>
      </c>
      <c r="M81" s="208">
        <f t="shared" si="22"/>
        <v>192.5</v>
      </c>
    </row>
    <row r="82" spans="1:13" ht="12.75" customHeight="1" x14ac:dyDescent="0.2">
      <c r="A82" s="210">
        <f t="shared" si="12"/>
        <v>227.5</v>
      </c>
      <c r="B82" s="205">
        <f t="shared" si="13"/>
        <v>1</v>
      </c>
      <c r="C82" s="206">
        <f t="shared" si="14"/>
        <v>0</v>
      </c>
      <c r="D82" s="205">
        <f t="shared" si="15"/>
        <v>0</v>
      </c>
      <c r="E82" s="206">
        <f t="shared" si="16"/>
        <v>2</v>
      </c>
      <c r="F82" s="205">
        <f t="shared" si="17"/>
        <v>0</v>
      </c>
      <c r="G82" s="206">
        <f t="shared" si="18"/>
        <v>0</v>
      </c>
      <c r="H82" s="205">
        <f t="shared" si="19"/>
        <v>1</v>
      </c>
      <c r="I82" s="206">
        <f t="shared" si="20"/>
        <v>1</v>
      </c>
      <c r="J82" s="205">
        <f t="shared" si="21"/>
        <v>0</v>
      </c>
      <c r="K82" s="206"/>
      <c r="L82" s="208">
        <f t="shared" si="23"/>
        <v>78</v>
      </c>
      <c r="M82" s="208">
        <f t="shared" si="22"/>
        <v>195</v>
      </c>
    </row>
    <row r="83" spans="1:13" ht="12.75" customHeight="1" x14ac:dyDescent="0.2">
      <c r="A83" s="210">
        <f t="shared" si="12"/>
        <v>230</v>
      </c>
      <c r="B83" s="205">
        <f t="shared" si="13"/>
        <v>1</v>
      </c>
      <c r="C83" s="206">
        <f t="shared" si="14"/>
        <v>0</v>
      </c>
      <c r="D83" s="205">
        <f t="shared" si="15"/>
        <v>0</v>
      </c>
      <c r="E83" s="206">
        <f t="shared" si="16"/>
        <v>2</v>
      </c>
      <c r="F83" s="205">
        <f t="shared" si="17"/>
        <v>0</v>
      </c>
      <c r="G83" s="206">
        <f t="shared" si="18"/>
        <v>0</v>
      </c>
      <c r="H83" s="205">
        <f t="shared" si="19"/>
        <v>1</v>
      </c>
      <c r="I83" s="206">
        <f t="shared" si="20"/>
        <v>1</v>
      </c>
      <c r="J83" s="205">
        <f t="shared" si="21"/>
        <v>1</v>
      </c>
      <c r="K83" s="206"/>
      <c r="L83" s="208">
        <f t="shared" si="23"/>
        <v>79</v>
      </c>
      <c r="M83" s="208">
        <f t="shared" si="22"/>
        <v>197.5</v>
      </c>
    </row>
    <row r="84" spans="1:13" ht="12.75" customHeight="1" x14ac:dyDescent="0.2">
      <c r="A84" s="210">
        <f t="shared" si="12"/>
        <v>232.5</v>
      </c>
      <c r="B84" s="205">
        <f t="shared" si="13"/>
        <v>2</v>
      </c>
      <c r="C84" s="206">
        <f t="shared" si="14"/>
        <v>0</v>
      </c>
      <c r="D84" s="205">
        <f t="shared" si="15"/>
        <v>0</v>
      </c>
      <c r="E84" s="206">
        <f t="shared" si="16"/>
        <v>0</v>
      </c>
      <c r="F84" s="205">
        <f t="shared" si="17"/>
        <v>0</v>
      </c>
      <c r="G84" s="206">
        <f t="shared" si="18"/>
        <v>0</v>
      </c>
      <c r="H84" s="205">
        <f t="shared" si="19"/>
        <v>0</v>
      </c>
      <c r="I84" s="206">
        <f t="shared" si="20"/>
        <v>0</v>
      </c>
      <c r="J84" s="205">
        <f t="shared" si="21"/>
        <v>0</v>
      </c>
      <c r="K84" s="206"/>
      <c r="L84" s="208">
        <f t="shared" si="23"/>
        <v>80</v>
      </c>
      <c r="M84" s="208">
        <f t="shared" si="22"/>
        <v>200</v>
      </c>
    </row>
    <row r="85" spans="1:13" ht="12.75" customHeight="1" x14ac:dyDescent="0.2">
      <c r="A85" s="210">
        <f t="shared" si="12"/>
        <v>235</v>
      </c>
      <c r="B85" s="205">
        <f t="shared" si="13"/>
        <v>2</v>
      </c>
      <c r="C85" s="206">
        <f t="shared" si="14"/>
        <v>0</v>
      </c>
      <c r="D85" s="205">
        <f t="shared" si="15"/>
        <v>0</v>
      </c>
      <c r="E85" s="206">
        <f t="shared" si="16"/>
        <v>0</v>
      </c>
      <c r="F85" s="205">
        <f t="shared" si="17"/>
        <v>0</v>
      </c>
      <c r="G85" s="206">
        <f t="shared" si="18"/>
        <v>0</v>
      </c>
      <c r="H85" s="205">
        <f t="shared" si="19"/>
        <v>0</v>
      </c>
      <c r="I85" s="206">
        <f t="shared" si="20"/>
        <v>0</v>
      </c>
      <c r="J85" s="205">
        <f t="shared" si="21"/>
        <v>1</v>
      </c>
      <c r="K85" s="206"/>
      <c r="L85" s="208">
        <f t="shared" si="23"/>
        <v>81</v>
      </c>
      <c r="M85" s="208">
        <f t="shared" si="22"/>
        <v>202.5</v>
      </c>
    </row>
    <row r="86" spans="1:13" ht="12.75" customHeight="1" x14ac:dyDescent="0.2">
      <c r="A86" s="210">
        <f t="shared" si="12"/>
        <v>237.5</v>
      </c>
      <c r="B86" s="205">
        <f t="shared" si="13"/>
        <v>2</v>
      </c>
      <c r="C86" s="206">
        <f t="shared" si="14"/>
        <v>0</v>
      </c>
      <c r="D86" s="205">
        <f t="shared" si="15"/>
        <v>0</v>
      </c>
      <c r="E86" s="206">
        <f t="shared" si="16"/>
        <v>0</v>
      </c>
      <c r="F86" s="205">
        <f t="shared" si="17"/>
        <v>0</v>
      </c>
      <c r="G86" s="206">
        <f t="shared" si="18"/>
        <v>0</v>
      </c>
      <c r="H86" s="205">
        <f t="shared" si="19"/>
        <v>0</v>
      </c>
      <c r="I86" s="206">
        <f t="shared" si="20"/>
        <v>1</v>
      </c>
      <c r="J86" s="205">
        <f t="shared" si="21"/>
        <v>0</v>
      </c>
      <c r="K86" s="206"/>
      <c r="L86" s="208">
        <f t="shared" si="23"/>
        <v>82</v>
      </c>
      <c r="M86" s="208">
        <f t="shared" si="22"/>
        <v>205</v>
      </c>
    </row>
    <row r="87" spans="1:13" ht="12.75" customHeight="1" x14ac:dyDescent="0.2">
      <c r="A87" s="210">
        <f t="shared" si="12"/>
        <v>240</v>
      </c>
      <c r="B87" s="205">
        <f t="shared" si="13"/>
        <v>2</v>
      </c>
      <c r="C87" s="206">
        <f t="shared" si="14"/>
        <v>0</v>
      </c>
      <c r="D87" s="205">
        <f t="shared" si="15"/>
        <v>0</v>
      </c>
      <c r="E87" s="206">
        <f t="shared" si="16"/>
        <v>0</v>
      </c>
      <c r="F87" s="205">
        <f t="shared" si="17"/>
        <v>0</v>
      </c>
      <c r="G87" s="206">
        <f t="shared" si="18"/>
        <v>0</v>
      </c>
      <c r="H87" s="205">
        <f t="shared" si="19"/>
        <v>0</v>
      </c>
      <c r="I87" s="206">
        <f t="shared" si="20"/>
        <v>1</v>
      </c>
      <c r="J87" s="205">
        <f t="shared" si="21"/>
        <v>1</v>
      </c>
      <c r="K87" s="206"/>
      <c r="L87" s="208">
        <f t="shared" si="23"/>
        <v>83</v>
      </c>
      <c r="M87" s="208">
        <f t="shared" si="22"/>
        <v>207.5</v>
      </c>
    </row>
    <row r="88" spans="1:13" ht="12.75" customHeight="1" x14ac:dyDescent="0.2">
      <c r="A88" s="210">
        <f t="shared" si="12"/>
        <v>242.5</v>
      </c>
      <c r="B88" s="205">
        <f t="shared" si="13"/>
        <v>2</v>
      </c>
      <c r="C88" s="206">
        <f t="shared" si="14"/>
        <v>0</v>
      </c>
      <c r="D88" s="205">
        <f t="shared" si="15"/>
        <v>0</v>
      </c>
      <c r="E88" s="206">
        <f t="shared" si="16"/>
        <v>0</v>
      </c>
      <c r="F88" s="205">
        <f t="shared" si="17"/>
        <v>0</v>
      </c>
      <c r="G88" s="206">
        <f t="shared" si="18"/>
        <v>0</v>
      </c>
      <c r="H88" s="205">
        <f t="shared" si="19"/>
        <v>1</v>
      </c>
      <c r="I88" s="206">
        <f t="shared" si="20"/>
        <v>0</v>
      </c>
      <c r="J88" s="205">
        <f t="shared" si="21"/>
        <v>0</v>
      </c>
      <c r="K88" s="206"/>
      <c r="L88" s="208">
        <f t="shared" si="23"/>
        <v>84</v>
      </c>
      <c r="M88" s="208">
        <f t="shared" si="22"/>
        <v>210</v>
      </c>
    </row>
    <row r="89" spans="1:13" ht="12.75" customHeight="1" x14ac:dyDescent="0.2">
      <c r="A89" s="210">
        <f t="shared" si="12"/>
        <v>245</v>
      </c>
      <c r="B89" s="205">
        <f t="shared" si="13"/>
        <v>2</v>
      </c>
      <c r="C89" s="206">
        <f t="shared" si="14"/>
        <v>0</v>
      </c>
      <c r="D89" s="205">
        <f t="shared" si="15"/>
        <v>0</v>
      </c>
      <c r="E89" s="206">
        <f t="shared" si="16"/>
        <v>0</v>
      </c>
      <c r="F89" s="205">
        <f t="shared" si="17"/>
        <v>0</v>
      </c>
      <c r="G89" s="206">
        <f t="shared" si="18"/>
        <v>0</v>
      </c>
      <c r="H89" s="205">
        <f t="shared" si="19"/>
        <v>1</v>
      </c>
      <c r="I89" s="206">
        <f t="shared" si="20"/>
        <v>0</v>
      </c>
      <c r="J89" s="205">
        <f t="shared" si="21"/>
        <v>1</v>
      </c>
      <c r="K89" s="206"/>
      <c r="L89" s="208">
        <f t="shared" si="23"/>
        <v>85</v>
      </c>
      <c r="M89" s="208">
        <f t="shared" si="22"/>
        <v>212.5</v>
      </c>
    </row>
    <row r="90" spans="1:13" ht="12.75" customHeight="1" x14ac:dyDescent="0.2">
      <c r="A90" s="210">
        <f t="shared" si="12"/>
        <v>247.5</v>
      </c>
      <c r="B90" s="205">
        <f t="shared" si="13"/>
        <v>2</v>
      </c>
      <c r="C90" s="206">
        <f t="shared" si="14"/>
        <v>0</v>
      </c>
      <c r="D90" s="205">
        <f t="shared" si="15"/>
        <v>0</v>
      </c>
      <c r="E90" s="206">
        <f t="shared" si="16"/>
        <v>0</v>
      </c>
      <c r="F90" s="205">
        <f t="shared" si="17"/>
        <v>0</v>
      </c>
      <c r="G90" s="206">
        <f t="shared" si="18"/>
        <v>0</v>
      </c>
      <c r="H90" s="205">
        <f t="shared" si="19"/>
        <v>1</v>
      </c>
      <c r="I90" s="206">
        <f t="shared" si="20"/>
        <v>1</v>
      </c>
      <c r="J90" s="205">
        <f t="shared" si="21"/>
        <v>0</v>
      </c>
      <c r="K90" s="206"/>
      <c r="L90" s="208">
        <f t="shared" si="23"/>
        <v>86</v>
      </c>
      <c r="M90" s="208">
        <f t="shared" si="22"/>
        <v>215</v>
      </c>
    </row>
    <row r="91" spans="1:13" ht="12.75" customHeight="1" x14ac:dyDescent="0.2">
      <c r="A91" s="210">
        <f t="shared" si="12"/>
        <v>250</v>
      </c>
      <c r="B91" s="205">
        <f t="shared" si="13"/>
        <v>2</v>
      </c>
      <c r="C91" s="206">
        <f t="shared" si="14"/>
        <v>0</v>
      </c>
      <c r="D91" s="205">
        <f t="shared" si="15"/>
        <v>0</v>
      </c>
      <c r="E91" s="206">
        <f t="shared" si="16"/>
        <v>0</v>
      </c>
      <c r="F91" s="205">
        <f t="shared" si="17"/>
        <v>0</v>
      </c>
      <c r="G91" s="206">
        <f t="shared" si="18"/>
        <v>0</v>
      </c>
      <c r="H91" s="205">
        <f t="shared" si="19"/>
        <v>1</v>
      </c>
      <c r="I91" s="206">
        <f t="shared" si="20"/>
        <v>1</v>
      </c>
      <c r="J91" s="205">
        <f t="shared" si="21"/>
        <v>1</v>
      </c>
      <c r="K91" s="206"/>
      <c r="L91" s="208">
        <f t="shared" si="23"/>
        <v>87</v>
      </c>
      <c r="M91" s="208">
        <f t="shared" si="22"/>
        <v>217.5</v>
      </c>
    </row>
    <row r="92" spans="1:13" ht="12.75" customHeight="1" x14ac:dyDescent="0.2">
      <c r="A92" s="210">
        <f t="shared" si="12"/>
        <v>252.5</v>
      </c>
      <c r="B92" s="205">
        <f t="shared" si="13"/>
        <v>2</v>
      </c>
      <c r="C92" s="206">
        <f t="shared" si="14"/>
        <v>0</v>
      </c>
      <c r="D92" s="205">
        <f t="shared" si="15"/>
        <v>0</v>
      </c>
      <c r="E92" s="206">
        <f t="shared" si="16"/>
        <v>0</v>
      </c>
      <c r="F92" s="205">
        <f t="shared" si="17"/>
        <v>0</v>
      </c>
      <c r="G92" s="206">
        <f t="shared" si="18"/>
        <v>1</v>
      </c>
      <c r="H92" s="205">
        <f t="shared" si="19"/>
        <v>0</v>
      </c>
      <c r="I92" s="206">
        <f t="shared" si="20"/>
        <v>0</v>
      </c>
      <c r="J92" s="205">
        <f t="shared" si="21"/>
        <v>0</v>
      </c>
      <c r="K92" s="206"/>
      <c r="L92" s="208">
        <f t="shared" si="23"/>
        <v>88</v>
      </c>
      <c r="M92" s="208">
        <f t="shared" si="22"/>
        <v>220</v>
      </c>
    </row>
    <row r="93" spans="1:13" ht="12.75" customHeight="1" x14ac:dyDescent="0.2">
      <c r="A93" s="210">
        <f t="shared" si="12"/>
        <v>255</v>
      </c>
      <c r="B93" s="205">
        <f t="shared" si="13"/>
        <v>2</v>
      </c>
      <c r="C93" s="206">
        <f t="shared" si="14"/>
        <v>0</v>
      </c>
      <c r="D93" s="205">
        <f t="shared" si="15"/>
        <v>0</v>
      </c>
      <c r="E93" s="206">
        <f t="shared" si="16"/>
        <v>0</v>
      </c>
      <c r="F93" s="205">
        <f t="shared" si="17"/>
        <v>0</v>
      </c>
      <c r="G93" s="206">
        <f t="shared" si="18"/>
        <v>1</v>
      </c>
      <c r="H93" s="205">
        <f t="shared" si="19"/>
        <v>0</v>
      </c>
      <c r="I93" s="206">
        <f t="shared" si="20"/>
        <v>0</v>
      </c>
      <c r="J93" s="205">
        <f t="shared" si="21"/>
        <v>1</v>
      </c>
      <c r="K93" s="206"/>
      <c r="L93" s="208">
        <f t="shared" si="23"/>
        <v>89</v>
      </c>
      <c r="M93" s="208">
        <f t="shared" si="22"/>
        <v>222.5</v>
      </c>
    </row>
    <row r="94" spans="1:13" ht="12.75" customHeight="1" x14ac:dyDescent="0.2">
      <c r="A94" s="210">
        <f t="shared" si="12"/>
        <v>257.5</v>
      </c>
      <c r="B94" s="205">
        <f t="shared" si="13"/>
        <v>2</v>
      </c>
      <c r="C94" s="206">
        <f t="shared" si="14"/>
        <v>0</v>
      </c>
      <c r="D94" s="205">
        <f t="shared" si="15"/>
        <v>0</v>
      </c>
      <c r="E94" s="206">
        <f t="shared" si="16"/>
        <v>0</v>
      </c>
      <c r="F94" s="205">
        <f t="shared" si="17"/>
        <v>0</v>
      </c>
      <c r="G94" s="206">
        <f t="shared" si="18"/>
        <v>1</v>
      </c>
      <c r="H94" s="205">
        <f t="shared" si="19"/>
        <v>0</v>
      </c>
      <c r="I94" s="206">
        <f t="shared" si="20"/>
        <v>1</v>
      </c>
      <c r="J94" s="205">
        <f t="shared" si="21"/>
        <v>0</v>
      </c>
      <c r="K94" s="206"/>
      <c r="L94" s="208">
        <f t="shared" si="23"/>
        <v>90</v>
      </c>
      <c r="M94" s="208">
        <f t="shared" si="22"/>
        <v>225</v>
      </c>
    </row>
    <row r="95" spans="1:13" ht="12.75" customHeight="1" x14ac:dyDescent="0.2">
      <c r="A95" s="210">
        <f t="shared" si="12"/>
        <v>260</v>
      </c>
      <c r="B95" s="205">
        <f t="shared" si="13"/>
        <v>2</v>
      </c>
      <c r="C95" s="206">
        <f t="shared" si="14"/>
        <v>0</v>
      </c>
      <c r="D95" s="205">
        <f t="shared" si="15"/>
        <v>0</v>
      </c>
      <c r="E95" s="206">
        <f t="shared" si="16"/>
        <v>0</v>
      </c>
      <c r="F95" s="205">
        <f t="shared" si="17"/>
        <v>0</v>
      </c>
      <c r="G95" s="206">
        <f t="shared" si="18"/>
        <v>1</v>
      </c>
      <c r="H95" s="205">
        <f t="shared" si="19"/>
        <v>0</v>
      </c>
      <c r="I95" s="206">
        <f t="shared" si="20"/>
        <v>1</v>
      </c>
      <c r="J95" s="205">
        <f t="shared" si="21"/>
        <v>1</v>
      </c>
      <c r="K95" s="206"/>
      <c r="L95" s="208">
        <f t="shared" si="23"/>
        <v>91</v>
      </c>
      <c r="M95" s="208">
        <f t="shared" si="22"/>
        <v>227.5</v>
      </c>
    </row>
    <row r="96" spans="1:13" ht="12.75" customHeight="1" x14ac:dyDescent="0.2">
      <c r="A96" s="210">
        <f t="shared" si="12"/>
        <v>262.5</v>
      </c>
      <c r="B96" s="205">
        <f t="shared" si="13"/>
        <v>2</v>
      </c>
      <c r="C96" s="206">
        <f t="shared" si="14"/>
        <v>0</v>
      </c>
      <c r="D96" s="205">
        <f t="shared" si="15"/>
        <v>0</v>
      </c>
      <c r="E96" s="206">
        <f t="shared" si="16"/>
        <v>0</v>
      </c>
      <c r="F96" s="205">
        <f t="shared" si="17"/>
        <v>1</v>
      </c>
      <c r="G96" s="206">
        <f t="shared" si="18"/>
        <v>0</v>
      </c>
      <c r="H96" s="205">
        <f t="shared" si="19"/>
        <v>0</v>
      </c>
      <c r="I96" s="206">
        <f t="shared" si="20"/>
        <v>0</v>
      </c>
      <c r="J96" s="205">
        <f t="shared" si="21"/>
        <v>0</v>
      </c>
      <c r="K96" s="206"/>
      <c r="L96" s="208">
        <f t="shared" si="23"/>
        <v>92</v>
      </c>
      <c r="M96" s="208">
        <f t="shared" si="22"/>
        <v>230</v>
      </c>
    </row>
    <row r="97" spans="1:13" ht="12.75" customHeight="1" x14ac:dyDescent="0.2">
      <c r="A97" s="210">
        <f t="shared" si="12"/>
        <v>265</v>
      </c>
      <c r="B97" s="205">
        <f t="shared" si="13"/>
        <v>2</v>
      </c>
      <c r="C97" s="206">
        <f t="shared" si="14"/>
        <v>0</v>
      </c>
      <c r="D97" s="205">
        <f t="shared" si="15"/>
        <v>0</v>
      </c>
      <c r="E97" s="206">
        <f t="shared" si="16"/>
        <v>0</v>
      </c>
      <c r="F97" s="205">
        <f t="shared" si="17"/>
        <v>1</v>
      </c>
      <c r="G97" s="206">
        <f t="shared" si="18"/>
        <v>0</v>
      </c>
      <c r="H97" s="205">
        <f t="shared" si="19"/>
        <v>0</v>
      </c>
      <c r="I97" s="206">
        <f t="shared" si="20"/>
        <v>0</v>
      </c>
      <c r="J97" s="205">
        <f t="shared" si="21"/>
        <v>1</v>
      </c>
      <c r="K97" s="206"/>
      <c r="L97" s="208">
        <f t="shared" si="23"/>
        <v>93</v>
      </c>
      <c r="M97" s="208">
        <f t="shared" si="22"/>
        <v>232.5</v>
      </c>
    </row>
    <row r="98" spans="1:13" ht="12.75" customHeight="1" x14ac:dyDescent="0.2">
      <c r="A98" s="210">
        <f t="shared" si="12"/>
        <v>267.5</v>
      </c>
      <c r="B98" s="205">
        <f t="shared" si="13"/>
        <v>2</v>
      </c>
      <c r="C98" s="206">
        <f t="shared" si="14"/>
        <v>0</v>
      </c>
      <c r="D98" s="205">
        <f t="shared" si="15"/>
        <v>0</v>
      </c>
      <c r="E98" s="206">
        <f t="shared" si="16"/>
        <v>0</v>
      </c>
      <c r="F98" s="205">
        <f t="shared" si="17"/>
        <v>1</v>
      </c>
      <c r="G98" s="206">
        <f t="shared" si="18"/>
        <v>0</v>
      </c>
      <c r="H98" s="205">
        <f t="shared" si="19"/>
        <v>0</v>
      </c>
      <c r="I98" s="206">
        <f t="shared" si="20"/>
        <v>1</v>
      </c>
      <c r="J98" s="205">
        <f t="shared" si="21"/>
        <v>0</v>
      </c>
      <c r="K98" s="206"/>
      <c r="L98" s="208">
        <f t="shared" si="23"/>
        <v>94</v>
      </c>
      <c r="M98" s="208">
        <f t="shared" si="22"/>
        <v>235</v>
      </c>
    </row>
    <row r="99" spans="1:13" ht="12.75" customHeight="1" x14ac:dyDescent="0.2">
      <c r="A99" s="210">
        <f t="shared" si="12"/>
        <v>270</v>
      </c>
      <c r="B99" s="205">
        <f t="shared" si="13"/>
        <v>2</v>
      </c>
      <c r="C99" s="206">
        <f t="shared" si="14"/>
        <v>0</v>
      </c>
      <c r="D99" s="205">
        <f t="shared" si="15"/>
        <v>0</v>
      </c>
      <c r="E99" s="206">
        <f t="shared" si="16"/>
        <v>0</v>
      </c>
      <c r="F99" s="205">
        <f t="shared" si="17"/>
        <v>1</v>
      </c>
      <c r="G99" s="206">
        <f t="shared" si="18"/>
        <v>0</v>
      </c>
      <c r="H99" s="205">
        <f t="shared" si="19"/>
        <v>0</v>
      </c>
      <c r="I99" s="206">
        <f t="shared" si="20"/>
        <v>1</v>
      </c>
      <c r="J99" s="205">
        <f t="shared" si="21"/>
        <v>1</v>
      </c>
      <c r="K99" s="206"/>
      <c r="L99" s="208">
        <f t="shared" si="23"/>
        <v>95</v>
      </c>
      <c r="M99" s="208">
        <f t="shared" si="22"/>
        <v>237.5</v>
      </c>
    </row>
    <row r="100" spans="1:13" ht="12.75" customHeight="1" x14ac:dyDescent="0.2">
      <c r="A100" s="210">
        <f t="shared" si="12"/>
        <v>272.5</v>
      </c>
      <c r="B100" s="205">
        <f t="shared" si="13"/>
        <v>2</v>
      </c>
      <c r="C100" s="206">
        <f t="shared" si="14"/>
        <v>0</v>
      </c>
      <c r="D100" s="205">
        <f t="shared" si="15"/>
        <v>0</v>
      </c>
      <c r="E100" s="206">
        <f t="shared" si="16"/>
        <v>1</v>
      </c>
      <c r="F100" s="205">
        <f t="shared" si="17"/>
        <v>0</v>
      </c>
      <c r="G100" s="206">
        <f t="shared" si="18"/>
        <v>0</v>
      </c>
      <c r="H100" s="205">
        <f t="shared" si="19"/>
        <v>0</v>
      </c>
      <c r="I100" s="206">
        <f t="shared" si="20"/>
        <v>0</v>
      </c>
      <c r="J100" s="205">
        <f t="shared" si="21"/>
        <v>0</v>
      </c>
      <c r="K100" s="206"/>
      <c r="L100" s="208">
        <f t="shared" si="23"/>
        <v>96</v>
      </c>
      <c r="M100" s="208">
        <f t="shared" si="22"/>
        <v>240</v>
      </c>
    </row>
    <row r="101" spans="1:13" ht="12.75" customHeight="1" x14ac:dyDescent="0.2">
      <c r="A101" s="210">
        <f t="shared" si="12"/>
        <v>275</v>
      </c>
      <c r="B101" s="205">
        <f t="shared" si="13"/>
        <v>2</v>
      </c>
      <c r="C101" s="206">
        <f t="shared" si="14"/>
        <v>0</v>
      </c>
      <c r="D101" s="205">
        <f t="shared" si="15"/>
        <v>0</v>
      </c>
      <c r="E101" s="206">
        <f t="shared" si="16"/>
        <v>1</v>
      </c>
      <c r="F101" s="205">
        <f t="shared" si="17"/>
        <v>0</v>
      </c>
      <c r="G101" s="206">
        <f t="shared" si="18"/>
        <v>0</v>
      </c>
      <c r="H101" s="205">
        <f t="shared" si="19"/>
        <v>0</v>
      </c>
      <c r="I101" s="206">
        <f t="shared" si="20"/>
        <v>0</v>
      </c>
      <c r="J101" s="205">
        <f t="shared" si="21"/>
        <v>1</v>
      </c>
      <c r="K101" s="206"/>
      <c r="L101" s="208">
        <f t="shared" si="23"/>
        <v>97</v>
      </c>
      <c r="M101" s="208">
        <f t="shared" si="22"/>
        <v>242.5</v>
      </c>
    </row>
    <row r="102" spans="1:13" ht="12.75" customHeight="1" x14ac:dyDescent="0.2">
      <c r="A102" s="210">
        <f t="shared" si="12"/>
        <v>277.5</v>
      </c>
      <c r="B102" s="205">
        <f t="shared" si="13"/>
        <v>2</v>
      </c>
      <c r="C102" s="206">
        <f t="shared" si="14"/>
        <v>0</v>
      </c>
      <c r="D102" s="205">
        <f t="shared" si="15"/>
        <v>0</v>
      </c>
      <c r="E102" s="206">
        <f t="shared" si="16"/>
        <v>1</v>
      </c>
      <c r="F102" s="205">
        <f t="shared" si="17"/>
        <v>0</v>
      </c>
      <c r="G102" s="206">
        <f t="shared" si="18"/>
        <v>0</v>
      </c>
      <c r="H102" s="205">
        <f t="shared" si="19"/>
        <v>0</v>
      </c>
      <c r="I102" s="206">
        <f t="shared" si="20"/>
        <v>1</v>
      </c>
      <c r="J102" s="205">
        <f t="shared" si="21"/>
        <v>0</v>
      </c>
      <c r="K102" s="206"/>
      <c r="L102" s="208">
        <f t="shared" si="23"/>
        <v>98</v>
      </c>
      <c r="M102" s="208">
        <f t="shared" si="22"/>
        <v>245</v>
      </c>
    </row>
    <row r="103" spans="1:13" ht="12.75" customHeight="1" x14ac:dyDescent="0.2">
      <c r="A103" s="210">
        <f t="shared" si="12"/>
        <v>280</v>
      </c>
      <c r="B103" s="205">
        <f t="shared" si="13"/>
        <v>2</v>
      </c>
      <c r="C103" s="206">
        <f t="shared" si="14"/>
        <v>0</v>
      </c>
      <c r="D103" s="205">
        <f t="shared" si="15"/>
        <v>0</v>
      </c>
      <c r="E103" s="206">
        <f t="shared" si="16"/>
        <v>1</v>
      </c>
      <c r="F103" s="205">
        <f t="shared" si="17"/>
        <v>0</v>
      </c>
      <c r="G103" s="206">
        <f t="shared" si="18"/>
        <v>0</v>
      </c>
      <c r="H103" s="205">
        <f t="shared" si="19"/>
        <v>0</v>
      </c>
      <c r="I103" s="206">
        <f t="shared" si="20"/>
        <v>1</v>
      </c>
      <c r="J103" s="205">
        <f t="shared" si="21"/>
        <v>1</v>
      </c>
      <c r="K103" s="206"/>
      <c r="L103" s="208">
        <f t="shared" si="23"/>
        <v>99</v>
      </c>
      <c r="M103" s="208">
        <f t="shared" si="22"/>
        <v>247.5</v>
      </c>
    </row>
    <row r="104" spans="1:13" ht="12.75" customHeight="1" x14ac:dyDescent="0.2">
      <c r="A104" s="210">
        <f t="shared" si="12"/>
        <v>282.5</v>
      </c>
      <c r="B104" s="205">
        <f t="shared" si="13"/>
        <v>2</v>
      </c>
      <c r="C104" s="206">
        <f t="shared" si="14"/>
        <v>0</v>
      </c>
      <c r="D104" s="205">
        <f t="shared" si="15"/>
        <v>0</v>
      </c>
      <c r="E104" s="206">
        <f t="shared" si="16"/>
        <v>1</v>
      </c>
      <c r="F104" s="205">
        <f t="shared" si="17"/>
        <v>0</v>
      </c>
      <c r="G104" s="206">
        <f t="shared" si="18"/>
        <v>0</v>
      </c>
      <c r="H104" s="205">
        <f t="shared" si="19"/>
        <v>1</v>
      </c>
      <c r="I104" s="206">
        <f t="shared" si="20"/>
        <v>0</v>
      </c>
      <c r="J104" s="205">
        <f t="shared" si="21"/>
        <v>0</v>
      </c>
      <c r="K104" s="206"/>
      <c r="L104" s="208">
        <f t="shared" si="23"/>
        <v>100</v>
      </c>
      <c r="M104" s="208">
        <f t="shared" si="22"/>
        <v>250</v>
      </c>
    </row>
    <row r="105" spans="1:13" ht="12.75" customHeight="1" x14ac:dyDescent="0.2">
      <c r="A105" s="210">
        <f t="shared" si="12"/>
        <v>285</v>
      </c>
      <c r="B105" s="205">
        <f t="shared" si="13"/>
        <v>2</v>
      </c>
      <c r="C105" s="206">
        <f t="shared" si="14"/>
        <v>0</v>
      </c>
      <c r="D105" s="205">
        <f t="shared" si="15"/>
        <v>0</v>
      </c>
      <c r="E105" s="206">
        <f t="shared" si="16"/>
        <v>1</v>
      </c>
      <c r="F105" s="205">
        <f t="shared" si="17"/>
        <v>0</v>
      </c>
      <c r="G105" s="206">
        <f t="shared" si="18"/>
        <v>0</v>
      </c>
      <c r="H105" s="205">
        <f t="shared" si="19"/>
        <v>1</v>
      </c>
      <c r="I105" s="206">
        <f t="shared" si="20"/>
        <v>0</v>
      </c>
      <c r="J105" s="205">
        <f t="shared" si="21"/>
        <v>1</v>
      </c>
      <c r="K105" s="206"/>
      <c r="L105" s="208">
        <f t="shared" si="23"/>
        <v>101</v>
      </c>
      <c r="M105" s="208">
        <f t="shared" si="22"/>
        <v>252.5</v>
      </c>
    </row>
    <row r="106" spans="1:13" ht="12.75" customHeight="1" x14ac:dyDescent="0.2">
      <c r="A106" s="210">
        <f t="shared" si="12"/>
        <v>287.5</v>
      </c>
      <c r="B106" s="205">
        <f t="shared" si="13"/>
        <v>2</v>
      </c>
      <c r="C106" s="206">
        <f t="shared" si="14"/>
        <v>0</v>
      </c>
      <c r="D106" s="205">
        <f t="shared" si="15"/>
        <v>0</v>
      </c>
      <c r="E106" s="206">
        <f t="shared" si="16"/>
        <v>1</v>
      </c>
      <c r="F106" s="205">
        <f t="shared" si="17"/>
        <v>0</v>
      </c>
      <c r="G106" s="206">
        <f t="shared" si="18"/>
        <v>0</v>
      </c>
      <c r="H106" s="205">
        <f t="shared" si="19"/>
        <v>1</v>
      </c>
      <c r="I106" s="206">
        <f t="shared" si="20"/>
        <v>1</v>
      </c>
      <c r="J106" s="205">
        <f t="shared" si="21"/>
        <v>0</v>
      </c>
      <c r="K106" s="206"/>
      <c r="L106" s="208">
        <f t="shared" si="23"/>
        <v>102</v>
      </c>
      <c r="M106" s="208">
        <f t="shared" si="22"/>
        <v>255</v>
      </c>
    </row>
    <row r="107" spans="1:13" ht="12.75" customHeight="1" x14ac:dyDescent="0.2">
      <c r="A107" s="210">
        <f t="shared" si="12"/>
        <v>290</v>
      </c>
      <c r="B107" s="205">
        <f t="shared" si="13"/>
        <v>2</v>
      </c>
      <c r="C107" s="206">
        <f t="shared" si="14"/>
        <v>0</v>
      </c>
      <c r="D107" s="205">
        <f t="shared" si="15"/>
        <v>0</v>
      </c>
      <c r="E107" s="206">
        <f t="shared" si="16"/>
        <v>1</v>
      </c>
      <c r="F107" s="205">
        <f t="shared" si="17"/>
        <v>0</v>
      </c>
      <c r="G107" s="206">
        <f t="shared" si="18"/>
        <v>0</v>
      </c>
      <c r="H107" s="205">
        <f t="shared" si="19"/>
        <v>1</v>
      </c>
      <c r="I107" s="206">
        <f t="shared" si="20"/>
        <v>1</v>
      </c>
      <c r="J107" s="205">
        <f t="shared" si="21"/>
        <v>1</v>
      </c>
      <c r="K107" s="206"/>
      <c r="L107" s="208">
        <f t="shared" si="23"/>
        <v>103</v>
      </c>
      <c r="M107" s="208">
        <f t="shared" si="22"/>
        <v>257.5</v>
      </c>
    </row>
    <row r="108" spans="1:13" ht="12.75" customHeight="1" x14ac:dyDescent="0.2">
      <c r="A108" s="210">
        <f t="shared" si="12"/>
        <v>292.5</v>
      </c>
      <c r="B108" s="205">
        <f t="shared" si="13"/>
        <v>2</v>
      </c>
      <c r="C108" s="206">
        <f t="shared" si="14"/>
        <v>0</v>
      </c>
      <c r="D108" s="205">
        <f t="shared" si="15"/>
        <v>0</v>
      </c>
      <c r="E108" s="206">
        <f t="shared" si="16"/>
        <v>1</v>
      </c>
      <c r="F108" s="205">
        <f t="shared" si="17"/>
        <v>0</v>
      </c>
      <c r="G108" s="206">
        <f t="shared" si="18"/>
        <v>1</v>
      </c>
      <c r="H108" s="205">
        <f t="shared" si="19"/>
        <v>0</v>
      </c>
      <c r="I108" s="206">
        <f t="shared" si="20"/>
        <v>0</v>
      </c>
      <c r="J108" s="205">
        <f t="shared" si="21"/>
        <v>0</v>
      </c>
      <c r="K108" s="206"/>
      <c r="L108" s="208">
        <f t="shared" si="23"/>
        <v>104</v>
      </c>
      <c r="M108" s="208">
        <f t="shared" si="22"/>
        <v>260</v>
      </c>
    </row>
    <row r="109" spans="1:13" ht="12.75" customHeight="1" x14ac:dyDescent="0.2">
      <c r="A109" s="210">
        <f t="shared" si="12"/>
        <v>295</v>
      </c>
      <c r="B109" s="205">
        <f t="shared" si="13"/>
        <v>2</v>
      </c>
      <c r="C109" s="206">
        <f t="shared" si="14"/>
        <v>0</v>
      </c>
      <c r="D109" s="205">
        <f t="shared" si="15"/>
        <v>0</v>
      </c>
      <c r="E109" s="206">
        <f t="shared" si="16"/>
        <v>1</v>
      </c>
      <c r="F109" s="205">
        <f t="shared" si="17"/>
        <v>0</v>
      </c>
      <c r="G109" s="206">
        <f t="shared" si="18"/>
        <v>1</v>
      </c>
      <c r="H109" s="205">
        <f t="shared" si="19"/>
        <v>0</v>
      </c>
      <c r="I109" s="206">
        <f t="shared" si="20"/>
        <v>0</v>
      </c>
      <c r="J109" s="205">
        <f t="shared" si="21"/>
        <v>1</v>
      </c>
      <c r="K109" s="206"/>
      <c r="L109" s="208">
        <f t="shared" si="23"/>
        <v>105</v>
      </c>
      <c r="M109" s="208">
        <f t="shared" si="22"/>
        <v>262.5</v>
      </c>
    </row>
    <row r="110" spans="1:13" ht="12.75" customHeight="1" x14ac:dyDescent="0.2">
      <c r="A110" s="210">
        <f t="shared" si="12"/>
        <v>297.5</v>
      </c>
      <c r="B110" s="205">
        <f t="shared" si="13"/>
        <v>2</v>
      </c>
      <c r="C110" s="206">
        <f t="shared" si="14"/>
        <v>0</v>
      </c>
      <c r="D110" s="205">
        <f t="shared" si="15"/>
        <v>0</v>
      </c>
      <c r="E110" s="206">
        <f t="shared" si="16"/>
        <v>1</v>
      </c>
      <c r="F110" s="205">
        <f t="shared" si="17"/>
        <v>0</v>
      </c>
      <c r="G110" s="206">
        <f t="shared" si="18"/>
        <v>1</v>
      </c>
      <c r="H110" s="205">
        <f t="shared" si="19"/>
        <v>0</v>
      </c>
      <c r="I110" s="206">
        <f t="shared" si="20"/>
        <v>1</v>
      </c>
      <c r="J110" s="205">
        <f t="shared" si="21"/>
        <v>0</v>
      </c>
      <c r="K110" s="206"/>
      <c r="L110" s="208">
        <f t="shared" si="23"/>
        <v>106</v>
      </c>
      <c r="M110" s="208">
        <f t="shared" si="22"/>
        <v>265</v>
      </c>
    </row>
    <row r="111" spans="1:13" ht="12.75" customHeight="1" x14ac:dyDescent="0.2">
      <c r="A111" s="210">
        <f t="shared" si="12"/>
        <v>300</v>
      </c>
      <c r="B111" s="205">
        <f t="shared" si="13"/>
        <v>2</v>
      </c>
      <c r="C111" s="206">
        <f t="shared" si="14"/>
        <v>0</v>
      </c>
      <c r="D111" s="205">
        <f t="shared" si="15"/>
        <v>0</v>
      </c>
      <c r="E111" s="206">
        <f t="shared" si="16"/>
        <v>1</v>
      </c>
      <c r="F111" s="205">
        <f t="shared" si="17"/>
        <v>0</v>
      </c>
      <c r="G111" s="206">
        <f t="shared" si="18"/>
        <v>1</v>
      </c>
      <c r="H111" s="205">
        <f t="shared" si="19"/>
        <v>0</v>
      </c>
      <c r="I111" s="206">
        <f t="shared" si="20"/>
        <v>1</v>
      </c>
      <c r="J111" s="205">
        <f t="shared" si="21"/>
        <v>1</v>
      </c>
      <c r="K111" s="206"/>
      <c r="L111" s="208">
        <f t="shared" si="23"/>
        <v>107</v>
      </c>
      <c r="M111" s="208">
        <f t="shared" si="22"/>
        <v>267.5</v>
      </c>
    </row>
    <row r="112" spans="1:13" ht="12.75" customHeight="1" x14ac:dyDescent="0.2">
      <c r="A112" s="210">
        <f t="shared" si="12"/>
        <v>302.5</v>
      </c>
      <c r="B112" s="205">
        <f t="shared" si="13"/>
        <v>2</v>
      </c>
      <c r="C112" s="206">
        <f t="shared" si="14"/>
        <v>0</v>
      </c>
      <c r="D112" s="205">
        <f t="shared" si="15"/>
        <v>0</v>
      </c>
      <c r="E112" s="206">
        <f t="shared" si="16"/>
        <v>1</v>
      </c>
      <c r="F112" s="205">
        <f t="shared" si="17"/>
        <v>1</v>
      </c>
      <c r="G112" s="206">
        <f t="shared" si="18"/>
        <v>0</v>
      </c>
      <c r="H112" s="205">
        <f t="shared" si="19"/>
        <v>0</v>
      </c>
      <c r="I112" s="206">
        <f t="shared" si="20"/>
        <v>0</v>
      </c>
      <c r="J112" s="205">
        <f t="shared" si="21"/>
        <v>0</v>
      </c>
      <c r="K112" s="206"/>
      <c r="L112" s="208">
        <f t="shared" si="23"/>
        <v>108</v>
      </c>
      <c r="M112" s="208">
        <f t="shared" si="22"/>
        <v>270</v>
      </c>
    </row>
    <row r="113" spans="1:13" ht="12.75" customHeight="1" x14ac:dyDescent="0.2">
      <c r="A113" s="210">
        <f t="shared" si="12"/>
        <v>305</v>
      </c>
      <c r="B113" s="205">
        <f t="shared" si="13"/>
        <v>2</v>
      </c>
      <c r="C113" s="206">
        <f t="shared" si="14"/>
        <v>0</v>
      </c>
      <c r="D113" s="205">
        <f t="shared" si="15"/>
        <v>0</v>
      </c>
      <c r="E113" s="206">
        <f t="shared" si="16"/>
        <v>1</v>
      </c>
      <c r="F113" s="205">
        <f t="shared" si="17"/>
        <v>1</v>
      </c>
      <c r="G113" s="206">
        <f t="shared" si="18"/>
        <v>0</v>
      </c>
      <c r="H113" s="205">
        <f t="shared" si="19"/>
        <v>0</v>
      </c>
      <c r="I113" s="206">
        <f t="shared" si="20"/>
        <v>0</v>
      </c>
      <c r="J113" s="205">
        <f t="shared" si="21"/>
        <v>1</v>
      </c>
      <c r="K113" s="206"/>
      <c r="L113" s="208">
        <f t="shared" si="23"/>
        <v>109</v>
      </c>
      <c r="M113" s="208">
        <f t="shared" si="22"/>
        <v>272.5</v>
      </c>
    </row>
    <row r="114" spans="1:13" ht="12.75" customHeight="1" x14ac:dyDescent="0.2">
      <c r="A114" s="210">
        <f t="shared" si="12"/>
        <v>307.5</v>
      </c>
      <c r="B114" s="205">
        <f t="shared" si="13"/>
        <v>2</v>
      </c>
      <c r="C114" s="206">
        <f t="shared" si="14"/>
        <v>0</v>
      </c>
      <c r="D114" s="205">
        <f t="shared" si="15"/>
        <v>0</v>
      </c>
      <c r="E114" s="206">
        <f t="shared" si="16"/>
        <v>1</v>
      </c>
      <c r="F114" s="205">
        <f t="shared" si="17"/>
        <v>1</v>
      </c>
      <c r="G114" s="206">
        <f t="shared" si="18"/>
        <v>0</v>
      </c>
      <c r="H114" s="205">
        <f t="shared" si="19"/>
        <v>0</v>
      </c>
      <c r="I114" s="206">
        <f t="shared" si="20"/>
        <v>1</v>
      </c>
      <c r="J114" s="205">
        <f t="shared" si="21"/>
        <v>0</v>
      </c>
      <c r="K114" s="206"/>
      <c r="L114" s="208">
        <f t="shared" si="23"/>
        <v>110</v>
      </c>
      <c r="M114" s="208">
        <f t="shared" si="22"/>
        <v>275</v>
      </c>
    </row>
    <row r="115" spans="1:13" ht="12.75" customHeight="1" x14ac:dyDescent="0.2">
      <c r="A115" s="210">
        <f t="shared" si="12"/>
        <v>310</v>
      </c>
      <c r="B115" s="205">
        <f t="shared" si="13"/>
        <v>2</v>
      </c>
      <c r="C115" s="206">
        <f t="shared" si="14"/>
        <v>0</v>
      </c>
      <c r="D115" s="205">
        <f t="shared" si="15"/>
        <v>0</v>
      </c>
      <c r="E115" s="206">
        <f t="shared" si="16"/>
        <v>1</v>
      </c>
      <c r="F115" s="205">
        <f t="shared" si="17"/>
        <v>1</v>
      </c>
      <c r="G115" s="206">
        <f t="shared" si="18"/>
        <v>0</v>
      </c>
      <c r="H115" s="205">
        <f t="shared" si="19"/>
        <v>0</v>
      </c>
      <c r="I115" s="206">
        <f t="shared" si="20"/>
        <v>1</v>
      </c>
      <c r="J115" s="205">
        <f t="shared" si="21"/>
        <v>1</v>
      </c>
      <c r="K115" s="206"/>
      <c r="L115" s="208">
        <f t="shared" si="23"/>
        <v>111</v>
      </c>
      <c r="M115" s="208">
        <f t="shared" si="22"/>
        <v>277.5</v>
      </c>
    </row>
    <row r="116" spans="1:13" ht="12.75" customHeight="1" x14ac:dyDescent="0.2">
      <c r="A116" s="210">
        <f t="shared" si="12"/>
        <v>312.5</v>
      </c>
      <c r="B116" s="205">
        <f t="shared" si="13"/>
        <v>2</v>
      </c>
      <c r="C116" s="206">
        <f t="shared" si="14"/>
        <v>0</v>
      </c>
      <c r="D116" s="205">
        <f t="shared" si="15"/>
        <v>0</v>
      </c>
      <c r="E116" s="206">
        <f t="shared" si="16"/>
        <v>2</v>
      </c>
      <c r="F116" s="205">
        <f t="shared" si="17"/>
        <v>0</v>
      </c>
      <c r="G116" s="206">
        <f t="shared" si="18"/>
        <v>0</v>
      </c>
      <c r="H116" s="205">
        <f t="shared" si="19"/>
        <v>0</v>
      </c>
      <c r="I116" s="206">
        <f t="shared" si="20"/>
        <v>0</v>
      </c>
      <c r="J116" s="205">
        <f t="shared" si="21"/>
        <v>0</v>
      </c>
      <c r="K116" s="206"/>
      <c r="L116" s="208">
        <f t="shared" si="23"/>
        <v>112</v>
      </c>
      <c r="M116" s="208">
        <f t="shared" si="22"/>
        <v>280</v>
      </c>
    </row>
    <row r="117" spans="1:13" ht="12.75" customHeight="1" x14ac:dyDescent="0.2">
      <c r="A117" s="210">
        <f t="shared" si="12"/>
        <v>315</v>
      </c>
      <c r="B117" s="205">
        <f t="shared" si="13"/>
        <v>2</v>
      </c>
      <c r="C117" s="206">
        <f t="shared" si="14"/>
        <v>0</v>
      </c>
      <c r="D117" s="205">
        <f t="shared" si="15"/>
        <v>0</v>
      </c>
      <c r="E117" s="206">
        <f t="shared" si="16"/>
        <v>2</v>
      </c>
      <c r="F117" s="205">
        <f t="shared" si="17"/>
        <v>0</v>
      </c>
      <c r="G117" s="206">
        <f t="shared" si="18"/>
        <v>0</v>
      </c>
      <c r="H117" s="205">
        <f t="shared" si="19"/>
        <v>0</v>
      </c>
      <c r="I117" s="206">
        <f t="shared" si="20"/>
        <v>0</v>
      </c>
      <c r="J117" s="205">
        <f t="shared" si="21"/>
        <v>1</v>
      </c>
      <c r="K117" s="206"/>
      <c r="L117" s="208">
        <f t="shared" si="23"/>
        <v>113</v>
      </c>
      <c r="M117" s="208">
        <f t="shared" si="22"/>
        <v>282.5</v>
      </c>
    </row>
    <row r="118" spans="1:13" ht="12.75" customHeight="1" x14ac:dyDescent="0.2">
      <c r="A118" s="210">
        <f t="shared" si="12"/>
        <v>317.5</v>
      </c>
      <c r="B118" s="205">
        <f t="shared" si="13"/>
        <v>2</v>
      </c>
      <c r="C118" s="206">
        <f t="shared" si="14"/>
        <v>0</v>
      </c>
      <c r="D118" s="205">
        <f t="shared" si="15"/>
        <v>0</v>
      </c>
      <c r="E118" s="206">
        <f t="shared" si="16"/>
        <v>2</v>
      </c>
      <c r="F118" s="205">
        <f t="shared" si="17"/>
        <v>0</v>
      </c>
      <c r="G118" s="206">
        <f t="shared" si="18"/>
        <v>0</v>
      </c>
      <c r="H118" s="205">
        <f t="shared" si="19"/>
        <v>0</v>
      </c>
      <c r="I118" s="206">
        <f t="shared" si="20"/>
        <v>1</v>
      </c>
      <c r="J118" s="205">
        <f t="shared" si="21"/>
        <v>0</v>
      </c>
      <c r="K118" s="206"/>
      <c r="L118" s="208">
        <f t="shared" si="23"/>
        <v>114</v>
      </c>
      <c r="M118" s="208">
        <f t="shared" si="22"/>
        <v>285</v>
      </c>
    </row>
    <row r="119" spans="1:13" ht="12.75" customHeight="1" x14ac:dyDescent="0.2">
      <c r="A119" s="210">
        <f t="shared" si="12"/>
        <v>320</v>
      </c>
      <c r="B119" s="205">
        <f t="shared" si="13"/>
        <v>2</v>
      </c>
      <c r="C119" s="206">
        <f t="shared" si="14"/>
        <v>0</v>
      </c>
      <c r="D119" s="205">
        <f t="shared" si="15"/>
        <v>0</v>
      </c>
      <c r="E119" s="206">
        <f t="shared" si="16"/>
        <v>2</v>
      </c>
      <c r="F119" s="205">
        <f t="shared" si="17"/>
        <v>0</v>
      </c>
      <c r="G119" s="206">
        <f t="shared" si="18"/>
        <v>0</v>
      </c>
      <c r="H119" s="205">
        <f t="shared" si="19"/>
        <v>0</v>
      </c>
      <c r="I119" s="206">
        <f t="shared" si="20"/>
        <v>1</v>
      </c>
      <c r="J119" s="205">
        <f t="shared" si="21"/>
        <v>1</v>
      </c>
      <c r="K119" s="206"/>
      <c r="L119" s="208">
        <f t="shared" si="23"/>
        <v>115</v>
      </c>
      <c r="M119" s="208">
        <f t="shared" si="22"/>
        <v>287.5</v>
      </c>
    </row>
    <row r="120" spans="1:13" ht="12.75" customHeight="1" x14ac:dyDescent="0.2">
      <c r="A120" s="210">
        <f t="shared" si="12"/>
        <v>322.5</v>
      </c>
      <c r="B120" s="205">
        <f t="shared" si="13"/>
        <v>2</v>
      </c>
      <c r="C120" s="206">
        <f t="shared" si="14"/>
        <v>0</v>
      </c>
      <c r="D120" s="205">
        <f t="shared" si="15"/>
        <v>0</v>
      </c>
      <c r="E120" s="206">
        <f t="shared" si="16"/>
        <v>2</v>
      </c>
      <c r="F120" s="205">
        <f t="shared" si="17"/>
        <v>0</v>
      </c>
      <c r="G120" s="206">
        <f t="shared" si="18"/>
        <v>0</v>
      </c>
      <c r="H120" s="205">
        <f t="shared" si="19"/>
        <v>1</v>
      </c>
      <c r="I120" s="206">
        <f t="shared" si="20"/>
        <v>0</v>
      </c>
      <c r="J120" s="205">
        <f t="shared" si="21"/>
        <v>0</v>
      </c>
      <c r="K120" s="206"/>
      <c r="L120" s="208">
        <f t="shared" si="23"/>
        <v>116</v>
      </c>
      <c r="M120" s="208">
        <f t="shared" si="22"/>
        <v>290</v>
      </c>
    </row>
    <row r="121" spans="1:13" ht="12.75" customHeight="1" x14ac:dyDescent="0.2">
      <c r="A121" s="210">
        <f t="shared" si="12"/>
        <v>325</v>
      </c>
      <c r="B121" s="205">
        <f t="shared" si="13"/>
        <v>2</v>
      </c>
      <c r="C121" s="206">
        <f t="shared" si="14"/>
        <v>0</v>
      </c>
      <c r="D121" s="205">
        <f t="shared" si="15"/>
        <v>0</v>
      </c>
      <c r="E121" s="206">
        <f t="shared" si="16"/>
        <v>2</v>
      </c>
      <c r="F121" s="205">
        <f t="shared" si="17"/>
        <v>0</v>
      </c>
      <c r="G121" s="206">
        <f t="shared" si="18"/>
        <v>0</v>
      </c>
      <c r="H121" s="205">
        <f t="shared" si="19"/>
        <v>1</v>
      </c>
      <c r="I121" s="206">
        <f t="shared" si="20"/>
        <v>0</v>
      </c>
      <c r="J121" s="205">
        <f t="shared" si="21"/>
        <v>1</v>
      </c>
      <c r="K121" s="206"/>
      <c r="L121" s="208">
        <f t="shared" si="23"/>
        <v>117</v>
      </c>
      <c r="M121" s="208">
        <f t="shared" si="22"/>
        <v>292.5</v>
      </c>
    </row>
    <row r="122" spans="1:13" ht="12.75" customHeight="1" x14ac:dyDescent="0.2">
      <c r="A122" s="210">
        <f t="shared" si="12"/>
        <v>327.5</v>
      </c>
      <c r="B122" s="205">
        <f t="shared" si="13"/>
        <v>2</v>
      </c>
      <c r="C122" s="206">
        <f t="shared" si="14"/>
        <v>0</v>
      </c>
      <c r="D122" s="205">
        <f t="shared" si="15"/>
        <v>0</v>
      </c>
      <c r="E122" s="206">
        <f t="shared" si="16"/>
        <v>2</v>
      </c>
      <c r="F122" s="205">
        <f t="shared" si="17"/>
        <v>0</v>
      </c>
      <c r="G122" s="206">
        <f t="shared" si="18"/>
        <v>0</v>
      </c>
      <c r="H122" s="205">
        <f t="shared" si="19"/>
        <v>1</v>
      </c>
      <c r="I122" s="206">
        <f t="shared" si="20"/>
        <v>1</v>
      </c>
      <c r="J122" s="205">
        <f t="shared" si="21"/>
        <v>0</v>
      </c>
      <c r="K122" s="206"/>
      <c r="L122" s="208">
        <f t="shared" si="23"/>
        <v>118</v>
      </c>
      <c r="M122" s="208">
        <f t="shared" si="22"/>
        <v>295</v>
      </c>
    </row>
    <row r="123" spans="1:13" ht="12.75" customHeight="1" x14ac:dyDescent="0.2">
      <c r="A123" s="210">
        <f t="shared" si="12"/>
        <v>330</v>
      </c>
      <c r="B123" s="205">
        <f t="shared" si="13"/>
        <v>2</v>
      </c>
      <c r="C123" s="206">
        <f t="shared" si="14"/>
        <v>0</v>
      </c>
      <c r="D123" s="205">
        <f t="shared" si="15"/>
        <v>0</v>
      </c>
      <c r="E123" s="206">
        <f t="shared" si="16"/>
        <v>2</v>
      </c>
      <c r="F123" s="205">
        <f t="shared" si="17"/>
        <v>0</v>
      </c>
      <c r="G123" s="206">
        <f t="shared" si="18"/>
        <v>0</v>
      </c>
      <c r="H123" s="205">
        <f t="shared" si="19"/>
        <v>1</v>
      </c>
      <c r="I123" s="206">
        <f t="shared" si="20"/>
        <v>1</v>
      </c>
      <c r="J123" s="205">
        <f t="shared" si="21"/>
        <v>1</v>
      </c>
      <c r="K123" s="206"/>
      <c r="L123" s="208">
        <f t="shared" si="23"/>
        <v>119</v>
      </c>
      <c r="M123" s="208">
        <f t="shared" si="22"/>
        <v>297.5</v>
      </c>
    </row>
    <row r="124" spans="1:13" ht="12.75" customHeight="1" x14ac:dyDescent="0.2">
      <c r="A124" s="210">
        <f t="shared" si="12"/>
        <v>332.5</v>
      </c>
      <c r="B124" s="205">
        <f t="shared" si="13"/>
        <v>2</v>
      </c>
      <c r="C124" s="206">
        <f t="shared" si="14"/>
        <v>0</v>
      </c>
      <c r="D124" s="205">
        <f t="shared" si="15"/>
        <v>0</v>
      </c>
      <c r="E124" s="206">
        <f t="shared" si="16"/>
        <v>2</v>
      </c>
      <c r="F124" s="205">
        <f t="shared" si="17"/>
        <v>0</v>
      </c>
      <c r="G124" s="206">
        <f t="shared" si="18"/>
        <v>1</v>
      </c>
      <c r="H124" s="205">
        <f t="shared" si="19"/>
        <v>0</v>
      </c>
      <c r="I124" s="206">
        <f t="shared" si="20"/>
        <v>0</v>
      </c>
      <c r="J124" s="205">
        <f t="shared" si="21"/>
        <v>0</v>
      </c>
      <c r="K124" s="206"/>
      <c r="L124" s="208">
        <f t="shared" si="23"/>
        <v>120</v>
      </c>
      <c r="M124" s="208">
        <f t="shared" si="22"/>
        <v>300</v>
      </c>
    </row>
    <row r="125" spans="1:13" ht="12.75" customHeight="1" x14ac:dyDescent="0.2">
      <c r="A125" s="210">
        <f t="shared" si="12"/>
        <v>335</v>
      </c>
      <c r="B125" s="205">
        <f t="shared" si="13"/>
        <v>2</v>
      </c>
      <c r="C125" s="206">
        <f t="shared" si="14"/>
        <v>0</v>
      </c>
      <c r="D125" s="205">
        <f t="shared" si="15"/>
        <v>0</v>
      </c>
      <c r="E125" s="206">
        <f t="shared" si="16"/>
        <v>2</v>
      </c>
      <c r="F125" s="205">
        <f t="shared" si="17"/>
        <v>0</v>
      </c>
      <c r="G125" s="206">
        <f t="shared" si="18"/>
        <v>1</v>
      </c>
      <c r="H125" s="205">
        <f t="shared" si="19"/>
        <v>0</v>
      </c>
      <c r="I125" s="206">
        <f t="shared" si="20"/>
        <v>0</v>
      </c>
      <c r="J125" s="205">
        <f t="shared" si="21"/>
        <v>1</v>
      </c>
      <c r="K125" s="206"/>
      <c r="L125" s="208">
        <f t="shared" si="23"/>
        <v>121</v>
      </c>
      <c r="M125" s="208">
        <f t="shared" si="22"/>
        <v>302.5</v>
      </c>
    </row>
    <row r="126" spans="1:13" ht="12.75" customHeight="1" x14ac:dyDescent="0.2">
      <c r="A126" s="210">
        <f t="shared" si="12"/>
        <v>337.5</v>
      </c>
      <c r="B126" s="205">
        <f t="shared" si="13"/>
        <v>2</v>
      </c>
      <c r="C126" s="206">
        <f t="shared" si="14"/>
        <v>0</v>
      </c>
      <c r="D126" s="205">
        <f t="shared" si="15"/>
        <v>0</v>
      </c>
      <c r="E126" s="206">
        <f t="shared" si="16"/>
        <v>2</v>
      </c>
      <c r="F126" s="205">
        <f t="shared" si="17"/>
        <v>0</v>
      </c>
      <c r="G126" s="206">
        <f t="shared" si="18"/>
        <v>1</v>
      </c>
      <c r="H126" s="205">
        <f t="shared" si="19"/>
        <v>0</v>
      </c>
      <c r="I126" s="206">
        <f t="shared" si="20"/>
        <v>1</v>
      </c>
      <c r="J126" s="205">
        <f t="shared" si="21"/>
        <v>0</v>
      </c>
      <c r="K126" s="206"/>
      <c r="L126" s="208">
        <f t="shared" si="23"/>
        <v>122</v>
      </c>
      <c r="M126" s="208">
        <f t="shared" si="22"/>
        <v>305</v>
      </c>
    </row>
    <row r="127" spans="1:13" ht="12.75" customHeight="1" x14ac:dyDescent="0.2">
      <c r="A127" s="210">
        <f t="shared" si="12"/>
        <v>340</v>
      </c>
      <c r="B127" s="205">
        <f t="shared" si="13"/>
        <v>2</v>
      </c>
      <c r="C127" s="206">
        <f t="shared" si="14"/>
        <v>0</v>
      </c>
      <c r="D127" s="205">
        <f t="shared" si="15"/>
        <v>0</v>
      </c>
      <c r="E127" s="206">
        <f t="shared" si="16"/>
        <v>2</v>
      </c>
      <c r="F127" s="205">
        <f t="shared" si="17"/>
        <v>0</v>
      </c>
      <c r="G127" s="206">
        <f t="shared" si="18"/>
        <v>1</v>
      </c>
      <c r="H127" s="205">
        <f t="shared" si="19"/>
        <v>0</v>
      </c>
      <c r="I127" s="206">
        <f t="shared" si="20"/>
        <v>1</v>
      </c>
      <c r="J127" s="205">
        <f t="shared" si="21"/>
        <v>1</v>
      </c>
      <c r="K127" s="206"/>
      <c r="L127" s="208">
        <f t="shared" si="23"/>
        <v>123</v>
      </c>
      <c r="M127" s="208">
        <f t="shared" si="22"/>
        <v>307.5</v>
      </c>
    </row>
    <row r="128" spans="1:13" ht="12.75" customHeight="1" x14ac:dyDescent="0.2">
      <c r="A128" s="210">
        <f t="shared" si="12"/>
        <v>342.5</v>
      </c>
      <c r="B128" s="205">
        <f t="shared" si="13"/>
        <v>2</v>
      </c>
      <c r="C128" s="206">
        <f t="shared" si="14"/>
        <v>0</v>
      </c>
      <c r="D128" s="205">
        <f t="shared" si="15"/>
        <v>0</v>
      </c>
      <c r="E128" s="206">
        <f t="shared" si="16"/>
        <v>2</v>
      </c>
      <c r="F128" s="205">
        <f t="shared" si="17"/>
        <v>1</v>
      </c>
      <c r="G128" s="206">
        <f t="shared" si="18"/>
        <v>0</v>
      </c>
      <c r="H128" s="205">
        <f t="shared" si="19"/>
        <v>0</v>
      </c>
      <c r="I128" s="206">
        <f t="shared" si="20"/>
        <v>0</v>
      </c>
      <c r="J128" s="205">
        <f t="shared" si="21"/>
        <v>0</v>
      </c>
      <c r="K128" s="206"/>
      <c r="L128" s="208">
        <f t="shared" si="23"/>
        <v>124</v>
      </c>
      <c r="M128" s="208">
        <f t="shared" si="22"/>
        <v>310</v>
      </c>
    </row>
    <row r="129" spans="1:13" ht="12.75" customHeight="1" x14ac:dyDescent="0.2">
      <c r="A129" s="210">
        <f t="shared" si="12"/>
        <v>345</v>
      </c>
      <c r="B129" s="205">
        <f t="shared" si="13"/>
        <v>2</v>
      </c>
      <c r="C129" s="206">
        <f t="shared" si="14"/>
        <v>0</v>
      </c>
      <c r="D129" s="205">
        <f t="shared" si="15"/>
        <v>0</v>
      </c>
      <c r="E129" s="206">
        <f t="shared" si="16"/>
        <v>2</v>
      </c>
      <c r="F129" s="205">
        <f t="shared" si="17"/>
        <v>1</v>
      </c>
      <c r="G129" s="206">
        <f t="shared" si="18"/>
        <v>0</v>
      </c>
      <c r="H129" s="205">
        <f t="shared" si="19"/>
        <v>0</v>
      </c>
      <c r="I129" s="206">
        <f t="shared" si="20"/>
        <v>0</v>
      </c>
      <c r="J129" s="205">
        <f t="shared" si="21"/>
        <v>1</v>
      </c>
      <c r="K129" s="206"/>
      <c r="L129" s="208">
        <f t="shared" si="23"/>
        <v>125</v>
      </c>
      <c r="M129" s="208">
        <f t="shared" si="22"/>
        <v>312.5</v>
      </c>
    </row>
    <row r="130" spans="1:13" ht="12.75" customHeight="1" x14ac:dyDescent="0.2">
      <c r="A130" s="210">
        <f t="shared" si="12"/>
        <v>347.5</v>
      </c>
      <c r="B130" s="205">
        <f t="shared" si="13"/>
        <v>2</v>
      </c>
      <c r="C130" s="206">
        <f t="shared" si="14"/>
        <v>0</v>
      </c>
      <c r="D130" s="205">
        <f t="shared" si="15"/>
        <v>0</v>
      </c>
      <c r="E130" s="206">
        <f t="shared" si="16"/>
        <v>2</v>
      </c>
      <c r="F130" s="205">
        <f t="shared" si="17"/>
        <v>1</v>
      </c>
      <c r="G130" s="206">
        <f t="shared" si="18"/>
        <v>0</v>
      </c>
      <c r="H130" s="205">
        <f t="shared" si="19"/>
        <v>0</v>
      </c>
      <c r="I130" s="206">
        <f t="shared" si="20"/>
        <v>1</v>
      </c>
      <c r="J130" s="205">
        <f t="shared" si="21"/>
        <v>0</v>
      </c>
      <c r="K130" s="206"/>
      <c r="L130" s="208">
        <f t="shared" si="23"/>
        <v>126</v>
      </c>
      <c r="M130" s="208">
        <f t="shared" si="22"/>
        <v>315</v>
      </c>
    </row>
    <row r="131" spans="1:13" ht="12.75" customHeight="1" x14ac:dyDescent="0.2">
      <c r="A131" s="210">
        <f t="shared" si="12"/>
        <v>350</v>
      </c>
      <c r="B131" s="205">
        <f t="shared" si="13"/>
        <v>2</v>
      </c>
      <c r="C131" s="206">
        <f t="shared" si="14"/>
        <v>0</v>
      </c>
      <c r="D131" s="205">
        <f t="shared" si="15"/>
        <v>0</v>
      </c>
      <c r="E131" s="206">
        <f t="shared" si="16"/>
        <v>2</v>
      </c>
      <c r="F131" s="205">
        <f t="shared" si="17"/>
        <v>1</v>
      </c>
      <c r="G131" s="206">
        <f t="shared" si="18"/>
        <v>0</v>
      </c>
      <c r="H131" s="205">
        <f t="shared" si="19"/>
        <v>0</v>
      </c>
      <c r="I131" s="206">
        <f t="shared" si="20"/>
        <v>1</v>
      </c>
      <c r="J131" s="205">
        <f t="shared" si="21"/>
        <v>1</v>
      </c>
      <c r="K131" s="206"/>
      <c r="L131" s="208">
        <f t="shared" si="23"/>
        <v>127</v>
      </c>
      <c r="M131" s="208">
        <f t="shared" si="22"/>
        <v>317.5</v>
      </c>
    </row>
    <row r="132" spans="1:13" ht="12.75" customHeight="1" x14ac:dyDescent="0.2">
      <c r="A132" s="210">
        <f t="shared" si="12"/>
        <v>352.5</v>
      </c>
      <c r="B132" s="205">
        <f t="shared" si="13"/>
        <v>2</v>
      </c>
      <c r="C132" s="206">
        <f t="shared" si="14"/>
        <v>0</v>
      </c>
      <c r="D132" s="205">
        <f t="shared" si="15"/>
        <v>0</v>
      </c>
      <c r="E132" s="206">
        <f t="shared" si="16"/>
        <v>3</v>
      </c>
      <c r="F132" s="205">
        <f t="shared" si="17"/>
        <v>0</v>
      </c>
      <c r="G132" s="206">
        <f t="shared" si="18"/>
        <v>0</v>
      </c>
      <c r="H132" s="205">
        <f t="shared" si="19"/>
        <v>0</v>
      </c>
      <c r="I132" s="206">
        <f t="shared" si="20"/>
        <v>0</v>
      </c>
      <c r="J132" s="205">
        <f t="shared" si="21"/>
        <v>0</v>
      </c>
      <c r="K132" s="206"/>
      <c r="L132" s="208">
        <f t="shared" si="23"/>
        <v>128</v>
      </c>
      <c r="M132" s="208">
        <f t="shared" si="22"/>
        <v>320</v>
      </c>
    </row>
    <row r="133" spans="1:13" ht="12.75" customHeight="1" x14ac:dyDescent="0.2">
      <c r="A133" s="210">
        <f t="shared" ref="A133:A196" si="24">IF(M133+$K$2&gt;$L$1,0,M133+$K$2)</f>
        <v>355</v>
      </c>
      <c r="B133" s="205">
        <f t="shared" ref="B133:B196" si="25">IF(A133=0,0,MIN($B$1/2,INT(M133/(2*$B$2))))</f>
        <v>2</v>
      </c>
      <c r="C133" s="206">
        <f t="shared" ref="C133:C196" si="26">IF(A133=0,0,MIN($C$1/2,INT(($M133-2*$B133*$B$2)/(2*$C$2))))</f>
        <v>0</v>
      </c>
      <c r="D133" s="205">
        <f t="shared" ref="D133:D196" si="27">IF(A133=0,0,MIN($D$1/2,INT(($M133-2*$B133*$B$2-2*$C133*$C$2)/(2*$D$2))))</f>
        <v>0</v>
      </c>
      <c r="E133" s="206">
        <f t="shared" ref="E133:E196" si="28">IF(A133=0,0,MIN($E$1/2,INT(($M133-2*$B133*$B$2-2*$C133*$C$2-2*$D133*$D$2)/(2*$E$2))))</f>
        <v>3</v>
      </c>
      <c r="F133" s="205">
        <f t="shared" ref="F133:F196" si="29">IF(A133=0,0,MIN($F$1/2,INT(($M133-2*$B133*$B$2-2*$C133*$C$2-2*$D133*$D$2-2*$E133*$E$2)/(2*$F$2))))</f>
        <v>0</v>
      </c>
      <c r="G133" s="206">
        <f t="shared" ref="G133:G196" si="30">IF(A133=0,0,MIN($G$1/2,INT(($M133-2*$B133*$B$2-2*$C133*$C$2-2*$D133*$D$2-2*$E133*$E$2-2*$F133*$F$2)/(2*$G$2))))</f>
        <v>0</v>
      </c>
      <c r="H133" s="205">
        <f t="shared" ref="H133:H196" si="31">IF(A133=0,0,MIN($H$1/2,INT(($M133-2*$B133*$B$2-2*$C133*$C$2-2*$D133*$D$2-2*$E133*$E$2-2*$F133*$F$2-2*$G133*$G$2)/(2*$H$2))))</f>
        <v>0</v>
      </c>
      <c r="I133" s="206">
        <f t="shared" ref="I133:I196" si="32">IF(A133=0,0,MIN($I$1/2,INT(($M133-2*$B133*$B$2-2*$C133*$C$2-2*$D133*$D$2-2*$E133*$E$2-2*$F133*$F$2-2*$G133*$G$2-2*$H133*$H$2)/(2*$I$2))))</f>
        <v>0</v>
      </c>
      <c r="J133" s="205">
        <f t="shared" ref="J133:J196" si="33">IF(A133=0,0,MIN($J$1/2,INT(($M133-2*$B133*$B$2-2*$C133*$C$2-2*$D133*$D$2-2*$E133*$E$2-2*$F133*$F$2-2*$G133*$G$2-2*$H133*$H$2-2*$I133*$I$2)/(2*$J$2))))</f>
        <v>1</v>
      </c>
      <c r="K133" s="206"/>
      <c r="L133" s="208">
        <f t="shared" si="23"/>
        <v>129</v>
      </c>
      <c r="M133" s="208">
        <f t="shared" ref="M133:M196" si="34">IF($A$2="Pounds",5*L133,2.5*L133)</f>
        <v>322.5</v>
      </c>
    </row>
    <row r="134" spans="1:13" ht="12.75" customHeight="1" x14ac:dyDescent="0.2">
      <c r="A134" s="210">
        <f t="shared" si="24"/>
        <v>357.5</v>
      </c>
      <c r="B134" s="205">
        <f t="shared" si="25"/>
        <v>2</v>
      </c>
      <c r="C134" s="206">
        <f t="shared" si="26"/>
        <v>0</v>
      </c>
      <c r="D134" s="205">
        <f t="shared" si="27"/>
        <v>0</v>
      </c>
      <c r="E134" s="206">
        <f t="shared" si="28"/>
        <v>3</v>
      </c>
      <c r="F134" s="205">
        <f t="shared" si="29"/>
        <v>0</v>
      </c>
      <c r="G134" s="206">
        <f t="shared" si="30"/>
        <v>0</v>
      </c>
      <c r="H134" s="205">
        <f t="shared" si="31"/>
        <v>0</v>
      </c>
      <c r="I134" s="206">
        <f t="shared" si="32"/>
        <v>1</v>
      </c>
      <c r="J134" s="205">
        <f t="shared" si="33"/>
        <v>0</v>
      </c>
      <c r="K134" s="206"/>
      <c r="L134" s="208">
        <f t="shared" si="23"/>
        <v>130</v>
      </c>
      <c r="M134" s="208">
        <f t="shared" si="34"/>
        <v>325</v>
      </c>
    </row>
    <row r="135" spans="1:13" ht="12.75" customHeight="1" x14ac:dyDescent="0.2">
      <c r="A135" s="210">
        <f t="shared" si="24"/>
        <v>360</v>
      </c>
      <c r="B135" s="205">
        <f t="shared" si="25"/>
        <v>2</v>
      </c>
      <c r="C135" s="206">
        <f t="shared" si="26"/>
        <v>0</v>
      </c>
      <c r="D135" s="205">
        <f t="shared" si="27"/>
        <v>0</v>
      </c>
      <c r="E135" s="206">
        <f t="shared" si="28"/>
        <v>3</v>
      </c>
      <c r="F135" s="205">
        <f t="shared" si="29"/>
        <v>0</v>
      </c>
      <c r="G135" s="206">
        <f t="shared" si="30"/>
        <v>0</v>
      </c>
      <c r="H135" s="205">
        <f t="shared" si="31"/>
        <v>0</v>
      </c>
      <c r="I135" s="206">
        <f t="shared" si="32"/>
        <v>1</v>
      </c>
      <c r="J135" s="205">
        <f t="shared" si="33"/>
        <v>1</v>
      </c>
      <c r="K135" s="206"/>
      <c r="L135" s="208">
        <f t="shared" si="23"/>
        <v>131</v>
      </c>
      <c r="M135" s="208">
        <f t="shared" si="34"/>
        <v>327.5</v>
      </c>
    </row>
    <row r="136" spans="1:13" ht="12.75" customHeight="1" x14ac:dyDescent="0.2">
      <c r="A136" s="210">
        <f t="shared" si="24"/>
        <v>362.5</v>
      </c>
      <c r="B136" s="205">
        <f t="shared" si="25"/>
        <v>2</v>
      </c>
      <c r="C136" s="206">
        <f t="shared" si="26"/>
        <v>0</v>
      </c>
      <c r="D136" s="205">
        <f t="shared" si="27"/>
        <v>0</v>
      </c>
      <c r="E136" s="206">
        <f t="shared" si="28"/>
        <v>3</v>
      </c>
      <c r="F136" s="205">
        <f t="shared" si="29"/>
        <v>0</v>
      </c>
      <c r="G136" s="206">
        <f t="shared" si="30"/>
        <v>0</v>
      </c>
      <c r="H136" s="205">
        <f t="shared" si="31"/>
        <v>1</v>
      </c>
      <c r="I136" s="206">
        <f t="shared" si="32"/>
        <v>0</v>
      </c>
      <c r="J136" s="205">
        <f t="shared" si="33"/>
        <v>0</v>
      </c>
      <c r="K136" s="206"/>
      <c r="L136" s="208">
        <f t="shared" si="23"/>
        <v>132</v>
      </c>
      <c r="M136" s="208">
        <f t="shared" si="34"/>
        <v>330</v>
      </c>
    </row>
    <row r="137" spans="1:13" ht="12.75" customHeight="1" x14ac:dyDescent="0.2">
      <c r="A137" s="210">
        <f t="shared" si="24"/>
        <v>365</v>
      </c>
      <c r="B137" s="205">
        <f t="shared" si="25"/>
        <v>2</v>
      </c>
      <c r="C137" s="206">
        <f t="shared" si="26"/>
        <v>0</v>
      </c>
      <c r="D137" s="205">
        <f t="shared" si="27"/>
        <v>0</v>
      </c>
      <c r="E137" s="206">
        <f t="shared" si="28"/>
        <v>3</v>
      </c>
      <c r="F137" s="205">
        <f t="shared" si="29"/>
        <v>0</v>
      </c>
      <c r="G137" s="206">
        <f t="shared" si="30"/>
        <v>0</v>
      </c>
      <c r="H137" s="205">
        <f t="shared" si="31"/>
        <v>1</v>
      </c>
      <c r="I137" s="206">
        <f t="shared" si="32"/>
        <v>0</v>
      </c>
      <c r="J137" s="205">
        <f t="shared" si="33"/>
        <v>1</v>
      </c>
      <c r="K137" s="206"/>
      <c r="L137" s="208">
        <f t="shared" si="23"/>
        <v>133</v>
      </c>
      <c r="M137" s="208">
        <f t="shared" si="34"/>
        <v>332.5</v>
      </c>
    </row>
    <row r="138" spans="1:13" ht="12.75" customHeight="1" x14ac:dyDescent="0.2">
      <c r="A138" s="210">
        <f t="shared" si="24"/>
        <v>367.5</v>
      </c>
      <c r="B138" s="205">
        <f t="shared" si="25"/>
        <v>2</v>
      </c>
      <c r="C138" s="206">
        <f t="shared" si="26"/>
        <v>0</v>
      </c>
      <c r="D138" s="205">
        <f t="shared" si="27"/>
        <v>0</v>
      </c>
      <c r="E138" s="206">
        <f t="shared" si="28"/>
        <v>3</v>
      </c>
      <c r="F138" s="205">
        <f t="shared" si="29"/>
        <v>0</v>
      </c>
      <c r="G138" s="206">
        <f t="shared" si="30"/>
        <v>0</v>
      </c>
      <c r="H138" s="205">
        <f t="shared" si="31"/>
        <v>1</v>
      </c>
      <c r="I138" s="206">
        <f t="shared" si="32"/>
        <v>1</v>
      </c>
      <c r="J138" s="205">
        <f t="shared" si="33"/>
        <v>0</v>
      </c>
      <c r="K138" s="206"/>
      <c r="L138" s="208">
        <f t="shared" si="23"/>
        <v>134</v>
      </c>
      <c r="M138" s="208">
        <f t="shared" si="34"/>
        <v>335</v>
      </c>
    </row>
    <row r="139" spans="1:13" ht="12.75" customHeight="1" x14ac:dyDescent="0.2">
      <c r="A139" s="210">
        <f t="shared" si="24"/>
        <v>370</v>
      </c>
      <c r="B139" s="205">
        <f t="shared" si="25"/>
        <v>2</v>
      </c>
      <c r="C139" s="206">
        <f t="shared" si="26"/>
        <v>0</v>
      </c>
      <c r="D139" s="205">
        <f t="shared" si="27"/>
        <v>0</v>
      </c>
      <c r="E139" s="206">
        <f t="shared" si="28"/>
        <v>3</v>
      </c>
      <c r="F139" s="205">
        <f t="shared" si="29"/>
        <v>0</v>
      </c>
      <c r="G139" s="206">
        <f t="shared" si="30"/>
        <v>0</v>
      </c>
      <c r="H139" s="205">
        <f t="shared" si="31"/>
        <v>1</v>
      </c>
      <c r="I139" s="206">
        <f t="shared" si="32"/>
        <v>1</v>
      </c>
      <c r="J139" s="205">
        <f t="shared" si="33"/>
        <v>1</v>
      </c>
      <c r="K139" s="206"/>
      <c r="L139" s="208">
        <f t="shared" si="23"/>
        <v>135</v>
      </c>
      <c r="M139" s="208">
        <f t="shared" si="34"/>
        <v>337.5</v>
      </c>
    </row>
    <row r="140" spans="1:13" ht="12.75" customHeight="1" x14ac:dyDescent="0.2">
      <c r="A140" s="210">
        <f t="shared" si="24"/>
        <v>372.5</v>
      </c>
      <c r="B140" s="205">
        <f t="shared" si="25"/>
        <v>2</v>
      </c>
      <c r="C140" s="206">
        <f t="shared" si="26"/>
        <v>0</v>
      </c>
      <c r="D140" s="205">
        <f t="shared" si="27"/>
        <v>0</v>
      </c>
      <c r="E140" s="206">
        <f t="shared" si="28"/>
        <v>3</v>
      </c>
      <c r="F140" s="205">
        <f t="shared" si="29"/>
        <v>0</v>
      </c>
      <c r="G140" s="206">
        <f t="shared" si="30"/>
        <v>1</v>
      </c>
      <c r="H140" s="205">
        <f t="shared" si="31"/>
        <v>0</v>
      </c>
      <c r="I140" s="206">
        <f t="shared" si="32"/>
        <v>0</v>
      </c>
      <c r="J140" s="205">
        <f t="shared" si="33"/>
        <v>0</v>
      </c>
      <c r="K140" s="206"/>
      <c r="L140" s="208">
        <f t="shared" si="23"/>
        <v>136</v>
      </c>
      <c r="M140" s="208">
        <f t="shared" si="34"/>
        <v>340</v>
      </c>
    </row>
    <row r="141" spans="1:13" ht="12.75" customHeight="1" x14ac:dyDescent="0.2">
      <c r="A141" s="210">
        <f t="shared" si="24"/>
        <v>375</v>
      </c>
      <c r="B141" s="205">
        <f t="shared" si="25"/>
        <v>2</v>
      </c>
      <c r="C141" s="206">
        <f t="shared" si="26"/>
        <v>0</v>
      </c>
      <c r="D141" s="205">
        <f t="shared" si="27"/>
        <v>0</v>
      </c>
      <c r="E141" s="206">
        <f t="shared" si="28"/>
        <v>3</v>
      </c>
      <c r="F141" s="205">
        <f t="shared" si="29"/>
        <v>0</v>
      </c>
      <c r="G141" s="206">
        <f t="shared" si="30"/>
        <v>1</v>
      </c>
      <c r="H141" s="205">
        <f t="shared" si="31"/>
        <v>0</v>
      </c>
      <c r="I141" s="206">
        <f t="shared" si="32"/>
        <v>0</v>
      </c>
      <c r="J141" s="205">
        <f t="shared" si="33"/>
        <v>1</v>
      </c>
      <c r="K141" s="206"/>
      <c r="L141" s="208">
        <f t="shared" ref="L141:L204" si="35">L140+1</f>
        <v>137</v>
      </c>
      <c r="M141" s="208">
        <f t="shared" si="34"/>
        <v>342.5</v>
      </c>
    </row>
    <row r="142" spans="1:13" ht="12.75" customHeight="1" x14ac:dyDescent="0.2">
      <c r="A142" s="210">
        <f t="shared" si="24"/>
        <v>377.5</v>
      </c>
      <c r="B142" s="205">
        <f t="shared" si="25"/>
        <v>2</v>
      </c>
      <c r="C142" s="206">
        <f t="shared" si="26"/>
        <v>0</v>
      </c>
      <c r="D142" s="205">
        <f t="shared" si="27"/>
        <v>0</v>
      </c>
      <c r="E142" s="206">
        <f t="shared" si="28"/>
        <v>3</v>
      </c>
      <c r="F142" s="205">
        <f t="shared" si="29"/>
        <v>0</v>
      </c>
      <c r="G142" s="206">
        <f t="shared" si="30"/>
        <v>1</v>
      </c>
      <c r="H142" s="205">
        <f t="shared" si="31"/>
        <v>0</v>
      </c>
      <c r="I142" s="206">
        <f t="shared" si="32"/>
        <v>1</v>
      </c>
      <c r="J142" s="205">
        <f t="shared" si="33"/>
        <v>0</v>
      </c>
      <c r="K142" s="206"/>
      <c r="L142" s="208">
        <f t="shared" si="35"/>
        <v>138</v>
      </c>
      <c r="M142" s="208">
        <f t="shared" si="34"/>
        <v>345</v>
      </c>
    </row>
    <row r="143" spans="1:13" ht="12.75" customHeight="1" x14ac:dyDescent="0.2">
      <c r="A143" s="210">
        <f t="shared" si="24"/>
        <v>380</v>
      </c>
      <c r="B143" s="205">
        <f t="shared" si="25"/>
        <v>2</v>
      </c>
      <c r="C143" s="206">
        <f t="shared" si="26"/>
        <v>0</v>
      </c>
      <c r="D143" s="205">
        <f t="shared" si="27"/>
        <v>0</v>
      </c>
      <c r="E143" s="206">
        <f t="shared" si="28"/>
        <v>3</v>
      </c>
      <c r="F143" s="205">
        <f t="shared" si="29"/>
        <v>0</v>
      </c>
      <c r="G143" s="206">
        <f t="shared" si="30"/>
        <v>1</v>
      </c>
      <c r="H143" s="205">
        <f t="shared" si="31"/>
        <v>0</v>
      </c>
      <c r="I143" s="206">
        <f t="shared" si="32"/>
        <v>1</v>
      </c>
      <c r="J143" s="205">
        <f t="shared" si="33"/>
        <v>1</v>
      </c>
      <c r="K143" s="206"/>
      <c r="L143" s="208">
        <f t="shared" si="35"/>
        <v>139</v>
      </c>
      <c r="M143" s="208">
        <f t="shared" si="34"/>
        <v>347.5</v>
      </c>
    </row>
    <row r="144" spans="1:13" ht="12.75" customHeight="1" x14ac:dyDescent="0.2">
      <c r="A144" s="210">
        <f t="shared" si="24"/>
        <v>382.5</v>
      </c>
      <c r="B144" s="205">
        <f t="shared" si="25"/>
        <v>2</v>
      </c>
      <c r="C144" s="206">
        <f t="shared" si="26"/>
        <v>0</v>
      </c>
      <c r="D144" s="205">
        <f t="shared" si="27"/>
        <v>0</v>
      </c>
      <c r="E144" s="206">
        <f t="shared" si="28"/>
        <v>3</v>
      </c>
      <c r="F144" s="205">
        <f t="shared" si="29"/>
        <v>1</v>
      </c>
      <c r="G144" s="206">
        <f t="shared" si="30"/>
        <v>0</v>
      </c>
      <c r="H144" s="205">
        <f t="shared" si="31"/>
        <v>0</v>
      </c>
      <c r="I144" s="206">
        <f t="shared" si="32"/>
        <v>0</v>
      </c>
      <c r="J144" s="205">
        <f t="shared" si="33"/>
        <v>0</v>
      </c>
      <c r="K144" s="206"/>
      <c r="L144" s="208">
        <f t="shared" si="35"/>
        <v>140</v>
      </c>
      <c r="M144" s="208">
        <f t="shared" si="34"/>
        <v>350</v>
      </c>
    </row>
    <row r="145" spans="1:13" ht="12.75" customHeight="1" x14ac:dyDescent="0.2">
      <c r="A145" s="210">
        <f t="shared" si="24"/>
        <v>385</v>
      </c>
      <c r="B145" s="205">
        <f t="shared" si="25"/>
        <v>2</v>
      </c>
      <c r="C145" s="206">
        <f t="shared" si="26"/>
        <v>0</v>
      </c>
      <c r="D145" s="205">
        <f t="shared" si="27"/>
        <v>0</v>
      </c>
      <c r="E145" s="206">
        <f t="shared" si="28"/>
        <v>3</v>
      </c>
      <c r="F145" s="205">
        <f t="shared" si="29"/>
        <v>1</v>
      </c>
      <c r="G145" s="206">
        <f t="shared" si="30"/>
        <v>0</v>
      </c>
      <c r="H145" s="205">
        <f t="shared" si="31"/>
        <v>0</v>
      </c>
      <c r="I145" s="206">
        <f t="shared" si="32"/>
        <v>0</v>
      </c>
      <c r="J145" s="205">
        <f t="shared" si="33"/>
        <v>1</v>
      </c>
      <c r="K145" s="206"/>
      <c r="L145" s="208">
        <f t="shared" si="35"/>
        <v>141</v>
      </c>
      <c r="M145" s="208">
        <f t="shared" si="34"/>
        <v>352.5</v>
      </c>
    </row>
    <row r="146" spans="1:13" ht="12.75" customHeight="1" x14ac:dyDescent="0.2">
      <c r="A146" s="210">
        <f t="shared" si="24"/>
        <v>387.5</v>
      </c>
      <c r="B146" s="205">
        <f t="shared" si="25"/>
        <v>2</v>
      </c>
      <c r="C146" s="206">
        <f t="shared" si="26"/>
        <v>0</v>
      </c>
      <c r="D146" s="205">
        <f t="shared" si="27"/>
        <v>0</v>
      </c>
      <c r="E146" s="206">
        <f t="shared" si="28"/>
        <v>3</v>
      </c>
      <c r="F146" s="205">
        <f t="shared" si="29"/>
        <v>1</v>
      </c>
      <c r="G146" s="206">
        <f t="shared" si="30"/>
        <v>0</v>
      </c>
      <c r="H146" s="205">
        <f t="shared" si="31"/>
        <v>0</v>
      </c>
      <c r="I146" s="206">
        <f t="shared" si="32"/>
        <v>1</v>
      </c>
      <c r="J146" s="205">
        <f t="shared" si="33"/>
        <v>0</v>
      </c>
      <c r="K146" s="206"/>
      <c r="L146" s="208">
        <f t="shared" si="35"/>
        <v>142</v>
      </c>
      <c r="M146" s="208">
        <f t="shared" si="34"/>
        <v>355</v>
      </c>
    </row>
    <row r="147" spans="1:13" ht="12.75" customHeight="1" x14ac:dyDescent="0.2">
      <c r="A147" s="210">
        <f t="shared" si="24"/>
        <v>390</v>
      </c>
      <c r="B147" s="205">
        <f t="shared" si="25"/>
        <v>2</v>
      </c>
      <c r="C147" s="206">
        <f t="shared" si="26"/>
        <v>0</v>
      </c>
      <c r="D147" s="205">
        <f t="shared" si="27"/>
        <v>0</v>
      </c>
      <c r="E147" s="206">
        <f t="shared" si="28"/>
        <v>3</v>
      </c>
      <c r="F147" s="205">
        <f t="shared" si="29"/>
        <v>1</v>
      </c>
      <c r="G147" s="206">
        <f t="shared" si="30"/>
        <v>0</v>
      </c>
      <c r="H147" s="205">
        <f t="shared" si="31"/>
        <v>0</v>
      </c>
      <c r="I147" s="206">
        <f t="shared" si="32"/>
        <v>1</v>
      </c>
      <c r="J147" s="205">
        <f t="shared" si="33"/>
        <v>1</v>
      </c>
      <c r="K147" s="206"/>
      <c r="L147" s="208">
        <f t="shared" si="35"/>
        <v>143</v>
      </c>
      <c r="M147" s="208">
        <f t="shared" si="34"/>
        <v>357.5</v>
      </c>
    </row>
    <row r="148" spans="1:13" ht="12.75" customHeight="1" x14ac:dyDescent="0.2">
      <c r="A148" s="210">
        <f t="shared" si="24"/>
        <v>392.5</v>
      </c>
      <c r="B148" s="205">
        <f t="shared" si="25"/>
        <v>2</v>
      </c>
      <c r="C148" s="206">
        <f t="shared" si="26"/>
        <v>0</v>
      </c>
      <c r="D148" s="205">
        <f t="shared" si="27"/>
        <v>0</v>
      </c>
      <c r="E148" s="206">
        <f t="shared" si="28"/>
        <v>4</v>
      </c>
      <c r="F148" s="205">
        <f t="shared" si="29"/>
        <v>0</v>
      </c>
      <c r="G148" s="206">
        <f t="shared" si="30"/>
        <v>0</v>
      </c>
      <c r="H148" s="205">
        <f t="shared" si="31"/>
        <v>0</v>
      </c>
      <c r="I148" s="206">
        <f t="shared" si="32"/>
        <v>0</v>
      </c>
      <c r="J148" s="205">
        <f t="shared" si="33"/>
        <v>0</v>
      </c>
      <c r="K148" s="206"/>
      <c r="L148" s="208">
        <f t="shared" si="35"/>
        <v>144</v>
      </c>
      <c r="M148" s="208">
        <f t="shared" si="34"/>
        <v>360</v>
      </c>
    </row>
    <row r="149" spans="1:13" ht="12.75" customHeight="1" x14ac:dyDescent="0.2">
      <c r="A149" s="210">
        <f t="shared" si="24"/>
        <v>395</v>
      </c>
      <c r="B149" s="205">
        <f t="shared" si="25"/>
        <v>2</v>
      </c>
      <c r="C149" s="206">
        <f t="shared" si="26"/>
        <v>0</v>
      </c>
      <c r="D149" s="205">
        <f t="shared" si="27"/>
        <v>0</v>
      </c>
      <c r="E149" s="206">
        <f t="shared" si="28"/>
        <v>4</v>
      </c>
      <c r="F149" s="205">
        <f t="shared" si="29"/>
        <v>0</v>
      </c>
      <c r="G149" s="206">
        <f t="shared" si="30"/>
        <v>0</v>
      </c>
      <c r="H149" s="205">
        <f t="shared" si="31"/>
        <v>0</v>
      </c>
      <c r="I149" s="206">
        <f t="shared" si="32"/>
        <v>0</v>
      </c>
      <c r="J149" s="205">
        <f t="shared" si="33"/>
        <v>1</v>
      </c>
      <c r="K149" s="206"/>
      <c r="L149" s="208">
        <f t="shared" si="35"/>
        <v>145</v>
      </c>
      <c r="M149" s="208">
        <f t="shared" si="34"/>
        <v>362.5</v>
      </c>
    </row>
    <row r="150" spans="1:13" ht="12.75" customHeight="1" x14ac:dyDescent="0.2">
      <c r="A150" s="210">
        <f t="shared" si="24"/>
        <v>397.5</v>
      </c>
      <c r="B150" s="205">
        <f t="shared" si="25"/>
        <v>2</v>
      </c>
      <c r="C150" s="206">
        <f t="shared" si="26"/>
        <v>0</v>
      </c>
      <c r="D150" s="205">
        <f t="shared" si="27"/>
        <v>0</v>
      </c>
      <c r="E150" s="206">
        <f t="shared" si="28"/>
        <v>4</v>
      </c>
      <c r="F150" s="205">
        <f t="shared" si="29"/>
        <v>0</v>
      </c>
      <c r="G150" s="206">
        <f t="shared" si="30"/>
        <v>0</v>
      </c>
      <c r="H150" s="205">
        <f t="shared" si="31"/>
        <v>0</v>
      </c>
      <c r="I150" s="206">
        <f t="shared" si="32"/>
        <v>1</v>
      </c>
      <c r="J150" s="205">
        <f t="shared" si="33"/>
        <v>0</v>
      </c>
      <c r="K150" s="206"/>
      <c r="L150" s="208">
        <f t="shared" si="35"/>
        <v>146</v>
      </c>
      <c r="M150" s="208">
        <f t="shared" si="34"/>
        <v>365</v>
      </c>
    </row>
    <row r="151" spans="1:13" ht="12.75" customHeight="1" x14ac:dyDescent="0.2">
      <c r="A151" s="210">
        <f t="shared" si="24"/>
        <v>400</v>
      </c>
      <c r="B151" s="205">
        <f t="shared" si="25"/>
        <v>2</v>
      </c>
      <c r="C151" s="206">
        <f t="shared" si="26"/>
        <v>0</v>
      </c>
      <c r="D151" s="205">
        <f t="shared" si="27"/>
        <v>0</v>
      </c>
      <c r="E151" s="206">
        <f t="shared" si="28"/>
        <v>4</v>
      </c>
      <c r="F151" s="205">
        <f t="shared" si="29"/>
        <v>0</v>
      </c>
      <c r="G151" s="206">
        <f t="shared" si="30"/>
        <v>0</v>
      </c>
      <c r="H151" s="205">
        <f t="shared" si="31"/>
        <v>0</v>
      </c>
      <c r="I151" s="206">
        <f t="shared" si="32"/>
        <v>1</v>
      </c>
      <c r="J151" s="205">
        <f t="shared" si="33"/>
        <v>1</v>
      </c>
      <c r="K151" s="206"/>
      <c r="L151" s="208">
        <f t="shared" si="35"/>
        <v>147</v>
      </c>
      <c r="M151" s="208">
        <f t="shared" si="34"/>
        <v>367.5</v>
      </c>
    </row>
    <row r="152" spans="1:13" ht="12.75" customHeight="1" x14ac:dyDescent="0.2">
      <c r="A152" s="210">
        <f t="shared" si="24"/>
        <v>402.5</v>
      </c>
      <c r="B152" s="205">
        <f t="shared" si="25"/>
        <v>2</v>
      </c>
      <c r="C152" s="206">
        <f t="shared" si="26"/>
        <v>0</v>
      </c>
      <c r="D152" s="205">
        <f t="shared" si="27"/>
        <v>0</v>
      </c>
      <c r="E152" s="206">
        <f t="shared" si="28"/>
        <v>4</v>
      </c>
      <c r="F152" s="205">
        <f t="shared" si="29"/>
        <v>0</v>
      </c>
      <c r="G152" s="206">
        <f t="shared" si="30"/>
        <v>0</v>
      </c>
      <c r="H152" s="205">
        <f t="shared" si="31"/>
        <v>1</v>
      </c>
      <c r="I152" s="206">
        <f t="shared" si="32"/>
        <v>0</v>
      </c>
      <c r="J152" s="205">
        <f t="shared" si="33"/>
        <v>0</v>
      </c>
      <c r="K152" s="206"/>
      <c r="L152" s="208">
        <f t="shared" si="35"/>
        <v>148</v>
      </c>
      <c r="M152" s="208">
        <f t="shared" si="34"/>
        <v>370</v>
      </c>
    </row>
    <row r="153" spans="1:13" ht="12.75" customHeight="1" x14ac:dyDescent="0.2">
      <c r="A153" s="210">
        <f t="shared" si="24"/>
        <v>405</v>
      </c>
      <c r="B153" s="205">
        <f t="shared" si="25"/>
        <v>2</v>
      </c>
      <c r="C153" s="206">
        <f t="shared" si="26"/>
        <v>0</v>
      </c>
      <c r="D153" s="205">
        <f t="shared" si="27"/>
        <v>0</v>
      </c>
      <c r="E153" s="206">
        <f t="shared" si="28"/>
        <v>4</v>
      </c>
      <c r="F153" s="205">
        <f t="shared" si="29"/>
        <v>0</v>
      </c>
      <c r="G153" s="206">
        <f t="shared" si="30"/>
        <v>0</v>
      </c>
      <c r="H153" s="205">
        <f t="shared" si="31"/>
        <v>1</v>
      </c>
      <c r="I153" s="206">
        <f t="shared" si="32"/>
        <v>0</v>
      </c>
      <c r="J153" s="205">
        <f t="shared" si="33"/>
        <v>1</v>
      </c>
      <c r="K153" s="206"/>
      <c r="L153" s="208">
        <f t="shared" si="35"/>
        <v>149</v>
      </c>
      <c r="M153" s="208">
        <f t="shared" si="34"/>
        <v>372.5</v>
      </c>
    </row>
    <row r="154" spans="1:13" ht="12.75" customHeight="1" x14ac:dyDescent="0.2">
      <c r="A154" s="210">
        <f t="shared" si="24"/>
        <v>407.5</v>
      </c>
      <c r="B154" s="205">
        <f t="shared" si="25"/>
        <v>2</v>
      </c>
      <c r="C154" s="206">
        <f t="shared" si="26"/>
        <v>0</v>
      </c>
      <c r="D154" s="205">
        <f t="shared" si="27"/>
        <v>0</v>
      </c>
      <c r="E154" s="206">
        <f t="shared" si="28"/>
        <v>4</v>
      </c>
      <c r="F154" s="205">
        <f t="shared" si="29"/>
        <v>0</v>
      </c>
      <c r="G154" s="206">
        <f t="shared" si="30"/>
        <v>0</v>
      </c>
      <c r="H154" s="205">
        <f t="shared" si="31"/>
        <v>1</v>
      </c>
      <c r="I154" s="206">
        <f t="shared" si="32"/>
        <v>1</v>
      </c>
      <c r="J154" s="205">
        <f t="shared" si="33"/>
        <v>0</v>
      </c>
      <c r="K154" s="206"/>
      <c r="L154" s="208">
        <f t="shared" si="35"/>
        <v>150</v>
      </c>
      <c r="M154" s="208">
        <f t="shared" si="34"/>
        <v>375</v>
      </c>
    </row>
    <row r="155" spans="1:13" ht="12.75" customHeight="1" x14ac:dyDescent="0.2">
      <c r="A155" s="210">
        <f t="shared" si="24"/>
        <v>410</v>
      </c>
      <c r="B155" s="205">
        <f t="shared" si="25"/>
        <v>2</v>
      </c>
      <c r="C155" s="206">
        <f t="shared" si="26"/>
        <v>0</v>
      </c>
      <c r="D155" s="205">
        <f t="shared" si="27"/>
        <v>0</v>
      </c>
      <c r="E155" s="206">
        <f t="shared" si="28"/>
        <v>4</v>
      </c>
      <c r="F155" s="205">
        <f t="shared" si="29"/>
        <v>0</v>
      </c>
      <c r="G155" s="206">
        <f t="shared" si="30"/>
        <v>0</v>
      </c>
      <c r="H155" s="205">
        <f t="shared" si="31"/>
        <v>1</v>
      </c>
      <c r="I155" s="206">
        <f t="shared" si="32"/>
        <v>1</v>
      </c>
      <c r="J155" s="205">
        <f t="shared" si="33"/>
        <v>1</v>
      </c>
      <c r="K155" s="206"/>
      <c r="L155" s="208">
        <f t="shared" si="35"/>
        <v>151</v>
      </c>
      <c r="M155" s="208">
        <f t="shared" si="34"/>
        <v>377.5</v>
      </c>
    </row>
    <row r="156" spans="1:13" ht="12.75" customHeight="1" x14ac:dyDescent="0.2">
      <c r="A156" s="210">
        <f t="shared" si="24"/>
        <v>412.5</v>
      </c>
      <c r="B156" s="205">
        <f t="shared" si="25"/>
        <v>2</v>
      </c>
      <c r="C156" s="206">
        <f t="shared" si="26"/>
        <v>0</v>
      </c>
      <c r="D156" s="205">
        <f t="shared" si="27"/>
        <v>0</v>
      </c>
      <c r="E156" s="206">
        <f t="shared" si="28"/>
        <v>4</v>
      </c>
      <c r="F156" s="205">
        <f t="shared" si="29"/>
        <v>0</v>
      </c>
      <c r="G156" s="206">
        <f t="shared" si="30"/>
        <v>1</v>
      </c>
      <c r="H156" s="205">
        <f t="shared" si="31"/>
        <v>0</v>
      </c>
      <c r="I156" s="206">
        <f t="shared" si="32"/>
        <v>0</v>
      </c>
      <c r="J156" s="205">
        <f t="shared" si="33"/>
        <v>0</v>
      </c>
      <c r="K156" s="206"/>
      <c r="L156" s="208">
        <f t="shared" si="35"/>
        <v>152</v>
      </c>
      <c r="M156" s="208">
        <f t="shared" si="34"/>
        <v>380</v>
      </c>
    </row>
    <row r="157" spans="1:13" ht="12.75" customHeight="1" x14ac:dyDescent="0.2">
      <c r="A157" s="210">
        <f t="shared" si="24"/>
        <v>415</v>
      </c>
      <c r="B157" s="205">
        <f t="shared" si="25"/>
        <v>2</v>
      </c>
      <c r="C157" s="206">
        <f t="shared" si="26"/>
        <v>0</v>
      </c>
      <c r="D157" s="205">
        <f t="shared" si="27"/>
        <v>0</v>
      </c>
      <c r="E157" s="206">
        <f t="shared" si="28"/>
        <v>4</v>
      </c>
      <c r="F157" s="205">
        <f t="shared" si="29"/>
        <v>0</v>
      </c>
      <c r="G157" s="206">
        <f t="shared" si="30"/>
        <v>1</v>
      </c>
      <c r="H157" s="205">
        <f t="shared" si="31"/>
        <v>0</v>
      </c>
      <c r="I157" s="206">
        <f t="shared" si="32"/>
        <v>0</v>
      </c>
      <c r="J157" s="205">
        <f t="shared" si="33"/>
        <v>1</v>
      </c>
      <c r="K157" s="206"/>
      <c r="L157" s="208">
        <f t="shared" si="35"/>
        <v>153</v>
      </c>
      <c r="M157" s="208">
        <f t="shared" si="34"/>
        <v>382.5</v>
      </c>
    </row>
    <row r="158" spans="1:13" ht="12.75" customHeight="1" x14ac:dyDescent="0.2">
      <c r="A158" s="210">
        <f t="shared" si="24"/>
        <v>417.5</v>
      </c>
      <c r="B158" s="205">
        <f t="shared" si="25"/>
        <v>2</v>
      </c>
      <c r="C158" s="206">
        <f t="shared" si="26"/>
        <v>0</v>
      </c>
      <c r="D158" s="205">
        <f t="shared" si="27"/>
        <v>0</v>
      </c>
      <c r="E158" s="206">
        <f t="shared" si="28"/>
        <v>4</v>
      </c>
      <c r="F158" s="205">
        <f t="shared" si="29"/>
        <v>0</v>
      </c>
      <c r="G158" s="206">
        <f t="shared" si="30"/>
        <v>1</v>
      </c>
      <c r="H158" s="205">
        <f t="shared" si="31"/>
        <v>0</v>
      </c>
      <c r="I158" s="206">
        <f t="shared" si="32"/>
        <v>1</v>
      </c>
      <c r="J158" s="205">
        <f t="shared" si="33"/>
        <v>0</v>
      </c>
      <c r="K158" s="206"/>
      <c r="L158" s="208">
        <f t="shared" si="35"/>
        <v>154</v>
      </c>
      <c r="M158" s="208">
        <f t="shared" si="34"/>
        <v>385</v>
      </c>
    </row>
    <row r="159" spans="1:13" ht="12.75" customHeight="1" x14ac:dyDescent="0.2">
      <c r="A159" s="210">
        <f t="shared" si="24"/>
        <v>420</v>
      </c>
      <c r="B159" s="205">
        <f t="shared" si="25"/>
        <v>2</v>
      </c>
      <c r="C159" s="206">
        <f t="shared" si="26"/>
        <v>0</v>
      </c>
      <c r="D159" s="205">
        <f t="shared" si="27"/>
        <v>0</v>
      </c>
      <c r="E159" s="206">
        <f t="shared" si="28"/>
        <v>4</v>
      </c>
      <c r="F159" s="205">
        <f t="shared" si="29"/>
        <v>0</v>
      </c>
      <c r="G159" s="206">
        <f t="shared" si="30"/>
        <v>1</v>
      </c>
      <c r="H159" s="205">
        <f t="shared" si="31"/>
        <v>0</v>
      </c>
      <c r="I159" s="206">
        <f t="shared" si="32"/>
        <v>1</v>
      </c>
      <c r="J159" s="205">
        <f t="shared" si="33"/>
        <v>1</v>
      </c>
      <c r="K159" s="206"/>
      <c r="L159" s="208">
        <f t="shared" si="35"/>
        <v>155</v>
      </c>
      <c r="M159" s="208">
        <f t="shared" si="34"/>
        <v>387.5</v>
      </c>
    </row>
    <row r="160" spans="1:13" ht="12.75" customHeight="1" x14ac:dyDescent="0.2">
      <c r="A160" s="210">
        <f t="shared" si="24"/>
        <v>422.5</v>
      </c>
      <c r="B160" s="205">
        <f t="shared" si="25"/>
        <v>2</v>
      </c>
      <c r="C160" s="206">
        <f t="shared" si="26"/>
        <v>0</v>
      </c>
      <c r="D160" s="205">
        <f t="shared" si="27"/>
        <v>0</v>
      </c>
      <c r="E160" s="206">
        <f t="shared" si="28"/>
        <v>4</v>
      </c>
      <c r="F160" s="205">
        <f t="shared" si="29"/>
        <v>1</v>
      </c>
      <c r="G160" s="206">
        <f t="shared" si="30"/>
        <v>0</v>
      </c>
      <c r="H160" s="205">
        <f t="shared" si="31"/>
        <v>0</v>
      </c>
      <c r="I160" s="206">
        <f t="shared" si="32"/>
        <v>0</v>
      </c>
      <c r="J160" s="205">
        <f t="shared" si="33"/>
        <v>0</v>
      </c>
      <c r="K160" s="206"/>
      <c r="L160" s="208">
        <f t="shared" si="35"/>
        <v>156</v>
      </c>
      <c r="M160" s="208">
        <f t="shared" si="34"/>
        <v>390</v>
      </c>
    </row>
    <row r="161" spans="1:13" ht="12.75" customHeight="1" x14ac:dyDescent="0.2">
      <c r="A161" s="210">
        <f t="shared" si="24"/>
        <v>425</v>
      </c>
      <c r="B161" s="205">
        <f t="shared" si="25"/>
        <v>2</v>
      </c>
      <c r="C161" s="206">
        <f t="shared" si="26"/>
        <v>0</v>
      </c>
      <c r="D161" s="205">
        <f t="shared" si="27"/>
        <v>0</v>
      </c>
      <c r="E161" s="206">
        <f t="shared" si="28"/>
        <v>4</v>
      </c>
      <c r="F161" s="205">
        <f t="shared" si="29"/>
        <v>1</v>
      </c>
      <c r="G161" s="206">
        <f t="shared" si="30"/>
        <v>0</v>
      </c>
      <c r="H161" s="205">
        <f t="shared" si="31"/>
        <v>0</v>
      </c>
      <c r="I161" s="206">
        <f t="shared" si="32"/>
        <v>0</v>
      </c>
      <c r="J161" s="205">
        <f t="shared" si="33"/>
        <v>1</v>
      </c>
      <c r="K161" s="206"/>
      <c r="L161" s="208">
        <f t="shared" si="35"/>
        <v>157</v>
      </c>
      <c r="M161" s="208">
        <f t="shared" si="34"/>
        <v>392.5</v>
      </c>
    </row>
    <row r="162" spans="1:13" ht="12.75" customHeight="1" x14ac:dyDescent="0.2">
      <c r="A162" s="210">
        <f t="shared" si="24"/>
        <v>427.5</v>
      </c>
      <c r="B162" s="205">
        <f t="shared" si="25"/>
        <v>2</v>
      </c>
      <c r="C162" s="206">
        <f t="shared" si="26"/>
        <v>0</v>
      </c>
      <c r="D162" s="205">
        <f t="shared" si="27"/>
        <v>0</v>
      </c>
      <c r="E162" s="206">
        <f t="shared" si="28"/>
        <v>4</v>
      </c>
      <c r="F162" s="205">
        <f t="shared" si="29"/>
        <v>1</v>
      </c>
      <c r="G162" s="206">
        <f t="shared" si="30"/>
        <v>0</v>
      </c>
      <c r="H162" s="205">
        <f t="shared" si="31"/>
        <v>0</v>
      </c>
      <c r="I162" s="206">
        <f t="shared" si="32"/>
        <v>1</v>
      </c>
      <c r="J162" s="205">
        <f t="shared" si="33"/>
        <v>0</v>
      </c>
      <c r="K162" s="206"/>
      <c r="L162" s="208">
        <f t="shared" si="35"/>
        <v>158</v>
      </c>
      <c r="M162" s="208">
        <f t="shared" si="34"/>
        <v>395</v>
      </c>
    </row>
    <row r="163" spans="1:13" ht="12.75" customHeight="1" x14ac:dyDescent="0.2">
      <c r="A163" s="210">
        <f t="shared" si="24"/>
        <v>430</v>
      </c>
      <c r="B163" s="205">
        <f t="shared" si="25"/>
        <v>2</v>
      </c>
      <c r="C163" s="206">
        <f t="shared" si="26"/>
        <v>0</v>
      </c>
      <c r="D163" s="205">
        <f t="shared" si="27"/>
        <v>0</v>
      </c>
      <c r="E163" s="206">
        <f t="shared" si="28"/>
        <v>4</v>
      </c>
      <c r="F163" s="205">
        <f t="shared" si="29"/>
        <v>1</v>
      </c>
      <c r="G163" s="206">
        <f t="shared" si="30"/>
        <v>0</v>
      </c>
      <c r="H163" s="205">
        <f t="shared" si="31"/>
        <v>0</v>
      </c>
      <c r="I163" s="206">
        <f t="shared" si="32"/>
        <v>1</v>
      </c>
      <c r="J163" s="205">
        <f t="shared" si="33"/>
        <v>1</v>
      </c>
      <c r="K163" s="206"/>
      <c r="L163" s="208">
        <f t="shared" si="35"/>
        <v>159</v>
      </c>
      <c r="M163" s="208">
        <f t="shared" si="34"/>
        <v>397.5</v>
      </c>
    </row>
    <row r="164" spans="1:13" ht="12.75" customHeight="1" x14ac:dyDescent="0.2">
      <c r="A164" s="210">
        <f t="shared" si="24"/>
        <v>432.5</v>
      </c>
      <c r="B164" s="205">
        <f t="shared" si="25"/>
        <v>2</v>
      </c>
      <c r="C164" s="206">
        <f t="shared" si="26"/>
        <v>0</v>
      </c>
      <c r="D164" s="205">
        <f t="shared" si="27"/>
        <v>0</v>
      </c>
      <c r="E164" s="206">
        <f t="shared" si="28"/>
        <v>5</v>
      </c>
      <c r="F164" s="205">
        <f t="shared" si="29"/>
        <v>0</v>
      </c>
      <c r="G164" s="206">
        <f t="shared" si="30"/>
        <v>0</v>
      </c>
      <c r="H164" s="205">
        <f t="shared" si="31"/>
        <v>0</v>
      </c>
      <c r="I164" s="206">
        <f t="shared" si="32"/>
        <v>0</v>
      </c>
      <c r="J164" s="205">
        <f t="shared" si="33"/>
        <v>0</v>
      </c>
      <c r="K164" s="206"/>
      <c r="L164" s="208">
        <f t="shared" si="35"/>
        <v>160</v>
      </c>
      <c r="M164" s="208">
        <f t="shared" si="34"/>
        <v>400</v>
      </c>
    </row>
    <row r="165" spans="1:13" ht="12.75" customHeight="1" x14ac:dyDescent="0.2">
      <c r="A165" s="210">
        <f t="shared" si="24"/>
        <v>435</v>
      </c>
      <c r="B165" s="205">
        <f t="shared" si="25"/>
        <v>2</v>
      </c>
      <c r="C165" s="206">
        <f t="shared" si="26"/>
        <v>0</v>
      </c>
      <c r="D165" s="205">
        <f t="shared" si="27"/>
        <v>0</v>
      </c>
      <c r="E165" s="206">
        <f t="shared" si="28"/>
        <v>5</v>
      </c>
      <c r="F165" s="205">
        <f t="shared" si="29"/>
        <v>0</v>
      </c>
      <c r="G165" s="206">
        <f t="shared" si="30"/>
        <v>0</v>
      </c>
      <c r="H165" s="205">
        <f t="shared" si="31"/>
        <v>0</v>
      </c>
      <c r="I165" s="206">
        <f t="shared" si="32"/>
        <v>0</v>
      </c>
      <c r="J165" s="205">
        <f t="shared" si="33"/>
        <v>1</v>
      </c>
      <c r="K165" s="206"/>
      <c r="L165" s="208">
        <f t="shared" si="35"/>
        <v>161</v>
      </c>
      <c r="M165" s="208">
        <f t="shared" si="34"/>
        <v>402.5</v>
      </c>
    </row>
    <row r="166" spans="1:13" ht="12.75" customHeight="1" x14ac:dyDescent="0.2">
      <c r="A166" s="210">
        <f t="shared" si="24"/>
        <v>437.5</v>
      </c>
      <c r="B166" s="205">
        <f t="shared" si="25"/>
        <v>2</v>
      </c>
      <c r="C166" s="206">
        <f t="shared" si="26"/>
        <v>0</v>
      </c>
      <c r="D166" s="205">
        <f t="shared" si="27"/>
        <v>0</v>
      </c>
      <c r="E166" s="206">
        <f t="shared" si="28"/>
        <v>5</v>
      </c>
      <c r="F166" s="205">
        <f t="shared" si="29"/>
        <v>0</v>
      </c>
      <c r="G166" s="206">
        <f t="shared" si="30"/>
        <v>0</v>
      </c>
      <c r="H166" s="205">
        <f t="shared" si="31"/>
        <v>0</v>
      </c>
      <c r="I166" s="206">
        <f t="shared" si="32"/>
        <v>1</v>
      </c>
      <c r="J166" s="205">
        <f t="shared" si="33"/>
        <v>0</v>
      </c>
      <c r="K166" s="206"/>
      <c r="L166" s="208">
        <f t="shared" si="35"/>
        <v>162</v>
      </c>
      <c r="M166" s="208">
        <f t="shared" si="34"/>
        <v>405</v>
      </c>
    </row>
    <row r="167" spans="1:13" ht="12.75" customHeight="1" x14ac:dyDescent="0.2">
      <c r="A167" s="210">
        <f t="shared" si="24"/>
        <v>440</v>
      </c>
      <c r="B167" s="205">
        <f t="shared" si="25"/>
        <v>2</v>
      </c>
      <c r="C167" s="206">
        <f t="shared" si="26"/>
        <v>0</v>
      </c>
      <c r="D167" s="205">
        <f t="shared" si="27"/>
        <v>0</v>
      </c>
      <c r="E167" s="206">
        <f t="shared" si="28"/>
        <v>5</v>
      </c>
      <c r="F167" s="205">
        <f t="shared" si="29"/>
        <v>0</v>
      </c>
      <c r="G167" s="206">
        <f t="shared" si="30"/>
        <v>0</v>
      </c>
      <c r="H167" s="205">
        <f t="shared" si="31"/>
        <v>0</v>
      </c>
      <c r="I167" s="206">
        <f t="shared" si="32"/>
        <v>1</v>
      </c>
      <c r="J167" s="205">
        <f t="shared" si="33"/>
        <v>1</v>
      </c>
      <c r="K167" s="206"/>
      <c r="L167" s="208">
        <f t="shared" si="35"/>
        <v>163</v>
      </c>
      <c r="M167" s="208">
        <f t="shared" si="34"/>
        <v>407.5</v>
      </c>
    </row>
    <row r="168" spans="1:13" ht="12.75" customHeight="1" x14ac:dyDescent="0.2">
      <c r="A168" s="210">
        <f t="shared" si="24"/>
        <v>442.5</v>
      </c>
      <c r="B168" s="205">
        <f t="shared" si="25"/>
        <v>2</v>
      </c>
      <c r="C168" s="206">
        <f t="shared" si="26"/>
        <v>0</v>
      </c>
      <c r="D168" s="205">
        <f t="shared" si="27"/>
        <v>0</v>
      </c>
      <c r="E168" s="206">
        <f t="shared" si="28"/>
        <v>5</v>
      </c>
      <c r="F168" s="205">
        <f t="shared" si="29"/>
        <v>0</v>
      </c>
      <c r="G168" s="206">
        <f t="shared" si="30"/>
        <v>0</v>
      </c>
      <c r="H168" s="205">
        <f t="shared" si="31"/>
        <v>1</v>
      </c>
      <c r="I168" s="206">
        <f t="shared" si="32"/>
        <v>0</v>
      </c>
      <c r="J168" s="205">
        <f t="shared" si="33"/>
        <v>0</v>
      </c>
      <c r="K168" s="206"/>
      <c r="L168" s="208">
        <f t="shared" si="35"/>
        <v>164</v>
      </c>
      <c r="M168" s="208">
        <f t="shared" si="34"/>
        <v>410</v>
      </c>
    </row>
    <row r="169" spans="1:13" ht="12.75" customHeight="1" x14ac:dyDescent="0.2">
      <c r="A169" s="210">
        <f t="shared" si="24"/>
        <v>445</v>
      </c>
      <c r="B169" s="205">
        <f t="shared" si="25"/>
        <v>2</v>
      </c>
      <c r="C169" s="206">
        <f t="shared" si="26"/>
        <v>0</v>
      </c>
      <c r="D169" s="205">
        <f t="shared" si="27"/>
        <v>0</v>
      </c>
      <c r="E169" s="206">
        <f t="shared" si="28"/>
        <v>5</v>
      </c>
      <c r="F169" s="205">
        <f t="shared" si="29"/>
        <v>0</v>
      </c>
      <c r="G169" s="206">
        <f t="shared" si="30"/>
        <v>0</v>
      </c>
      <c r="H169" s="205">
        <f t="shared" si="31"/>
        <v>1</v>
      </c>
      <c r="I169" s="206">
        <f t="shared" si="32"/>
        <v>0</v>
      </c>
      <c r="J169" s="205">
        <f t="shared" si="33"/>
        <v>1</v>
      </c>
      <c r="K169" s="206"/>
      <c r="L169" s="208">
        <f t="shared" si="35"/>
        <v>165</v>
      </c>
      <c r="M169" s="208">
        <f t="shared" si="34"/>
        <v>412.5</v>
      </c>
    </row>
    <row r="170" spans="1:13" ht="12.75" customHeight="1" x14ac:dyDescent="0.2">
      <c r="A170" s="210">
        <f t="shared" si="24"/>
        <v>447.5</v>
      </c>
      <c r="B170" s="205">
        <f t="shared" si="25"/>
        <v>2</v>
      </c>
      <c r="C170" s="206">
        <f t="shared" si="26"/>
        <v>0</v>
      </c>
      <c r="D170" s="205">
        <f t="shared" si="27"/>
        <v>0</v>
      </c>
      <c r="E170" s="206">
        <f t="shared" si="28"/>
        <v>5</v>
      </c>
      <c r="F170" s="205">
        <f t="shared" si="29"/>
        <v>0</v>
      </c>
      <c r="G170" s="206">
        <f t="shared" si="30"/>
        <v>0</v>
      </c>
      <c r="H170" s="205">
        <f t="shared" si="31"/>
        <v>1</v>
      </c>
      <c r="I170" s="206">
        <f t="shared" si="32"/>
        <v>1</v>
      </c>
      <c r="J170" s="205">
        <f t="shared" si="33"/>
        <v>0</v>
      </c>
      <c r="K170" s="206"/>
      <c r="L170" s="208">
        <f t="shared" si="35"/>
        <v>166</v>
      </c>
      <c r="M170" s="208">
        <f t="shared" si="34"/>
        <v>415</v>
      </c>
    </row>
    <row r="171" spans="1:13" ht="12.75" customHeight="1" x14ac:dyDescent="0.2">
      <c r="A171" s="210">
        <f t="shared" si="24"/>
        <v>450</v>
      </c>
      <c r="B171" s="205">
        <f t="shared" si="25"/>
        <v>2</v>
      </c>
      <c r="C171" s="206">
        <f t="shared" si="26"/>
        <v>0</v>
      </c>
      <c r="D171" s="205">
        <f t="shared" si="27"/>
        <v>0</v>
      </c>
      <c r="E171" s="206">
        <f t="shared" si="28"/>
        <v>5</v>
      </c>
      <c r="F171" s="205">
        <f t="shared" si="29"/>
        <v>0</v>
      </c>
      <c r="G171" s="206">
        <f t="shared" si="30"/>
        <v>0</v>
      </c>
      <c r="H171" s="205">
        <f t="shared" si="31"/>
        <v>1</v>
      </c>
      <c r="I171" s="206">
        <f t="shared" si="32"/>
        <v>1</v>
      </c>
      <c r="J171" s="205">
        <f t="shared" si="33"/>
        <v>1</v>
      </c>
      <c r="K171" s="206"/>
      <c r="L171" s="208">
        <f t="shared" si="35"/>
        <v>167</v>
      </c>
      <c r="M171" s="208">
        <f t="shared" si="34"/>
        <v>417.5</v>
      </c>
    </row>
    <row r="172" spans="1:13" ht="12.75" customHeight="1" x14ac:dyDescent="0.2">
      <c r="A172" s="210">
        <f t="shared" si="24"/>
        <v>452.5</v>
      </c>
      <c r="B172" s="205">
        <f t="shared" si="25"/>
        <v>2</v>
      </c>
      <c r="C172" s="206">
        <f t="shared" si="26"/>
        <v>0</v>
      </c>
      <c r="D172" s="205">
        <f t="shared" si="27"/>
        <v>0</v>
      </c>
      <c r="E172" s="206">
        <f t="shared" si="28"/>
        <v>5</v>
      </c>
      <c r="F172" s="205">
        <f t="shared" si="29"/>
        <v>0</v>
      </c>
      <c r="G172" s="206">
        <f t="shared" si="30"/>
        <v>1</v>
      </c>
      <c r="H172" s="205">
        <f t="shared" si="31"/>
        <v>0</v>
      </c>
      <c r="I172" s="206">
        <f t="shared" si="32"/>
        <v>0</v>
      </c>
      <c r="J172" s="205">
        <f t="shared" si="33"/>
        <v>0</v>
      </c>
      <c r="K172" s="206"/>
      <c r="L172" s="208">
        <f t="shared" si="35"/>
        <v>168</v>
      </c>
      <c r="M172" s="208">
        <f t="shared" si="34"/>
        <v>420</v>
      </c>
    </row>
    <row r="173" spans="1:13" ht="12.75" customHeight="1" x14ac:dyDescent="0.2">
      <c r="A173" s="210">
        <f t="shared" si="24"/>
        <v>455</v>
      </c>
      <c r="B173" s="205">
        <f t="shared" si="25"/>
        <v>2</v>
      </c>
      <c r="C173" s="206">
        <f t="shared" si="26"/>
        <v>0</v>
      </c>
      <c r="D173" s="205">
        <f t="shared" si="27"/>
        <v>0</v>
      </c>
      <c r="E173" s="206">
        <f t="shared" si="28"/>
        <v>5</v>
      </c>
      <c r="F173" s="205">
        <f t="shared" si="29"/>
        <v>0</v>
      </c>
      <c r="G173" s="206">
        <f t="shared" si="30"/>
        <v>1</v>
      </c>
      <c r="H173" s="205">
        <f t="shared" si="31"/>
        <v>0</v>
      </c>
      <c r="I173" s="206">
        <f t="shared" si="32"/>
        <v>0</v>
      </c>
      <c r="J173" s="205">
        <f t="shared" si="33"/>
        <v>1</v>
      </c>
      <c r="K173" s="206"/>
      <c r="L173" s="208">
        <f t="shared" si="35"/>
        <v>169</v>
      </c>
      <c r="M173" s="208">
        <f t="shared" si="34"/>
        <v>422.5</v>
      </c>
    </row>
    <row r="174" spans="1:13" ht="12.75" customHeight="1" x14ac:dyDescent="0.2">
      <c r="A174" s="210">
        <f t="shared" si="24"/>
        <v>457.5</v>
      </c>
      <c r="B174" s="205">
        <f t="shared" si="25"/>
        <v>2</v>
      </c>
      <c r="C174" s="206">
        <f t="shared" si="26"/>
        <v>0</v>
      </c>
      <c r="D174" s="205">
        <f t="shared" si="27"/>
        <v>0</v>
      </c>
      <c r="E174" s="206">
        <f t="shared" si="28"/>
        <v>5</v>
      </c>
      <c r="F174" s="205">
        <f t="shared" si="29"/>
        <v>0</v>
      </c>
      <c r="G174" s="206">
        <f t="shared" si="30"/>
        <v>1</v>
      </c>
      <c r="H174" s="205">
        <f t="shared" si="31"/>
        <v>0</v>
      </c>
      <c r="I174" s="206">
        <f t="shared" si="32"/>
        <v>1</v>
      </c>
      <c r="J174" s="205">
        <f t="shared" si="33"/>
        <v>0</v>
      </c>
      <c r="K174" s="206"/>
      <c r="L174" s="208">
        <f t="shared" si="35"/>
        <v>170</v>
      </c>
      <c r="M174" s="208">
        <f t="shared" si="34"/>
        <v>425</v>
      </c>
    </row>
    <row r="175" spans="1:13" ht="12.75" customHeight="1" x14ac:dyDescent="0.2">
      <c r="A175" s="210">
        <f t="shared" si="24"/>
        <v>460</v>
      </c>
      <c r="B175" s="205">
        <f t="shared" si="25"/>
        <v>2</v>
      </c>
      <c r="C175" s="206">
        <f t="shared" si="26"/>
        <v>0</v>
      </c>
      <c r="D175" s="205">
        <f t="shared" si="27"/>
        <v>0</v>
      </c>
      <c r="E175" s="206">
        <f t="shared" si="28"/>
        <v>5</v>
      </c>
      <c r="F175" s="205">
        <f t="shared" si="29"/>
        <v>0</v>
      </c>
      <c r="G175" s="206">
        <f t="shared" si="30"/>
        <v>1</v>
      </c>
      <c r="H175" s="205">
        <f t="shared" si="31"/>
        <v>0</v>
      </c>
      <c r="I175" s="206">
        <f t="shared" si="32"/>
        <v>1</v>
      </c>
      <c r="J175" s="205">
        <f t="shared" si="33"/>
        <v>1</v>
      </c>
      <c r="K175" s="206"/>
      <c r="L175" s="208">
        <f t="shared" si="35"/>
        <v>171</v>
      </c>
      <c r="M175" s="208">
        <f t="shared" si="34"/>
        <v>427.5</v>
      </c>
    </row>
    <row r="176" spans="1:13" ht="12.75" customHeight="1" x14ac:dyDescent="0.2">
      <c r="A176" s="210">
        <f t="shared" si="24"/>
        <v>462.5</v>
      </c>
      <c r="B176" s="205">
        <f t="shared" si="25"/>
        <v>2</v>
      </c>
      <c r="C176" s="206">
        <f t="shared" si="26"/>
        <v>0</v>
      </c>
      <c r="D176" s="205">
        <f t="shared" si="27"/>
        <v>0</v>
      </c>
      <c r="E176" s="206">
        <f t="shared" si="28"/>
        <v>5</v>
      </c>
      <c r="F176" s="205">
        <f t="shared" si="29"/>
        <v>1</v>
      </c>
      <c r="G176" s="206">
        <f t="shared" si="30"/>
        <v>0</v>
      </c>
      <c r="H176" s="205">
        <f t="shared" si="31"/>
        <v>0</v>
      </c>
      <c r="I176" s="206">
        <f t="shared" si="32"/>
        <v>0</v>
      </c>
      <c r="J176" s="205">
        <f t="shared" si="33"/>
        <v>0</v>
      </c>
      <c r="K176" s="206"/>
      <c r="L176" s="208">
        <f t="shared" si="35"/>
        <v>172</v>
      </c>
      <c r="M176" s="208">
        <f t="shared" si="34"/>
        <v>430</v>
      </c>
    </row>
    <row r="177" spans="1:13" ht="12.75" customHeight="1" x14ac:dyDescent="0.2">
      <c r="A177" s="210">
        <f t="shared" si="24"/>
        <v>465</v>
      </c>
      <c r="B177" s="205">
        <f t="shared" si="25"/>
        <v>2</v>
      </c>
      <c r="C177" s="206">
        <f t="shared" si="26"/>
        <v>0</v>
      </c>
      <c r="D177" s="205">
        <f t="shared" si="27"/>
        <v>0</v>
      </c>
      <c r="E177" s="206">
        <f t="shared" si="28"/>
        <v>5</v>
      </c>
      <c r="F177" s="205">
        <f t="shared" si="29"/>
        <v>1</v>
      </c>
      <c r="G177" s="206">
        <f t="shared" si="30"/>
        <v>0</v>
      </c>
      <c r="H177" s="205">
        <f t="shared" si="31"/>
        <v>0</v>
      </c>
      <c r="I177" s="206">
        <f t="shared" si="32"/>
        <v>0</v>
      </c>
      <c r="J177" s="205">
        <f t="shared" si="33"/>
        <v>1</v>
      </c>
      <c r="K177" s="206"/>
      <c r="L177" s="208">
        <f t="shared" si="35"/>
        <v>173</v>
      </c>
      <c r="M177" s="208">
        <f t="shared" si="34"/>
        <v>432.5</v>
      </c>
    </row>
    <row r="178" spans="1:13" ht="12.75" customHeight="1" x14ac:dyDescent="0.2">
      <c r="A178" s="210">
        <f t="shared" si="24"/>
        <v>467.5</v>
      </c>
      <c r="B178" s="205">
        <f t="shared" si="25"/>
        <v>2</v>
      </c>
      <c r="C178" s="206">
        <f t="shared" si="26"/>
        <v>0</v>
      </c>
      <c r="D178" s="205">
        <f t="shared" si="27"/>
        <v>0</v>
      </c>
      <c r="E178" s="206">
        <f t="shared" si="28"/>
        <v>5</v>
      </c>
      <c r="F178" s="205">
        <f t="shared" si="29"/>
        <v>1</v>
      </c>
      <c r="G178" s="206">
        <f t="shared" si="30"/>
        <v>0</v>
      </c>
      <c r="H178" s="205">
        <f t="shared" si="31"/>
        <v>0</v>
      </c>
      <c r="I178" s="206">
        <f t="shared" si="32"/>
        <v>1</v>
      </c>
      <c r="J178" s="205">
        <f t="shared" si="33"/>
        <v>0</v>
      </c>
      <c r="K178" s="206"/>
      <c r="L178" s="208">
        <f t="shared" si="35"/>
        <v>174</v>
      </c>
      <c r="M178" s="208">
        <f t="shared" si="34"/>
        <v>435</v>
      </c>
    </row>
    <row r="179" spans="1:13" ht="12.75" customHeight="1" x14ac:dyDescent="0.2">
      <c r="A179" s="210">
        <f t="shared" si="24"/>
        <v>470</v>
      </c>
      <c r="B179" s="205">
        <f t="shared" si="25"/>
        <v>2</v>
      </c>
      <c r="C179" s="206">
        <f t="shared" si="26"/>
        <v>0</v>
      </c>
      <c r="D179" s="205">
        <f t="shared" si="27"/>
        <v>0</v>
      </c>
      <c r="E179" s="206">
        <f t="shared" si="28"/>
        <v>5</v>
      </c>
      <c r="F179" s="205">
        <f t="shared" si="29"/>
        <v>1</v>
      </c>
      <c r="G179" s="206">
        <f t="shared" si="30"/>
        <v>0</v>
      </c>
      <c r="H179" s="205">
        <f t="shared" si="31"/>
        <v>0</v>
      </c>
      <c r="I179" s="206">
        <f t="shared" si="32"/>
        <v>1</v>
      </c>
      <c r="J179" s="205">
        <f t="shared" si="33"/>
        <v>1</v>
      </c>
      <c r="K179" s="206"/>
      <c r="L179" s="208">
        <f t="shared" si="35"/>
        <v>175</v>
      </c>
      <c r="M179" s="208">
        <f t="shared" si="34"/>
        <v>437.5</v>
      </c>
    </row>
    <row r="180" spans="1:13" ht="12.75" customHeight="1" x14ac:dyDescent="0.2">
      <c r="A180" s="210">
        <f t="shared" si="24"/>
        <v>472.5</v>
      </c>
      <c r="B180" s="205">
        <f t="shared" si="25"/>
        <v>2</v>
      </c>
      <c r="C180" s="206">
        <f t="shared" si="26"/>
        <v>0</v>
      </c>
      <c r="D180" s="205">
        <f t="shared" si="27"/>
        <v>0</v>
      </c>
      <c r="E180" s="206">
        <f t="shared" si="28"/>
        <v>6</v>
      </c>
      <c r="F180" s="205">
        <f t="shared" si="29"/>
        <v>0</v>
      </c>
      <c r="G180" s="206">
        <f t="shared" si="30"/>
        <v>0</v>
      </c>
      <c r="H180" s="205">
        <f t="shared" si="31"/>
        <v>0</v>
      </c>
      <c r="I180" s="206">
        <f t="shared" si="32"/>
        <v>0</v>
      </c>
      <c r="J180" s="205">
        <f t="shared" si="33"/>
        <v>0</v>
      </c>
      <c r="K180" s="206"/>
      <c r="L180" s="208">
        <f t="shared" si="35"/>
        <v>176</v>
      </c>
      <c r="M180" s="208">
        <f t="shared" si="34"/>
        <v>440</v>
      </c>
    </row>
    <row r="181" spans="1:13" ht="12.75" customHeight="1" x14ac:dyDescent="0.2">
      <c r="A181" s="210">
        <f t="shared" si="24"/>
        <v>475</v>
      </c>
      <c r="B181" s="205">
        <f t="shared" si="25"/>
        <v>2</v>
      </c>
      <c r="C181" s="206">
        <f t="shared" si="26"/>
        <v>0</v>
      </c>
      <c r="D181" s="205">
        <f t="shared" si="27"/>
        <v>0</v>
      </c>
      <c r="E181" s="206">
        <f t="shared" si="28"/>
        <v>6</v>
      </c>
      <c r="F181" s="205">
        <f t="shared" si="29"/>
        <v>0</v>
      </c>
      <c r="G181" s="206">
        <f t="shared" si="30"/>
        <v>0</v>
      </c>
      <c r="H181" s="205">
        <f t="shared" si="31"/>
        <v>0</v>
      </c>
      <c r="I181" s="206">
        <f t="shared" si="32"/>
        <v>0</v>
      </c>
      <c r="J181" s="205">
        <f t="shared" si="33"/>
        <v>1</v>
      </c>
      <c r="K181" s="206"/>
      <c r="L181" s="208">
        <f t="shared" si="35"/>
        <v>177</v>
      </c>
      <c r="M181" s="208">
        <f t="shared" si="34"/>
        <v>442.5</v>
      </c>
    </row>
    <row r="182" spans="1:13" ht="12.75" customHeight="1" x14ac:dyDescent="0.2">
      <c r="A182" s="210">
        <f t="shared" si="24"/>
        <v>477.5</v>
      </c>
      <c r="B182" s="205">
        <f t="shared" si="25"/>
        <v>2</v>
      </c>
      <c r="C182" s="206">
        <f t="shared" si="26"/>
        <v>0</v>
      </c>
      <c r="D182" s="205">
        <f t="shared" si="27"/>
        <v>0</v>
      </c>
      <c r="E182" s="206">
        <f t="shared" si="28"/>
        <v>6</v>
      </c>
      <c r="F182" s="205">
        <f t="shared" si="29"/>
        <v>0</v>
      </c>
      <c r="G182" s="206">
        <f t="shared" si="30"/>
        <v>0</v>
      </c>
      <c r="H182" s="205">
        <f t="shared" si="31"/>
        <v>0</v>
      </c>
      <c r="I182" s="206">
        <f t="shared" si="32"/>
        <v>1</v>
      </c>
      <c r="J182" s="205">
        <f t="shared" si="33"/>
        <v>0</v>
      </c>
      <c r="K182" s="206"/>
      <c r="L182" s="208">
        <f t="shared" si="35"/>
        <v>178</v>
      </c>
      <c r="M182" s="208">
        <f t="shared" si="34"/>
        <v>445</v>
      </c>
    </row>
    <row r="183" spans="1:13" ht="12.75" customHeight="1" x14ac:dyDescent="0.2">
      <c r="A183" s="210">
        <f t="shared" si="24"/>
        <v>480</v>
      </c>
      <c r="B183" s="205">
        <f t="shared" si="25"/>
        <v>2</v>
      </c>
      <c r="C183" s="206">
        <f t="shared" si="26"/>
        <v>0</v>
      </c>
      <c r="D183" s="205">
        <f t="shared" si="27"/>
        <v>0</v>
      </c>
      <c r="E183" s="206">
        <f t="shared" si="28"/>
        <v>6</v>
      </c>
      <c r="F183" s="205">
        <f t="shared" si="29"/>
        <v>0</v>
      </c>
      <c r="G183" s="206">
        <f t="shared" si="30"/>
        <v>0</v>
      </c>
      <c r="H183" s="205">
        <f t="shared" si="31"/>
        <v>0</v>
      </c>
      <c r="I183" s="206">
        <f t="shared" si="32"/>
        <v>1</v>
      </c>
      <c r="J183" s="205">
        <f t="shared" si="33"/>
        <v>1</v>
      </c>
      <c r="K183" s="206"/>
      <c r="L183" s="208">
        <f t="shared" si="35"/>
        <v>179</v>
      </c>
      <c r="M183" s="208">
        <f t="shared" si="34"/>
        <v>447.5</v>
      </c>
    </row>
    <row r="184" spans="1:13" ht="12.75" customHeight="1" x14ac:dyDescent="0.2">
      <c r="A184" s="210">
        <f t="shared" si="24"/>
        <v>482.5</v>
      </c>
      <c r="B184" s="205">
        <f t="shared" si="25"/>
        <v>2</v>
      </c>
      <c r="C184" s="206">
        <f t="shared" si="26"/>
        <v>0</v>
      </c>
      <c r="D184" s="205">
        <f t="shared" si="27"/>
        <v>0</v>
      </c>
      <c r="E184" s="206">
        <f t="shared" si="28"/>
        <v>6</v>
      </c>
      <c r="F184" s="205">
        <f t="shared" si="29"/>
        <v>0</v>
      </c>
      <c r="G184" s="206">
        <f t="shared" si="30"/>
        <v>0</v>
      </c>
      <c r="H184" s="205">
        <f t="shared" si="31"/>
        <v>1</v>
      </c>
      <c r="I184" s="206">
        <f t="shared" si="32"/>
        <v>0</v>
      </c>
      <c r="J184" s="205">
        <f t="shared" si="33"/>
        <v>0</v>
      </c>
      <c r="K184" s="206"/>
      <c r="L184" s="208">
        <f t="shared" si="35"/>
        <v>180</v>
      </c>
      <c r="M184" s="208">
        <f t="shared" si="34"/>
        <v>450</v>
      </c>
    </row>
    <row r="185" spans="1:13" ht="12.75" customHeight="1" x14ac:dyDescent="0.2">
      <c r="A185" s="210">
        <f t="shared" si="24"/>
        <v>485</v>
      </c>
      <c r="B185" s="205">
        <f t="shared" si="25"/>
        <v>2</v>
      </c>
      <c r="C185" s="206">
        <f t="shared" si="26"/>
        <v>0</v>
      </c>
      <c r="D185" s="205">
        <f t="shared" si="27"/>
        <v>0</v>
      </c>
      <c r="E185" s="206">
        <f t="shared" si="28"/>
        <v>6</v>
      </c>
      <c r="F185" s="205">
        <f t="shared" si="29"/>
        <v>0</v>
      </c>
      <c r="G185" s="206">
        <f t="shared" si="30"/>
        <v>0</v>
      </c>
      <c r="H185" s="205">
        <f t="shared" si="31"/>
        <v>1</v>
      </c>
      <c r="I185" s="206">
        <f t="shared" si="32"/>
        <v>0</v>
      </c>
      <c r="J185" s="205">
        <f t="shared" si="33"/>
        <v>1</v>
      </c>
      <c r="K185" s="206"/>
      <c r="L185" s="208">
        <f t="shared" si="35"/>
        <v>181</v>
      </c>
      <c r="M185" s="208">
        <f t="shared" si="34"/>
        <v>452.5</v>
      </c>
    </row>
    <row r="186" spans="1:13" ht="12.75" customHeight="1" x14ac:dyDescent="0.2">
      <c r="A186" s="210">
        <f t="shared" si="24"/>
        <v>487.5</v>
      </c>
      <c r="B186" s="205">
        <f t="shared" si="25"/>
        <v>2</v>
      </c>
      <c r="C186" s="206">
        <f t="shared" si="26"/>
        <v>0</v>
      </c>
      <c r="D186" s="205">
        <f t="shared" si="27"/>
        <v>0</v>
      </c>
      <c r="E186" s="206">
        <f t="shared" si="28"/>
        <v>6</v>
      </c>
      <c r="F186" s="205">
        <f t="shared" si="29"/>
        <v>0</v>
      </c>
      <c r="G186" s="206">
        <f t="shared" si="30"/>
        <v>0</v>
      </c>
      <c r="H186" s="205">
        <f t="shared" si="31"/>
        <v>1</v>
      </c>
      <c r="I186" s="206">
        <f t="shared" si="32"/>
        <v>1</v>
      </c>
      <c r="J186" s="205">
        <f t="shared" si="33"/>
        <v>0</v>
      </c>
      <c r="K186" s="206"/>
      <c r="L186" s="208">
        <f t="shared" si="35"/>
        <v>182</v>
      </c>
      <c r="M186" s="208">
        <f t="shared" si="34"/>
        <v>455</v>
      </c>
    </row>
    <row r="187" spans="1:13" ht="12.75" customHeight="1" x14ac:dyDescent="0.2">
      <c r="A187" s="210">
        <f t="shared" si="24"/>
        <v>490</v>
      </c>
      <c r="B187" s="205">
        <f t="shared" si="25"/>
        <v>2</v>
      </c>
      <c r="C187" s="206">
        <f t="shared" si="26"/>
        <v>0</v>
      </c>
      <c r="D187" s="205">
        <f t="shared" si="27"/>
        <v>0</v>
      </c>
      <c r="E187" s="206">
        <f t="shared" si="28"/>
        <v>6</v>
      </c>
      <c r="F187" s="205">
        <f t="shared" si="29"/>
        <v>0</v>
      </c>
      <c r="G187" s="206">
        <f t="shared" si="30"/>
        <v>0</v>
      </c>
      <c r="H187" s="205">
        <f t="shared" si="31"/>
        <v>1</v>
      </c>
      <c r="I187" s="206">
        <f t="shared" si="32"/>
        <v>1</v>
      </c>
      <c r="J187" s="205">
        <f t="shared" si="33"/>
        <v>1</v>
      </c>
      <c r="K187" s="206"/>
      <c r="L187" s="208">
        <f t="shared" si="35"/>
        <v>183</v>
      </c>
      <c r="M187" s="208">
        <f t="shared" si="34"/>
        <v>457.5</v>
      </c>
    </row>
    <row r="188" spans="1:13" ht="12.75" customHeight="1" x14ac:dyDescent="0.2">
      <c r="A188" s="210">
        <f t="shared" si="24"/>
        <v>492.5</v>
      </c>
      <c r="B188" s="205">
        <f t="shared" si="25"/>
        <v>2</v>
      </c>
      <c r="C188" s="206">
        <f t="shared" si="26"/>
        <v>0</v>
      </c>
      <c r="D188" s="205">
        <f t="shared" si="27"/>
        <v>0</v>
      </c>
      <c r="E188" s="206">
        <f t="shared" si="28"/>
        <v>6</v>
      </c>
      <c r="F188" s="205">
        <f t="shared" si="29"/>
        <v>0</v>
      </c>
      <c r="G188" s="206">
        <f t="shared" si="30"/>
        <v>1</v>
      </c>
      <c r="H188" s="205">
        <f t="shared" si="31"/>
        <v>0</v>
      </c>
      <c r="I188" s="206">
        <f t="shared" si="32"/>
        <v>0</v>
      </c>
      <c r="J188" s="205">
        <f t="shared" si="33"/>
        <v>0</v>
      </c>
      <c r="K188" s="206"/>
      <c r="L188" s="208">
        <f t="shared" si="35"/>
        <v>184</v>
      </c>
      <c r="M188" s="208">
        <f t="shared" si="34"/>
        <v>460</v>
      </c>
    </row>
    <row r="189" spans="1:13" ht="12.75" customHeight="1" x14ac:dyDescent="0.2">
      <c r="A189" s="210">
        <f t="shared" si="24"/>
        <v>495</v>
      </c>
      <c r="B189" s="205">
        <f t="shared" si="25"/>
        <v>2</v>
      </c>
      <c r="C189" s="206">
        <f t="shared" si="26"/>
        <v>0</v>
      </c>
      <c r="D189" s="205">
        <f t="shared" si="27"/>
        <v>0</v>
      </c>
      <c r="E189" s="206">
        <f t="shared" si="28"/>
        <v>6</v>
      </c>
      <c r="F189" s="205">
        <f t="shared" si="29"/>
        <v>0</v>
      </c>
      <c r="G189" s="206">
        <f t="shared" si="30"/>
        <v>1</v>
      </c>
      <c r="H189" s="205">
        <f t="shared" si="31"/>
        <v>0</v>
      </c>
      <c r="I189" s="206">
        <f t="shared" si="32"/>
        <v>0</v>
      </c>
      <c r="J189" s="205">
        <f t="shared" si="33"/>
        <v>1</v>
      </c>
      <c r="K189" s="206"/>
      <c r="L189" s="208">
        <f t="shared" si="35"/>
        <v>185</v>
      </c>
      <c r="M189" s="208">
        <f t="shared" si="34"/>
        <v>462.5</v>
      </c>
    </row>
    <row r="190" spans="1:13" ht="12.75" customHeight="1" x14ac:dyDescent="0.2">
      <c r="A190" s="210">
        <f t="shared" si="24"/>
        <v>497.5</v>
      </c>
      <c r="B190" s="205">
        <f t="shared" si="25"/>
        <v>2</v>
      </c>
      <c r="C190" s="206">
        <f t="shared" si="26"/>
        <v>0</v>
      </c>
      <c r="D190" s="205">
        <f t="shared" si="27"/>
        <v>0</v>
      </c>
      <c r="E190" s="206">
        <f t="shared" si="28"/>
        <v>6</v>
      </c>
      <c r="F190" s="205">
        <f t="shared" si="29"/>
        <v>0</v>
      </c>
      <c r="G190" s="206">
        <f t="shared" si="30"/>
        <v>1</v>
      </c>
      <c r="H190" s="205">
        <f t="shared" si="31"/>
        <v>0</v>
      </c>
      <c r="I190" s="206">
        <f t="shared" si="32"/>
        <v>1</v>
      </c>
      <c r="J190" s="205">
        <f t="shared" si="33"/>
        <v>0</v>
      </c>
      <c r="K190" s="206"/>
      <c r="L190" s="208">
        <f t="shared" si="35"/>
        <v>186</v>
      </c>
      <c r="M190" s="208">
        <f t="shared" si="34"/>
        <v>465</v>
      </c>
    </row>
    <row r="191" spans="1:13" ht="12.75" customHeight="1" x14ac:dyDescent="0.2">
      <c r="A191" s="210">
        <f t="shared" si="24"/>
        <v>500</v>
      </c>
      <c r="B191" s="205">
        <f t="shared" si="25"/>
        <v>2</v>
      </c>
      <c r="C191" s="206">
        <f t="shared" si="26"/>
        <v>0</v>
      </c>
      <c r="D191" s="205">
        <f t="shared" si="27"/>
        <v>0</v>
      </c>
      <c r="E191" s="206">
        <f t="shared" si="28"/>
        <v>6</v>
      </c>
      <c r="F191" s="205">
        <f t="shared" si="29"/>
        <v>0</v>
      </c>
      <c r="G191" s="206">
        <f t="shared" si="30"/>
        <v>1</v>
      </c>
      <c r="H191" s="205">
        <f t="shared" si="31"/>
        <v>0</v>
      </c>
      <c r="I191" s="206">
        <f t="shared" si="32"/>
        <v>1</v>
      </c>
      <c r="J191" s="205">
        <f t="shared" si="33"/>
        <v>1</v>
      </c>
      <c r="K191" s="206"/>
      <c r="L191" s="208">
        <f t="shared" si="35"/>
        <v>187</v>
      </c>
      <c r="M191" s="208">
        <f t="shared" si="34"/>
        <v>467.5</v>
      </c>
    </row>
    <row r="192" spans="1:13" ht="12.75" customHeight="1" x14ac:dyDescent="0.2">
      <c r="A192" s="210">
        <f t="shared" si="24"/>
        <v>502.5</v>
      </c>
      <c r="B192" s="205">
        <f t="shared" si="25"/>
        <v>2</v>
      </c>
      <c r="C192" s="206">
        <f t="shared" si="26"/>
        <v>0</v>
      </c>
      <c r="D192" s="205">
        <f t="shared" si="27"/>
        <v>0</v>
      </c>
      <c r="E192" s="206">
        <f t="shared" si="28"/>
        <v>6</v>
      </c>
      <c r="F192" s="205">
        <f t="shared" si="29"/>
        <v>1</v>
      </c>
      <c r="G192" s="206">
        <f t="shared" si="30"/>
        <v>0</v>
      </c>
      <c r="H192" s="205">
        <f t="shared" si="31"/>
        <v>0</v>
      </c>
      <c r="I192" s="206">
        <f t="shared" si="32"/>
        <v>0</v>
      </c>
      <c r="J192" s="205">
        <f t="shared" si="33"/>
        <v>0</v>
      </c>
      <c r="K192" s="206"/>
      <c r="L192" s="208">
        <f t="shared" si="35"/>
        <v>188</v>
      </c>
      <c r="M192" s="208">
        <f t="shared" si="34"/>
        <v>470</v>
      </c>
    </row>
    <row r="193" spans="1:13" ht="12.75" customHeight="1" x14ac:dyDescent="0.2">
      <c r="A193" s="210">
        <f t="shared" si="24"/>
        <v>505</v>
      </c>
      <c r="B193" s="205">
        <f t="shared" si="25"/>
        <v>2</v>
      </c>
      <c r="C193" s="206">
        <f t="shared" si="26"/>
        <v>0</v>
      </c>
      <c r="D193" s="205">
        <f t="shared" si="27"/>
        <v>0</v>
      </c>
      <c r="E193" s="206">
        <f t="shared" si="28"/>
        <v>6</v>
      </c>
      <c r="F193" s="205">
        <f t="shared" si="29"/>
        <v>1</v>
      </c>
      <c r="G193" s="206">
        <f t="shared" si="30"/>
        <v>0</v>
      </c>
      <c r="H193" s="205">
        <f t="shared" si="31"/>
        <v>0</v>
      </c>
      <c r="I193" s="206">
        <f t="shared" si="32"/>
        <v>0</v>
      </c>
      <c r="J193" s="205">
        <f t="shared" si="33"/>
        <v>1</v>
      </c>
      <c r="K193" s="206"/>
      <c r="L193" s="208">
        <f t="shared" si="35"/>
        <v>189</v>
      </c>
      <c r="M193" s="208">
        <f t="shared" si="34"/>
        <v>472.5</v>
      </c>
    </row>
    <row r="194" spans="1:13" ht="12.75" customHeight="1" x14ac:dyDescent="0.2">
      <c r="A194" s="210">
        <f t="shared" si="24"/>
        <v>507.5</v>
      </c>
      <c r="B194" s="205">
        <f t="shared" si="25"/>
        <v>2</v>
      </c>
      <c r="C194" s="206">
        <f t="shared" si="26"/>
        <v>0</v>
      </c>
      <c r="D194" s="205">
        <f t="shared" si="27"/>
        <v>0</v>
      </c>
      <c r="E194" s="206">
        <f t="shared" si="28"/>
        <v>6</v>
      </c>
      <c r="F194" s="205">
        <f t="shared" si="29"/>
        <v>1</v>
      </c>
      <c r="G194" s="206">
        <f t="shared" si="30"/>
        <v>0</v>
      </c>
      <c r="H194" s="205">
        <f t="shared" si="31"/>
        <v>0</v>
      </c>
      <c r="I194" s="206">
        <f t="shared" si="32"/>
        <v>1</v>
      </c>
      <c r="J194" s="205">
        <f t="shared" si="33"/>
        <v>0</v>
      </c>
      <c r="K194" s="206"/>
      <c r="L194" s="208">
        <f t="shared" si="35"/>
        <v>190</v>
      </c>
      <c r="M194" s="208">
        <f t="shared" si="34"/>
        <v>475</v>
      </c>
    </row>
    <row r="195" spans="1:13" ht="12.75" customHeight="1" x14ac:dyDescent="0.2">
      <c r="A195" s="210">
        <f t="shared" si="24"/>
        <v>510</v>
      </c>
      <c r="B195" s="205">
        <f t="shared" si="25"/>
        <v>2</v>
      </c>
      <c r="C195" s="206">
        <f t="shared" si="26"/>
        <v>0</v>
      </c>
      <c r="D195" s="205">
        <f t="shared" si="27"/>
        <v>0</v>
      </c>
      <c r="E195" s="206">
        <f t="shared" si="28"/>
        <v>6</v>
      </c>
      <c r="F195" s="205">
        <f t="shared" si="29"/>
        <v>1</v>
      </c>
      <c r="G195" s="206">
        <f t="shared" si="30"/>
        <v>0</v>
      </c>
      <c r="H195" s="205">
        <f t="shared" si="31"/>
        <v>0</v>
      </c>
      <c r="I195" s="206">
        <f t="shared" si="32"/>
        <v>1</v>
      </c>
      <c r="J195" s="205">
        <f t="shared" si="33"/>
        <v>1</v>
      </c>
      <c r="K195" s="206"/>
      <c r="L195" s="208">
        <f t="shared" si="35"/>
        <v>191</v>
      </c>
      <c r="M195" s="208">
        <f t="shared" si="34"/>
        <v>477.5</v>
      </c>
    </row>
    <row r="196" spans="1:13" ht="12.75" customHeight="1" x14ac:dyDescent="0.2">
      <c r="A196" s="210">
        <f t="shared" si="24"/>
        <v>512.5</v>
      </c>
      <c r="B196" s="205">
        <f t="shared" si="25"/>
        <v>2</v>
      </c>
      <c r="C196" s="206">
        <f t="shared" si="26"/>
        <v>0</v>
      </c>
      <c r="D196" s="205">
        <f t="shared" si="27"/>
        <v>0</v>
      </c>
      <c r="E196" s="206">
        <f t="shared" si="28"/>
        <v>7</v>
      </c>
      <c r="F196" s="205">
        <f t="shared" si="29"/>
        <v>0</v>
      </c>
      <c r="G196" s="206">
        <f t="shared" si="30"/>
        <v>0</v>
      </c>
      <c r="H196" s="205">
        <f t="shared" si="31"/>
        <v>0</v>
      </c>
      <c r="I196" s="206">
        <f t="shared" si="32"/>
        <v>0</v>
      </c>
      <c r="J196" s="205">
        <f t="shared" si="33"/>
        <v>0</v>
      </c>
      <c r="K196" s="206"/>
      <c r="L196" s="208">
        <f t="shared" si="35"/>
        <v>192</v>
      </c>
      <c r="M196" s="208">
        <f t="shared" si="34"/>
        <v>480</v>
      </c>
    </row>
    <row r="197" spans="1:13" ht="12.75" customHeight="1" x14ac:dyDescent="0.2">
      <c r="A197" s="210">
        <f t="shared" ref="A197:A260" si="36">IF(M197+$K$2&gt;$L$1,0,M197+$K$2)</f>
        <v>515</v>
      </c>
      <c r="B197" s="205">
        <f t="shared" ref="B197:B260" si="37">IF(A197=0,0,MIN($B$1/2,INT(M197/(2*$B$2))))</f>
        <v>2</v>
      </c>
      <c r="C197" s="206">
        <f t="shared" ref="C197:C260" si="38">IF(A197=0,0,MIN($C$1/2,INT(($M197-2*$B197*$B$2)/(2*$C$2))))</f>
        <v>0</v>
      </c>
      <c r="D197" s="205">
        <f t="shared" ref="D197:D260" si="39">IF(A197=0,0,MIN($D$1/2,INT(($M197-2*$B197*$B$2-2*$C197*$C$2)/(2*$D$2))))</f>
        <v>0</v>
      </c>
      <c r="E197" s="206">
        <f t="shared" ref="E197:E260" si="40">IF(A197=0,0,MIN($E$1/2,INT(($M197-2*$B197*$B$2-2*$C197*$C$2-2*$D197*$D$2)/(2*$E$2))))</f>
        <v>7</v>
      </c>
      <c r="F197" s="205">
        <f t="shared" ref="F197:F260" si="41">IF(A197=0,0,MIN($F$1/2,INT(($M197-2*$B197*$B$2-2*$C197*$C$2-2*$D197*$D$2-2*$E197*$E$2)/(2*$F$2))))</f>
        <v>0</v>
      </c>
      <c r="G197" s="206">
        <f t="shared" ref="G197:G260" si="42">IF(A197=0,0,MIN($G$1/2,INT(($M197-2*$B197*$B$2-2*$C197*$C$2-2*$D197*$D$2-2*$E197*$E$2-2*$F197*$F$2)/(2*$G$2))))</f>
        <v>0</v>
      </c>
      <c r="H197" s="205">
        <f t="shared" ref="H197:H260" si="43">IF(A197=0,0,MIN($H$1/2,INT(($M197-2*$B197*$B$2-2*$C197*$C$2-2*$D197*$D$2-2*$E197*$E$2-2*$F197*$F$2-2*$G197*$G$2)/(2*$H$2))))</f>
        <v>0</v>
      </c>
      <c r="I197" s="206">
        <f t="shared" ref="I197:I260" si="44">IF(A197=0,0,MIN($I$1/2,INT(($M197-2*$B197*$B$2-2*$C197*$C$2-2*$D197*$D$2-2*$E197*$E$2-2*$F197*$F$2-2*$G197*$G$2-2*$H197*$H$2)/(2*$I$2))))</f>
        <v>0</v>
      </c>
      <c r="J197" s="205">
        <f t="shared" ref="J197:J260" si="45">IF(A197=0,0,MIN($J$1/2,INT(($M197-2*$B197*$B$2-2*$C197*$C$2-2*$D197*$D$2-2*$E197*$E$2-2*$F197*$F$2-2*$G197*$G$2-2*$H197*$H$2-2*$I197*$I$2)/(2*$J$2))))</f>
        <v>1</v>
      </c>
      <c r="K197" s="206"/>
      <c r="L197" s="208">
        <f t="shared" si="35"/>
        <v>193</v>
      </c>
      <c r="M197" s="208">
        <f t="shared" ref="M197:M260" si="46">IF($A$2="Pounds",5*L197,2.5*L197)</f>
        <v>482.5</v>
      </c>
    </row>
    <row r="198" spans="1:13" ht="12.75" customHeight="1" x14ac:dyDescent="0.2">
      <c r="A198" s="210">
        <f t="shared" si="36"/>
        <v>517.5</v>
      </c>
      <c r="B198" s="205">
        <f t="shared" si="37"/>
        <v>2</v>
      </c>
      <c r="C198" s="206">
        <f t="shared" si="38"/>
        <v>0</v>
      </c>
      <c r="D198" s="205">
        <f t="shared" si="39"/>
        <v>0</v>
      </c>
      <c r="E198" s="206">
        <f t="shared" si="40"/>
        <v>7</v>
      </c>
      <c r="F198" s="205">
        <f t="shared" si="41"/>
        <v>0</v>
      </c>
      <c r="G198" s="206">
        <f t="shared" si="42"/>
        <v>0</v>
      </c>
      <c r="H198" s="205">
        <f t="shared" si="43"/>
        <v>0</v>
      </c>
      <c r="I198" s="206">
        <f t="shared" si="44"/>
        <v>1</v>
      </c>
      <c r="J198" s="205">
        <f t="shared" si="45"/>
        <v>0</v>
      </c>
      <c r="K198" s="206"/>
      <c r="L198" s="208">
        <f t="shared" si="35"/>
        <v>194</v>
      </c>
      <c r="M198" s="208">
        <f t="shared" si="46"/>
        <v>485</v>
      </c>
    </row>
    <row r="199" spans="1:13" ht="12.75" customHeight="1" x14ac:dyDescent="0.2">
      <c r="A199" s="210">
        <f t="shared" si="36"/>
        <v>520</v>
      </c>
      <c r="B199" s="205">
        <f t="shared" si="37"/>
        <v>2</v>
      </c>
      <c r="C199" s="206">
        <f t="shared" si="38"/>
        <v>0</v>
      </c>
      <c r="D199" s="205">
        <f t="shared" si="39"/>
        <v>0</v>
      </c>
      <c r="E199" s="206">
        <f t="shared" si="40"/>
        <v>7</v>
      </c>
      <c r="F199" s="205">
        <f t="shared" si="41"/>
        <v>0</v>
      </c>
      <c r="G199" s="206">
        <f t="shared" si="42"/>
        <v>0</v>
      </c>
      <c r="H199" s="205">
        <f t="shared" si="43"/>
        <v>0</v>
      </c>
      <c r="I199" s="206">
        <f t="shared" si="44"/>
        <v>1</v>
      </c>
      <c r="J199" s="205">
        <f t="shared" si="45"/>
        <v>1</v>
      </c>
      <c r="K199" s="206"/>
      <c r="L199" s="208">
        <f t="shared" si="35"/>
        <v>195</v>
      </c>
      <c r="M199" s="208">
        <f t="shared" si="46"/>
        <v>487.5</v>
      </c>
    </row>
    <row r="200" spans="1:13" ht="12.75" customHeight="1" x14ac:dyDescent="0.2">
      <c r="A200" s="210">
        <f t="shared" si="36"/>
        <v>522.5</v>
      </c>
      <c r="B200" s="205">
        <f t="shared" si="37"/>
        <v>2</v>
      </c>
      <c r="C200" s="206">
        <f t="shared" si="38"/>
        <v>0</v>
      </c>
      <c r="D200" s="205">
        <f t="shared" si="39"/>
        <v>0</v>
      </c>
      <c r="E200" s="206">
        <f t="shared" si="40"/>
        <v>7</v>
      </c>
      <c r="F200" s="205">
        <f t="shared" si="41"/>
        <v>0</v>
      </c>
      <c r="G200" s="206">
        <f t="shared" si="42"/>
        <v>0</v>
      </c>
      <c r="H200" s="205">
        <f t="shared" si="43"/>
        <v>1</v>
      </c>
      <c r="I200" s="206">
        <f t="shared" si="44"/>
        <v>0</v>
      </c>
      <c r="J200" s="205">
        <f t="shared" si="45"/>
        <v>0</v>
      </c>
      <c r="K200" s="206"/>
      <c r="L200" s="208">
        <f t="shared" si="35"/>
        <v>196</v>
      </c>
      <c r="M200" s="208">
        <f t="shared" si="46"/>
        <v>490</v>
      </c>
    </row>
    <row r="201" spans="1:13" ht="12.75" customHeight="1" x14ac:dyDescent="0.2">
      <c r="A201" s="210">
        <f t="shared" si="36"/>
        <v>525</v>
      </c>
      <c r="B201" s="205">
        <f t="shared" si="37"/>
        <v>2</v>
      </c>
      <c r="C201" s="206">
        <f t="shared" si="38"/>
        <v>0</v>
      </c>
      <c r="D201" s="205">
        <f t="shared" si="39"/>
        <v>0</v>
      </c>
      <c r="E201" s="206">
        <f t="shared" si="40"/>
        <v>7</v>
      </c>
      <c r="F201" s="205">
        <f t="shared" si="41"/>
        <v>0</v>
      </c>
      <c r="G201" s="206">
        <f t="shared" si="42"/>
        <v>0</v>
      </c>
      <c r="H201" s="205">
        <f t="shared" si="43"/>
        <v>1</v>
      </c>
      <c r="I201" s="206">
        <f t="shared" si="44"/>
        <v>0</v>
      </c>
      <c r="J201" s="205">
        <f t="shared" si="45"/>
        <v>1</v>
      </c>
      <c r="K201" s="206"/>
      <c r="L201" s="208">
        <f t="shared" si="35"/>
        <v>197</v>
      </c>
      <c r="M201" s="208">
        <f t="shared" si="46"/>
        <v>492.5</v>
      </c>
    </row>
    <row r="202" spans="1:13" ht="12.75" customHeight="1" x14ac:dyDescent="0.2">
      <c r="A202" s="210">
        <f t="shared" si="36"/>
        <v>527.5</v>
      </c>
      <c r="B202" s="205">
        <f t="shared" si="37"/>
        <v>2</v>
      </c>
      <c r="C202" s="206">
        <f t="shared" si="38"/>
        <v>0</v>
      </c>
      <c r="D202" s="205">
        <f t="shared" si="39"/>
        <v>0</v>
      </c>
      <c r="E202" s="206">
        <f t="shared" si="40"/>
        <v>7</v>
      </c>
      <c r="F202" s="205">
        <f t="shared" si="41"/>
        <v>0</v>
      </c>
      <c r="G202" s="206">
        <f t="shared" si="42"/>
        <v>0</v>
      </c>
      <c r="H202" s="205">
        <f t="shared" si="43"/>
        <v>1</v>
      </c>
      <c r="I202" s="206">
        <f t="shared" si="44"/>
        <v>1</v>
      </c>
      <c r="J202" s="205">
        <f t="shared" si="45"/>
        <v>0</v>
      </c>
      <c r="K202" s="206"/>
      <c r="L202" s="208">
        <f t="shared" si="35"/>
        <v>198</v>
      </c>
      <c r="M202" s="208">
        <f t="shared" si="46"/>
        <v>495</v>
      </c>
    </row>
    <row r="203" spans="1:13" ht="12.75" customHeight="1" x14ac:dyDescent="0.2">
      <c r="A203" s="210">
        <f t="shared" si="36"/>
        <v>530</v>
      </c>
      <c r="B203" s="205">
        <f t="shared" si="37"/>
        <v>2</v>
      </c>
      <c r="C203" s="206">
        <f t="shared" si="38"/>
        <v>0</v>
      </c>
      <c r="D203" s="205">
        <f t="shared" si="39"/>
        <v>0</v>
      </c>
      <c r="E203" s="206">
        <f t="shared" si="40"/>
        <v>7</v>
      </c>
      <c r="F203" s="205">
        <f t="shared" si="41"/>
        <v>0</v>
      </c>
      <c r="G203" s="206">
        <f t="shared" si="42"/>
        <v>0</v>
      </c>
      <c r="H203" s="205">
        <f t="shared" si="43"/>
        <v>1</v>
      </c>
      <c r="I203" s="206">
        <f t="shared" si="44"/>
        <v>1</v>
      </c>
      <c r="J203" s="205">
        <f t="shared" si="45"/>
        <v>1</v>
      </c>
      <c r="K203" s="206"/>
      <c r="L203" s="208">
        <f t="shared" si="35"/>
        <v>199</v>
      </c>
      <c r="M203" s="208">
        <f t="shared" si="46"/>
        <v>497.5</v>
      </c>
    </row>
    <row r="204" spans="1:13" ht="12.75" customHeight="1" x14ac:dyDescent="0.2">
      <c r="A204" s="210">
        <f t="shared" si="36"/>
        <v>532.5</v>
      </c>
      <c r="B204" s="205">
        <f t="shared" si="37"/>
        <v>2</v>
      </c>
      <c r="C204" s="206">
        <f t="shared" si="38"/>
        <v>0</v>
      </c>
      <c r="D204" s="205">
        <f t="shared" si="39"/>
        <v>0</v>
      </c>
      <c r="E204" s="206">
        <f t="shared" si="40"/>
        <v>7</v>
      </c>
      <c r="F204" s="205">
        <f t="shared" si="41"/>
        <v>0</v>
      </c>
      <c r="G204" s="206">
        <f t="shared" si="42"/>
        <v>1</v>
      </c>
      <c r="H204" s="205">
        <f t="shared" si="43"/>
        <v>0</v>
      </c>
      <c r="I204" s="206">
        <f t="shared" si="44"/>
        <v>0</v>
      </c>
      <c r="J204" s="205">
        <f t="shared" si="45"/>
        <v>0</v>
      </c>
      <c r="K204" s="206"/>
      <c r="L204" s="208">
        <f t="shared" si="35"/>
        <v>200</v>
      </c>
      <c r="M204" s="208">
        <f t="shared" si="46"/>
        <v>500</v>
      </c>
    </row>
    <row r="205" spans="1:13" ht="12.75" customHeight="1" x14ac:dyDescent="0.2">
      <c r="A205" s="210">
        <f t="shared" si="36"/>
        <v>535</v>
      </c>
      <c r="B205" s="205">
        <f t="shared" si="37"/>
        <v>2</v>
      </c>
      <c r="C205" s="206">
        <f t="shared" si="38"/>
        <v>0</v>
      </c>
      <c r="D205" s="205">
        <f t="shared" si="39"/>
        <v>0</v>
      </c>
      <c r="E205" s="206">
        <f t="shared" si="40"/>
        <v>7</v>
      </c>
      <c r="F205" s="205">
        <f t="shared" si="41"/>
        <v>0</v>
      </c>
      <c r="G205" s="206">
        <f t="shared" si="42"/>
        <v>1</v>
      </c>
      <c r="H205" s="205">
        <f t="shared" si="43"/>
        <v>0</v>
      </c>
      <c r="I205" s="206">
        <f t="shared" si="44"/>
        <v>0</v>
      </c>
      <c r="J205" s="205">
        <f t="shared" si="45"/>
        <v>1</v>
      </c>
      <c r="K205" s="206"/>
      <c r="L205" s="208">
        <f t="shared" ref="L205:L260" si="47">L204+1</f>
        <v>201</v>
      </c>
      <c r="M205" s="208">
        <f t="shared" si="46"/>
        <v>502.5</v>
      </c>
    </row>
    <row r="206" spans="1:13" ht="12.75" customHeight="1" x14ac:dyDescent="0.2">
      <c r="A206" s="210">
        <f t="shared" si="36"/>
        <v>537.5</v>
      </c>
      <c r="B206" s="205">
        <f t="shared" si="37"/>
        <v>2</v>
      </c>
      <c r="C206" s="206">
        <f t="shared" si="38"/>
        <v>0</v>
      </c>
      <c r="D206" s="205">
        <f t="shared" si="39"/>
        <v>0</v>
      </c>
      <c r="E206" s="206">
        <f t="shared" si="40"/>
        <v>7</v>
      </c>
      <c r="F206" s="205">
        <f t="shared" si="41"/>
        <v>0</v>
      </c>
      <c r="G206" s="206">
        <f t="shared" si="42"/>
        <v>1</v>
      </c>
      <c r="H206" s="205">
        <f t="shared" si="43"/>
        <v>0</v>
      </c>
      <c r="I206" s="206">
        <f t="shared" si="44"/>
        <v>1</v>
      </c>
      <c r="J206" s="205">
        <f t="shared" si="45"/>
        <v>0</v>
      </c>
      <c r="K206" s="206"/>
      <c r="L206" s="208">
        <f t="shared" si="47"/>
        <v>202</v>
      </c>
      <c r="M206" s="208">
        <f t="shared" si="46"/>
        <v>505</v>
      </c>
    </row>
    <row r="207" spans="1:13" ht="12.75" customHeight="1" x14ac:dyDescent="0.2">
      <c r="A207" s="210">
        <f t="shared" si="36"/>
        <v>540</v>
      </c>
      <c r="B207" s="205">
        <f t="shared" si="37"/>
        <v>2</v>
      </c>
      <c r="C207" s="206">
        <f t="shared" si="38"/>
        <v>0</v>
      </c>
      <c r="D207" s="205">
        <f t="shared" si="39"/>
        <v>0</v>
      </c>
      <c r="E207" s="206">
        <f t="shared" si="40"/>
        <v>7</v>
      </c>
      <c r="F207" s="205">
        <f t="shared" si="41"/>
        <v>0</v>
      </c>
      <c r="G207" s="206">
        <f t="shared" si="42"/>
        <v>1</v>
      </c>
      <c r="H207" s="205">
        <f t="shared" si="43"/>
        <v>0</v>
      </c>
      <c r="I207" s="206">
        <f t="shared" si="44"/>
        <v>1</v>
      </c>
      <c r="J207" s="205">
        <f t="shared" si="45"/>
        <v>1</v>
      </c>
      <c r="K207" s="206"/>
      <c r="L207" s="208">
        <f t="shared" si="47"/>
        <v>203</v>
      </c>
      <c r="M207" s="208">
        <f t="shared" si="46"/>
        <v>507.5</v>
      </c>
    </row>
    <row r="208" spans="1:13" ht="12.75" customHeight="1" x14ac:dyDescent="0.2">
      <c r="A208" s="210">
        <f t="shared" si="36"/>
        <v>542.5</v>
      </c>
      <c r="B208" s="205">
        <f t="shared" si="37"/>
        <v>2</v>
      </c>
      <c r="C208" s="206">
        <f t="shared" si="38"/>
        <v>0</v>
      </c>
      <c r="D208" s="205">
        <f t="shared" si="39"/>
        <v>0</v>
      </c>
      <c r="E208" s="206">
        <f t="shared" si="40"/>
        <v>7</v>
      </c>
      <c r="F208" s="205">
        <f t="shared" si="41"/>
        <v>1</v>
      </c>
      <c r="G208" s="206">
        <f t="shared" si="42"/>
        <v>0</v>
      </c>
      <c r="H208" s="205">
        <f t="shared" si="43"/>
        <v>0</v>
      </c>
      <c r="I208" s="206">
        <f t="shared" si="44"/>
        <v>0</v>
      </c>
      <c r="J208" s="205">
        <f t="shared" si="45"/>
        <v>0</v>
      </c>
      <c r="K208" s="206"/>
      <c r="L208" s="208">
        <f t="shared" si="47"/>
        <v>204</v>
      </c>
      <c r="M208" s="208">
        <f t="shared" si="46"/>
        <v>510</v>
      </c>
    </row>
    <row r="209" spans="1:13" ht="12.75" customHeight="1" x14ac:dyDescent="0.2">
      <c r="A209" s="210">
        <f t="shared" si="36"/>
        <v>545</v>
      </c>
      <c r="B209" s="205">
        <f t="shared" si="37"/>
        <v>2</v>
      </c>
      <c r="C209" s="206">
        <f t="shared" si="38"/>
        <v>0</v>
      </c>
      <c r="D209" s="205">
        <f t="shared" si="39"/>
        <v>0</v>
      </c>
      <c r="E209" s="206">
        <f t="shared" si="40"/>
        <v>7</v>
      </c>
      <c r="F209" s="205">
        <f t="shared" si="41"/>
        <v>1</v>
      </c>
      <c r="G209" s="206">
        <f t="shared" si="42"/>
        <v>0</v>
      </c>
      <c r="H209" s="205">
        <f t="shared" si="43"/>
        <v>0</v>
      </c>
      <c r="I209" s="206">
        <f t="shared" si="44"/>
        <v>0</v>
      </c>
      <c r="J209" s="205">
        <f t="shared" si="45"/>
        <v>1</v>
      </c>
      <c r="K209" s="206"/>
      <c r="L209" s="208">
        <f t="shared" si="47"/>
        <v>205</v>
      </c>
      <c r="M209" s="208">
        <f t="shared" si="46"/>
        <v>512.5</v>
      </c>
    </row>
    <row r="210" spans="1:13" ht="12.75" customHeight="1" x14ac:dyDescent="0.2">
      <c r="A210" s="210">
        <f t="shared" si="36"/>
        <v>547.5</v>
      </c>
      <c r="B210" s="205">
        <f t="shared" si="37"/>
        <v>2</v>
      </c>
      <c r="C210" s="206">
        <f t="shared" si="38"/>
        <v>0</v>
      </c>
      <c r="D210" s="205">
        <f t="shared" si="39"/>
        <v>0</v>
      </c>
      <c r="E210" s="206">
        <f t="shared" si="40"/>
        <v>7</v>
      </c>
      <c r="F210" s="205">
        <f t="shared" si="41"/>
        <v>1</v>
      </c>
      <c r="G210" s="206">
        <f t="shared" si="42"/>
        <v>0</v>
      </c>
      <c r="H210" s="205">
        <f t="shared" si="43"/>
        <v>0</v>
      </c>
      <c r="I210" s="206">
        <f t="shared" si="44"/>
        <v>1</v>
      </c>
      <c r="J210" s="205">
        <f t="shared" si="45"/>
        <v>0</v>
      </c>
      <c r="K210" s="206"/>
      <c r="L210" s="208">
        <f t="shared" si="47"/>
        <v>206</v>
      </c>
      <c r="M210" s="208">
        <f t="shared" si="46"/>
        <v>515</v>
      </c>
    </row>
    <row r="211" spans="1:13" ht="12.75" customHeight="1" x14ac:dyDescent="0.2">
      <c r="A211" s="210">
        <f t="shared" si="36"/>
        <v>550</v>
      </c>
      <c r="B211" s="205">
        <f t="shared" si="37"/>
        <v>2</v>
      </c>
      <c r="C211" s="206">
        <f t="shared" si="38"/>
        <v>0</v>
      </c>
      <c r="D211" s="205">
        <f t="shared" si="39"/>
        <v>0</v>
      </c>
      <c r="E211" s="206">
        <f t="shared" si="40"/>
        <v>7</v>
      </c>
      <c r="F211" s="205">
        <f t="shared" si="41"/>
        <v>1</v>
      </c>
      <c r="G211" s="206">
        <f t="shared" si="42"/>
        <v>0</v>
      </c>
      <c r="H211" s="205">
        <f t="shared" si="43"/>
        <v>0</v>
      </c>
      <c r="I211" s="206">
        <f t="shared" si="44"/>
        <v>1</v>
      </c>
      <c r="J211" s="205">
        <f t="shared" si="45"/>
        <v>1</v>
      </c>
      <c r="K211" s="206"/>
      <c r="L211" s="208">
        <f t="shared" si="47"/>
        <v>207</v>
      </c>
      <c r="M211" s="208">
        <f t="shared" si="46"/>
        <v>517.5</v>
      </c>
    </row>
    <row r="212" spans="1:13" ht="12.75" customHeight="1" x14ac:dyDescent="0.2">
      <c r="A212" s="210">
        <f t="shared" si="36"/>
        <v>552.5</v>
      </c>
      <c r="B212" s="205">
        <f t="shared" si="37"/>
        <v>2</v>
      </c>
      <c r="C212" s="206">
        <f t="shared" si="38"/>
        <v>0</v>
      </c>
      <c r="D212" s="205">
        <f t="shared" si="39"/>
        <v>0</v>
      </c>
      <c r="E212" s="206">
        <f t="shared" si="40"/>
        <v>8</v>
      </c>
      <c r="F212" s="205">
        <f t="shared" si="41"/>
        <v>0</v>
      </c>
      <c r="G212" s="206">
        <f t="shared" si="42"/>
        <v>0</v>
      </c>
      <c r="H212" s="205">
        <f t="shared" si="43"/>
        <v>0</v>
      </c>
      <c r="I212" s="206">
        <f t="shared" si="44"/>
        <v>0</v>
      </c>
      <c r="J212" s="205">
        <f t="shared" si="45"/>
        <v>0</v>
      </c>
      <c r="K212" s="206"/>
      <c r="L212" s="208">
        <f t="shared" si="47"/>
        <v>208</v>
      </c>
      <c r="M212" s="208">
        <f t="shared" si="46"/>
        <v>520</v>
      </c>
    </row>
    <row r="213" spans="1:13" ht="12.75" customHeight="1" x14ac:dyDescent="0.2">
      <c r="A213" s="210">
        <f t="shared" si="36"/>
        <v>555</v>
      </c>
      <c r="B213" s="205">
        <f t="shared" si="37"/>
        <v>2</v>
      </c>
      <c r="C213" s="206">
        <f t="shared" si="38"/>
        <v>0</v>
      </c>
      <c r="D213" s="205">
        <f t="shared" si="39"/>
        <v>0</v>
      </c>
      <c r="E213" s="206">
        <f t="shared" si="40"/>
        <v>8</v>
      </c>
      <c r="F213" s="205">
        <f t="shared" si="41"/>
        <v>0</v>
      </c>
      <c r="G213" s="206">
        <f t="shared" si="42"/>
        <v>0</v>
      </c>
      <c r="H213" s="205">
        <f t="shared" si="43"/>
        <v>0</v>
      </c>
      <c r="I213" s="206">
        <f t="shared" si="44"/>
        <v>0</v>
      </c>
      <c r="J213" s="205">
        <f t="shared" si="45"/>
        <v>1</v>
      </c>
      <c r="K213" s="206"/>
      <c r="L213" s="208">
        <f t="shared" si="47"/>
        <v>209</v>
      </c>
      <c r="M213" s="208">
        <f t="shared" si="46"/>
        <v>522.5</v>
      </c>
    </row>
    <row r="214" spans="1:13" ht="12.75" customHeight="1" x14ac:dyDescent="0.2">
      <c r="A214" s="210">
        <f t="shared" si="36"/>
        <v>557.5</v>
      </c>
      <c r="B214" s="205">
        <f t="shared" si="37"/>
        <v>2</v>
      </c>
      <c r="C214" s="206">
        <f t="shared" si="38"/>
        <v>0</v>
      </c>
      <c r="D214" s="205">
        <f t="shared" si="39"/>
        <v>0</v>
      </c>
      <c r="E214" s="206">
        <f t="shared" si="40"/>
        <v>8</v>
      </c>
      <c r="F214" s="205">
        <f t="shared" si="41"/>
        <v>0</v>
      </c>
      <c r="G214" s="206">
        <f t="shared" si="42"/>
        <v>0</v>
      </c>
      <c r="H214" s="205">
        <f t="shared" si="43"/>
        <v>0</v>
      </c>
      <c r="I214" s="206">
        <f t="shared" si="44"/>
        <v>1</v>
      </c>
      <c r="J214" s="205">
        <f t="shared" si="45"/>
        <v>0</v>
      </c>
      <c r="K214" s="206"/>
      <c r="L214" s="208">
        <f t="shared" si="47"/>
        <v>210</v>
      </c>
      <c r="M214" s="208">
        <f t="shared" si="46"/>
        <v>525</v>
      </c>
    </row>
    <row r="215" spans="1:13" ht="12.75" customHeight="1" x14ac:dyDescent="0.2">
      <c r="A215" s="210">
        <f t="shared" si="36"/>
        <v>560</v>
      </c>
      <c r="B215" s="205">
        <f t="shared" si="37"/>
        <v>2</v>
      </c>
      <c r="C215" s="206">
        <f t="shared" si="38"/>
        <v>0</v>
      </c>
      <c r="D215" s="205">
        <f t="shared" si="39"/>
        <v>0</v>
      </c>
      <c r="E215" s="206">
        <f t="shared" si="40"/>
        <v>8</v>
      </c>
      <c r="F215" s="205">
        <f t="shared" si="41"/>
        <v>0</v>
      </c>
      <c r="G215" s="206">
        <f t="shared" si="42"/>
        <v>0</v>
      </c>
      <c r="H215" s="205">
        <f t="shared" si="43"/>
        <v>0</v>
      </c>
      <c r="I215" s="206">
        <f t="shared" si="44"/>
        <v>1</v>
      </c>
      <c r="J215" s="205">
        <f t="shared" si="45"/>
        <v>1</v>
      </c>
      <c r="K215" s="206"/>
      <c r="L215" s="208">
        <f t="shared" si="47"/>
        <v>211</v>
      </c>
      <c r="M215" s="208">
        <f t="shared" si="46"/>
        <v>527.5</v>
      </c>
    </row>
    <row r="216" spans="1:13" ht="12.75" customHeight="1" x14ac:dyDescent="0.2">
      <c r="A216" s="210">
        <f t="shared" si="36"/>
        <v>562.5</v>
      </c>
      <c r="B216" s="205">
        <f t="shared" si="37"/>
        <v>2</v>
      </c>
      <c r="C216" s="206">
        <f t="shared" si="38"/>
        <v>0</v>
      </c>
      <c r="D216" s="205">
        <f t="shared" si="39"/>
        <v>0</v>
      </c>
      <c r="E216" s="206">
        <f t="shared" si="40"/>
        <v>8</v>
      </c>
      <c r="F216" s="205">
        <f t="shared" si="41"/>
        <v>0</v>
      </c>
      <c r="G216" s="206">
        <f t="shared" si="42"/>
        <v>0</v>
      </c>
      <c r="H216" s="205">
        <f t="shared" si="43"/>
        <v>1</v>
      </c>
      <c r="I216" s="206">
        <f t="shared" si="44"/>
        <v>0</v>
      </c>
      <c r="J216" s="205">
        <f t="shared" si="45"/>
        <v>0</v>
      </c>
      <c r="K216" s="206"/>
      <c r="L216" s="208">
        <f t="shared" si="47"/>
        <v>212</v>
      </c>
      <c r="M216" s="208">
        <f t="shared" si="46"/>
        <v>530</v>
      </c>
    </row>
    <row r="217" spans="1:13" ht="12.75" customHeight="1" x14ac:dyDescent="0.2">
      <c r="A217" s="210">
        <f t="shared" si="36"/>
        <v>565</v>
      </c>
      <c r="B217" s="205">
        <f t="shared" si="37"/>
        <v>2</v>
      </c>
      <c r="C217" s="206">
        <f t="shared" si="38"/>
        <v>0</v>
      </c>
      <c r="D217" s="205">
        <f t="shared" si="39"/>
        <v>0</v>
      </c>
      <c r="E217" s="206">
        <f t="shared" si="40"/>
        <v>8</v>
      </c>
      <c r="F217" s="205">
        <f t="shared" si="41"/>
        <v>0</v>
      </c>
      <c r="G217" s="206">
        <f t="shared" si="42"/>
        <v>0</v>
      </c>
      <c r="H217" s="205">
        <f t="shared" si="43"/>
        <v>1</v>
      </c>
      <c r="I217" s="206">
        <f t="shared" si="44"/>
        <v>0</v>
      </c>
      <c r="J217" s="205">
        <f t="shared" si="45"/>
        <v>1</v>
      </c>
      <c r="K217" s="206"/>
      <c r="L217" s="208">
        <f t="shared" si="47"/>
        <v>213</v>
      </c>
      <c r="M217" s="208">
        <f t="shared" si="46"/>
        <v>532.5</v>
      </c>
    </row>
    <row r="218" spans="1:13" ht="12.75" customHeight="1" x14ac:dyDescent="0.2">
      <c r="A218" s="210">
        <f t="shared" si="36"/>
        <v>567.5</v>
      </c>
      <c r="B218" s="205">
        <f t="shared" si="37"/>
        <v>2</v>
      </c>
      <c r="C218" s="206">
        <f t="shared" si="38"/>
        <v>0</v>
      </c>
      <c r="D218" s="205">
        <f t="shared" si="39"/>
        <v>0</v>
      </c>
      <c r="E218" s="206">
        <f t="shared" si="40"/>
        <v>8</v>
      </c>
      <c r="F218" s="205">
        <f t="shared" si="41"/>
        <v>0</v>
      </c>
      <c r="G218" s="206">
        <f t="shared" si="42"/>
        <v>0</v>
      </c>
      <c r="H218" s="205">
        <f t="shared" si="43"/>
        <v>1</v>
      </c>
      <c r="I218" s="206">
        <f t="shared" si="44"/>
        <v>1</v>
      </c>
      <c r="J218" s="205">
        <f t="shared" si="45"/>
        <v>0</v>
      </c>
      <c r="K218" s="206"/>
      <c r="L218" s="208">
        <f t="shared" si="47"/>
        <v>214</v>
      </c>
      <c r="M218" s="208">
        <f t="shared" si="46"/>
        <v>535</v>
      </c>
    </row>
    <row r="219" spans="1:13" ht="12.75" customHeight="1" x14ac:dyDescent="0.2">
      <c r="A219" s="210">
        <f t="shared" si="36"/>
        <v>570</v>
      </c>
      <c r="B219" s="205">
        <f t="shared" si="37"/>
        <v>2</v>
      </c>
      <c r="C219" s="206">
        <f t="shared" si="38"/>
        <v>0</v>
      </c>
      <c r="D219" s="205">
        <f t="shared" si="39"/>
        <v>0</v>
      </c>
      <c r="E219" s="206">
        <f t="shared" si="40"/>
        <v>8</v>
      </c>
      <c r="F219" s="205">
        <f t="shared" si="41"/>
        <v>0</v>
      </c>
      <c r="G219" s="206">
        <f t="shared" si="42"/>
        <v>0</v>
      </c>
      <c r="H219" s="205">
        <f t="shared" si="43"/>
        <v>1</v>
      </c>
      <c r="I219" s="206">
        <f t="shared" si="44"/>
        <v>1</v>
      </c>
      <c r="J219" s="205">
        <f t="shared" si="45"/>
        <v>1</v>
      </c>
      <c r="K219" s="206"/>
      <c r="L219" s="208">
        <f t="shared" si="47"/>
        <v>215</v>
      </c>
      <c r="M219" s="208">
        <f t="shared" si="46"/>
        <v>537.5</v>
      </c>
    </row>
    <row r="220" spans="1:13" ht="12.75" customHeight="1" x14ac:dyDescent="0.2">
      <c r="A220" s="210">
        <f t="shared" si="36"/>
        <v>572.5</v>
      </c>
      <c r="B220" s="205">
        <f t="shared" si="37"/>
        <v>2</v>
      </c>
      <c r="C220" s="206">
        <f t="shared" si="38"/>
        <v>0</v>
      </c>
      <c r="D220" s="205">
        <f t="shared" si="39"/>
        <v>0</v>
      </c>
      <c r="E220" s="206">
        <f t="shared" si="40"/>
        <v>8</v>
      </c>
      <c r="F220" s="205">
        <f t="shared" si="41"/>
        <v>0</v>
      </c>
      <c r="G220" s="206">
        <f t="shared" si="42"/>
        <v>1</v>
      </c>
      <c r="H220" s="205">
        <f t="shared" si="43"/>
        <v>0</v>
      </c>
      <c r="I220" s="206">
        <f t="shared" si="44"/>
        <v>0</v>
      </c>
      <c r="J220" s="205">
        <f t="shared" si="45"/>
        <v>0</v>
      </c>
      <c r="K220" s="206"/>
      <c r="L220" s="208">
        <f t="shared" si="47"/>
        <v>216</v>
      </c>
      <c r="M220" s="208">
        <f t="shared" si="46"/>
        <v>540</v>
      </c>
    </row>
    <row r="221" spans="1:13" ht="12.75" customHeight="1" x14ac:dyDescent="0.2">
      <c r="A221" s="210">
        <f t="shared" si="36"/>
        <v>575</v>
      </c>
      <c r="B221" s="205">
        <f t="shared" si="37"/>
        <v>2</v>
      </c>
      <c r="C221" s="206">
        <f t="shared" si="38"/>
        <v>0</v>
      </c>
      <c r="D221" s="205">
        <f t="shared" si="39"/>
        <v>0</v>
      </c>
      <c r="E221" s="206">
        <f t="shared" si="40"/>
        <v>8</v>
      </c>
      <c r="F221" s="205">
        <f t="shared" si="41"/>
        <v>0</v>
      </c>
      <c r="G221" s="206">
        <f t="shared" si="42"/>
        <v>1</v>
      </c>
      <c r="H221" s="205">
        <f t="shared" si="43"/>
        <v>0</v>
      </c>
      <c r="I221" s="206">
        <f t="shared" si="44"/>
        <v>0</v>
      </c>
      <c r="J221" s="205">
        <f t="shared" si="45"/>
        <v>1</v>
      </c>
      <c r="K221" s="206"/>
      <c r="L221" s="208">
        <f t="shared" si="47"/>
        <v>217</v>
      </c>
      <c r="M221" s="208">
        <f t="shared" si="46"/>
        <v>542.5</v>
      </c>
    </row>
    <row r="222" spans="1:13" ht="12.75" customHeight="1" x14ac:dyDescent="0.2">
      <c r="A222" s="210">
        <f t="shared" si="36"/>
        <v>577.5</v>
      </c>
      <c r="B222" s="205">
        <f t="shared" si="37"/>
        <v>2</v>
      </c>
      <c r="C222" s="206">
        <f t="shared" si="38"/>
        <v>0</v>
      </c>
      <c r="D222" s="205">
        <f t="shared" si="39"/>
        <v>0</v>
      </c>
      <c r="E222" s="206">
        <f t="shared" si="40"/>
        <v>8</v>
      </c>
      <c r="F222" s="205">
        <f t="shared" si="41"/>
        <v>0</v>
      </c>
      <c r="G222" s="206">
        <f t="shared" si="42"/>
        <v>1</v>
      </c>
      <c r="H222" s="205">
        <f t="shared" si="43"/>
        <v>0</v>
      </c>
      <c r="I222" s="206">
        <f t="shared" si="44"/>
        <v>1</v>
      </c>
      <c r="J222" s="205">
        <f t="shared" si="45"/>
        <v>0</v>
      </c>
      <c r="K222" s="206"/>
      <c r="L222" s="208">
        <f t="shared" si="47"/>
        <v>218</v>
      </c>
      <c r="M222" s="208">
        <f t="shared" si="46"/>
        <v>545</v>
      </c>
    </row>
    <row r="223" spans="1:13" ht="12.75" customHeight="1" x14ac:dyDescent="0.2">
      <c r="A223" s="210">
        <f t="shared" si="36"/>
        <v>580</v>
      </c>
      <c r="B223" s="205">
        <f t="shared" si="37"/>
        <v>2</v>
      </c>
      <c r="C223" s="206">
        <f t="shared" si="38"/>
        <v>0</v>
      </c>
      <c r="D223" s="205">
        <f t="shared" si="39"/>
        <v>0</v>
      </c>
      <c r="E223" s="206">
        <f t="shared" si="40"/>
        <v>8</v>
      </c>
      <c r="F223" s="205">
        <f t="shared" si="41"/>
        <v>0</v>
      </c>
      <c r="G223" s="206">
        <f t="shared" si="42"/>
        <v>1</v>
      </c>
      <c r="H223" s="205">
        <f t="shared" si="43"/>
        <v>0</v>
      </c>
      <c r="I223" s="206">
        <f t="shared" si="44"/>
        <v>1</v>
      </c>
      <c r="J223" s="205">
        <f t="shared" si="45"/>
        <v>1</v>
      </c>
      <c r="K223" s="206"/>
      <c r="L223" s="208">
        <f t="shared" si="47"/>
        <v>219</v>
      </c>
      <c r="M223" s="208">
        <f t="shared" si="46"/>
        <v>547.5</v>
      </c>
    </row>
    <row r="224" spans="1:13" ht="12.75" customHeight="1" x14ac:dyDescent="0.2">
      <c r="A224" s="210">
        <f t="shared" si="36"/>
        <v>582.5</v>
      </c>
      <c r="B224" s="205">
        <f t="shared" si="37"/>
        <v>2</v>
      </c>
      <c r="C224" s="206">
        <f t="shared" si="38"/>
        <v>0</v>
      </c>
      <c r="D224" s="205">
        <f t="shared" si="39"/>
        <v>0</v>
      </c>
      <c r="E224" s="206">
        <f t="shared" si="40"/>
        <v>8</v>
      </c>
      <c r="F224" s="205">
        <f t="shared" si="41"/>
        <v>1</v>
      </c>
      <c r="G224" s="206">
        <f t="shared" si="42"/>
        <v>0</v>
      </c>
      <c r="H224" s="205">
        <f t="shared" si="43"/>
        <v>0</v>
      </c>
      <c r="I224" s="206">
        <f t="shared" si="44"/>
        <v>0</v>
      </c>
      <c r="J224" s="205">
        <f t="shared" si="45"/>
        <v>0</v>
      </c>
      <c r="K224" s="206"/>
      <c r="L224" s="208">
        <f t="shared" si="47"/>
        <v>220</v>
      </c>
      <c r="M224" s="208">
        <f t="shared" si="46"/>
        <v>550</v>
      </c>
    </row>
    <row r="225" spans="1:13" ht="12.75" customHeight="1" x14ac:dyDescent="0.2">
      <c r="A225" s="210">
        <f t="shared" si="36"/>
        <v>585</v>
      </c>
      <c r="B225" s="205">
        <f t="shared" si="37"/>
        <v>2</v>
      </c>
      <c r="C225" s="206">
        <f t="shared" si="38"/>
        <v>0</v>
      </c>
      <c r="D225" s="205">
        <f t="shared" si="39"/>
        <v>0</v>
      </c>
      <c r="E225" s="206">
        <f t="shared" si="40"/>
        <v>8</v>
      </c>
      <c r="F225" s="205">
        <f t="shared" si="41"/>
        <v>1</v>
      </c>
      <c r="G225" s="206">
        <f t="shared" si="42"/>
        <v>0</v>
      </c>
      <c r="H225" s="205">
        <f t="shared" si="43"/>
        <v>0</v>
      </c>
      <c r="I225" s="206">
        <f t="shared" si="44"/>
        <v>0</v>
      </c>
      <c r="J225" s="205">
        <f t="shared" si="45"/>
        <v>1</v>
      </c>
      <c r="K225" s="206"/>
      <c r="L225" s="208">
        <f t="shared" si="47"/>
        <v>221</v>
      </c>
      <c r="M225" s="208">
        <f t="shared" si="46"/>
        <v>552.5</v>
      </c>
    </row>
    <row r="226" spans="1:13" ht="12.75" customHeight="1" x14ac:dyDescent="0.2">
      <c r="A226" s="210">
        <f t="shared" si="36"/>
        <v>587.5</v>
      </c>
      <c r="B226" s="205">
        <f t="shared" si="37"/>
        <v>2</v>
      </c>
      <c r="C226" s="206">
        <f t="shared" si="38"/>
        <v>0</v>
      </c>
      <c r="D226" s="205">
        <f t="shared" si="39"/>
        <v>0</v>
      </c>
      <c r="E226" s="206">
        <f t="shared" si="40"/>
        <v>8</v>
      </c>
      <c r="F226" s="205">
        <f t="shared" si="41"/>
        <v>1</v>
      </c>
      <c r="G226" s="206">
        <f t="shared" si="42"/>
        <v>0</v>
      </c>
      <c r="H226" s="205">
        <f t="shared" si="43"/>
        <v>0</v>
      </c>
      <c r="I226" s="206">
        <f t="shared" si="44"/>
        <v>1</v>
      </c>
      <c r="J226" s="205">
        <f t="shared" si="45"/>
        <v>0</v>
      </c>
      <c r="K226" s="206"/>
      <c r="L226" s="208">
        <f t="shared" si="47"/>
        <v>222</v>
      </c>
      <c r="M226" s="208">
        <f t="shared" si="46"/>
        <v>555</v>
      </c>
    </row>
    <row r="227" spans="1:13" ht="12.75" customHeight="1" x14ac:dyDescent="0.2">
      <c r="A227" s="210">
        <f t="shared" si="36"/>
        <v>590</v>
      </c>
      <c r="B227" s="205">
        <f t="shared" si="37"/>
        <v>2</v>
      </c>
      <c r="C227" s="206">
        <f t="shared" si="38"/>
        <v>0</v>
      </c>
      <c r="D227" s="205">
        <f t="shared" si="39"/>
        <v>0</v>
      </c>
      <c r="E227" s="206">
        <f t="shared" si="40"/>
        <v>8</v>
      </c>
      <c r="F227" s="205">
        <f t="shared" si="41"/>
        <v>1</v>
      </c>
      <c r="G227" s="206">
        <f t="shared" si="42"/>
        <v>0</v>
      </c>
      <c r="H227" s="205">
        <f t="shared" si="43"/>
        <v>0</v>
      </c>
      <c r="I227" s="206">
        <f t="shared" si="44"/>
        <v>1</v>
      </c>
      <c r="J227" s="205">
        <f t="shared" si="45"/>
        <v>1</v>
      </c>
      <c r="K227" s="206"/>
      <c r="L227" s="208">
        <f t="shared" si="47"/>
        <v>223</v>
      </c>
      <c r="M227" s="208">
        <f t="shared" si="46"/>
        <v>557.5</v>
      </c>
    </row>
    <row r="228" spans="1:13" ht="12.75" customHeight="1" x14ac:dyDescent="0.2">
      <c r="A228" s="210">
        <f t="shared" si="36"/>
        <v>592.5</v>
      </c>
      <c r="B228" s="205">
        <f t="shared" si="37"/>
        <v>2</v>
      </c>
      <c r="C228" s="206">
        <f t="shared" si="38"/>
        <v>0</v>
      </c>
      <c r="D228" s="205">
        <f t="shared" si="39"/>
        <v>0</v>
      </c>
      <c r="E228" s="206">
        <f t="shared" si="40"/>
        <v>8</v>
      </c>
      <c r="F228" s="205">
        <f t="shared" si="41"/>
        <v>1</v>
      </c>
      <c r="G228" s="206">
        <f t="shared" si="42"/>
        <v>0</v>
      </c>
      <c r="H228" s="205">
        <f t="shared" si="43"/>
        <v>1</v>
      </c>
      <c r="I228" s="206">
        <f t="shared" si="44"/>
        <v>0</v>
      </c>
      <c r="J228" s="205">
        <f t="shared" si="45"/>
        <v>0</v>
      </c>
      <c r="K228" s="206"/>
      <c r="L228" s="208">
        <f t="shared" si="47"/>
        <v>224</v>
      </c>
      <c r="M228" s="208">
        <f t="shared" si="46"/>
        <v>560</v>
      </c>
    </row>
    <row r="229" spans="1:13" ht="12.75" customHeight="1" x14ac:dyDescent="0.2">
      <c r="A229" s="210">
        <f t="shared" si="36"/>
        <v>595</v>
      </c>
      <c r="B229" s="205">
        <f t="shared" si="37"/>
        <v>2</v>
      </c>
      <c r="C229" s="206">
        <f t="shared" si="38"/>
        <v>0</v>
      </c>
      <c r="D229" s="205">
        <f t="shared" si="39"/>
        <v>0</v>
      </c>
      <c r="E229" s="206">
        <f t="shared" si="40"/>
        <v>8</v>
      </c>
      <c r="F229" s="205">
        <f t="shared" si="41"/>
        <v>1</v>
      </c>
      <c r="G229" s="206">
        <f t="shared" si="42"/>
        <v>0</v>
      </c>
      <c r="H229" s="205">
        <f t="shared" si="43"/>
        <v>1</v>
      </c>
      <c r="I229" s="206">
        <f t="shared" si="44"/>
        <v>0</v>
      </c>
      <c r="J229" s="205">
        <f t="shared" si="45"/>
        <v>1</v>
      </c>
      <c r="K229" s="206"/>
      <c r="L229" s="208">
        <f t="shared" si="47"/>
        <v>225</v>
      </c>
      <c r="M229" s="208">
        <f t="shared" si="46"/>
        <v>562.5</v>
      </c>
    </row>
    <row r="230" spans="1:13" ht="12.75" customHeight="1" x14ac:dyDescent="0.2">
      <c r="A230" s="210">
        <f t="shared" si="36"/>
        <v>597.5</v>
      </c>
      <c r="B230" s="205">
        <f t="shared" si="37"/>
        <v>2</v>
      </c>
      <c r="C230" s="206">
        <f t="shared" si="38"/>
        <v>0</v>
      </c>
      <c r="D230" s="205">
        <f t="shared" si="39"/>
        <v>0</v>
      </c>
      <c r="E230" s="206">
        <f t="shared" si="40"/>
        <v>8</v>
      </c>
      <c r="F230" s="205">
        <f t="shared" si="41"/>
        <v>1</v>
      </c>
      <c r="G230" s="206">
        <f t="shared" si="42"/>
        <v>0</v>
      </c>
      <c r="H230" s="205">
        <f t="shared" si="43"/>
        <v>1</v>
      </c>
      <c r="I230" s="206">
        <f t="shared" si="44"/>
        <v>1</v>
      </c>
      <c r="J230" s="205">
        <f t="shared" si="45"/>
        <v>0</v>
      </c>
      <c r="K230" s="206"/>
      <c r="L230" s="208">
        <f t="shared" si="47"/>
        <v>226</v>
      </c>
      <c r="M230" s="208">
        <f t="shared" si="46"/>
        <v>565</v>
      </c>
    </row>
    <row r="231" spans="1:13" ht="12.75" customHeight="1" x14ac:dyDescent="0.2">
      <c r="A231" s="210">
        <f t="shared" si="36"/>
        <v>600</v>
      </c>
      <c r="B231" s="205">
        <f t="shared" si="37"/>
        <v>2</v>
      </c>
      <c r="C231" s="206">
        <f t="shared" si="38"/>
        <v>0</v>
      </c>
      <c r="D231" s="205">
        <f t="shared" si="39"/>
        <v>0</v>
      </c>
      <c r="E231" s="206">
        <f t="shared" si="40"/>
        <v>8</v>
      </c>
      <c r="F231" s="205">
        <f t="shared" si="41"/>
        <v>1</v>
      </c>
      <c r="G231" s="206">
        <f t="shared" si="42"/>
        <v>0</v>
      </c>
      <c r="H231" s="205">
        <f t="shared" si="43"/>
        <v>1</v>
      </c>
      <c r="I231" s="206">
        <f t="shared" si="44"/>
        <v>1</v>
      </c>
      <c r="J231" s="205">
        <f t="shared" si="45"/>
        <v>1</v>
      </c>
      <c r="K231" s="206"/>
      <c r="L231" s="208">
        <f t="shared" si="47"/>
        <v>227</v>
      </c>
      <c r="M231" s="208">
        <f t="shared" si="46"/>
        <v>567.5</v>
      </c>
    </row>
    <row r="232" spans="1:13" ht="12.75" customHeight="1" x14ac:dyDescent="0.2">
      <c r="A232" s="210">
        <f t="shared" si="36"/>
        <v>602.5</v>
      </c>
      <c r="B232" s="205">
        <f t="shared" si="37"/>
        <v>2</v>
      </c>
      <c r="C232" s="206">
        <f t="shared" si="38"/>
        <v>0</v>
      </c>
      <c r="D232" s="205">
        <f t="shared" si="39"/>
        <v>0</v>
      </c>
      <c r="E232" s="206">
        <f t="shared" si="40"/>
        <v>8</v>
      </c>
      <c r="F232" s="205">
        <f t="shared" si="41"/>
        <v>1</v>
      </c>
      <c r="G232" s="206">
        <f t="shared" si="42"/>
        <v>1</v>
      </c>
      <c r="H232" s="205">
        <f t="shared" si="43"/>
        <v>0</v>
      </c>
      <c r="I232" s="206">
        <f t="shared" si="44"/>
        <v>0</v>
      </c>
      <c r="J232" s="205">
        <f t="shared" si="45"/>
        <v>0</v>
      </c>
      <c r="K232" s="206"/>
      <c r="L232" s="208">
        <f t="shared" si="47"/>
        <v>228</v>
      </c>
      <c r="M232" s="208">
        <f t="shared" si="46"/>
        <v>570</v>
      </c>
    </row>
    <row r="233" spans="1:13" ht="12.75" customHeight="1" x14ac:dyDescent="0.2">
      <c r="A233" s="210">
        <f t="shared" si="36"/>
        <v>605</v>
      </c>
      <c r="B233" s="205">
        <f t="shared" si="37"/>
        <v>2</v>
      </c>
      <c r="C233" s="206">
        <f t="shared" si="38"/>
        <v>0</v>
      </c>
      <c r="D233" s="205">
        <f t="shared" si="39"/>
        <v>0</v>
      </c>
      <c r="E233" s="206">
        <f t="shared" si="40"/>
        <v>8</v>
      </c>
      <c r="F233" s="205">
        <f t="shared" si="41"/>
        <v>1</v>
      </c>
      <c r="G233" s="206">
        <f t="shared" si="42"/>
        <v>1</v>
      </c>
      <c r="H233" s="205">
        <f t="shared" si="43"/>
        <v>0</v>
      </c>
      <c r="I233" s="206">
        <f t="shared" si="44"/>
        <v>0</v>
      </c>
      <c r="J233" s="205">
        <f t="shared" si="45"/>
        <v>1</v>
      </c>
      <c r="K233" s="206"/>
      <c r="L233" s="208">
        <f t="shared" si="47"/>
        <v>229</v>
      </c>
      <c r="M233" s="208">
        <f t="shared" si="46"/>
        <v>572.5</v>
      </c>
    </row>
    <row r="234" spans="1:13" ht="12.75" customHeight="1" x14ac:dyDescent="0.2">
      <c r="A234" s="210">
        <f t="shared" si="36"/>
        <v>607.5</v>
      </c>
      <c r="B234" s="205">
        <f t="shared" si="37"/>
        <v>2</v>
      </c>
      <c r="C234" s="206">
        <f t="shared" si="38"/>
        <v>0</v>
      </c>
      <c r="D234" s="205">
        <f t="shared" si="39"/>
        <v>0</v>
      </c>
      <c r="E234" s="206">
        <f t="shared" si="40"/>
        <v>8</v>
      </c>
      <c r="F234" s="205">
        <f t="shared" si="41"/>
        <v>1</v>
      </c>
      <c r="G234" s="206">
        <f t="shared" si="42"/>
        <v>1</v>
      </c>
      <c r="H234" s="205">
        <f t="shared" si="43"/>
        <v>0</v>
      </c>
      <c r="I234" s="206">
        <f t="shared" si="44"/>
        <v>1</v>
      </c>
      <c r="J234" s="205">
        <f t="shared" si="45"/>
        <v>0</v>
      </c>
      <c r="K234" s="206"/>
      <c r="L234" s="208">
        <f t="shared" si="47"/>
        <v>230</v>
      </c>
      <c r="M234" s="208">
        <f t="shared" si="46"/>
        <v>575</v>
      </c>
    </row>
    <row r="235" spans="1:13" ht="12.75" customHeight="1" x14ac:dyDescent="0.2">
      <c r="A235" s="210">
        <f t="shared" si="36"/>
        <v>610</v>
      </c>
      <c r="B235" s="205">
        <f t="shared" si="37"/>
        <v>2</v>
      </c>
      <c r="C235" s="206">
        <f t="shared" si="38"/>
        <v>0</v>
      </c>
      <c r="D235" s="205">
        <f t="shared" si="39"/>
        <v>0</v>
      </c>
      <c r="E235" s="206">
        <f t="shared" si="40"/>
        <v>8</v>
      </c>
      <c r="F235" s="205">
        <f t="shared" si="41"/>
        <v>1</v>
      </c>
      <c r="G235" s="206">
        <f t="shared" si="42"/>
        <v>1</v>
      </c>
      <c r="H235" s="205">
        <f t="shared" si="43"/>
        <v>0</v>
      </c>
      <c r="I235" s="206">
        <f t="shared" si="44"/>
        <v>1</v>
      </c>
      <c r="J235" s="205">
        <f t="shared" si="45"/>
        <v>1</v>
      </c>
      <c r="K235" s="206"/>
      <c r="L235" s="208">
        <f t="shared" si="47"/>
        <v>231</v>
      </c>
      <c r="M235" s="208">
        <f t="shared" si="46"/>
        <v>577.5</v>
      </c>
    </row>
    <row r="236" spans="1:13" ht="12.75" customHeight="1" x14ac:dyDescent="0.2">
      <c r="A236" s="210">
        <f t="shared" si="36"/>
        <v>612.5</v>
      </c>
      <c r="B236" s="205">
        <f t="shared" si="37"/>
        <v>2</v>
      </c>
      <c r="C236" s="206">
        <f t="shared" si="38"/>
        <v>0</v>
      </c>
      <c r="D236" s="205">
        <f t="shared" si="39"/>
        <v>0</v>
      </c>
      <c r="E236" s="206">
        <f t="shared" si="40"/>
        <v>8</v>
      </c>
      <c r="F236" s="205">
        <f t="shared" si="41"/>
        <v>1</v>
      </c>
      <c r="G236" s="206">
        <f t="shared" si="42"/>
        <v>1</v>
      </c>
      <c r="H236" s="205">
        <f t="shared" si="43"/>
        <v>1</v>
      </c>
      <c r="I236" s="206">
        <f t="shared" si="44"/>
        <v>0</v>
      </c>
      <c r="J236" s="205">
        <f t="shared" si="45"/>
        <v>0</v>
      </c>
      <c r="K236" s="206"/>
      <c r="L236" s="208">
        <f t="shared" si="47"/>
        <v>232</v>
      </c>
      <c r="M236" s="208">
        <f t="shared" si="46"/>
        <v>580</v>
      </c>
    </row>
    <row r="237" spans="1:13" ht="12.75" customHeight="1" x14ac:dyDescent="0.2">
      <c r="A237" s="210">
        <f t="shared" si="36"/>
        <v>615</v>
      </c>
      <c r="B237" s="205">
        <f t="shared" si="37"/>
        <v>2</v>
      </c>
      <c r="C237" s="206">
        <f t="shared" si="38"/>
        <v>0</v>
      </c>
      <c r="D237" s="205">
        <f t="shared" si="39"/>
        <v>0</v>
      </c>
      <c r="E237" s="206">
        <f t="shared" si="40"/>
        <v>8</v>
      </c>
      <c r="F237" s="205">
        <f t="shared" si="41"/>
        <v>1</v>
      </c>
      <c r="G237" s="206">
        <f t="shared" si="42"/>
        <v>1</v>
      </c>
      <c r="H237" s="205">
        <f t="shared" si="43"/>
        <v>1</v>
      </c>
      <c r="I237" s="206">
        <f t="shared" si="44"/>
        <v>0</v>
      </c>
      <c r="J237" s="205">
        <f t="shared" si="45"/>
        <v>1</v>
      </c>
      <c r="K237" s="206"/>
      <c r="L237" s="208">
        <f t="shared" si="47"/>
        <v>233</v>
      </c>
      <c r="M237" s="208">
        <f t="shared" si="46"/>
        <v>582.5</v>
      </c>
    </row>
    <row r="238" spans="1:13" ht="12.75" customHeight="1" x14ac:dyDescent="0.2">
      <c r="A238" s="210">
        <f t="shared" si="36"/>
        <v>617.5</v>
      </c>
      <c r="B238" s="205">
        <f t="shared" si="37"/>
        <v>2</v>
      </c>
      <c r="C238" s="206">
        <f t="shared" si="38"/>
        <v>0</v>
      </c>
      <c r="D238" s="205">
        <f t="shared" si="39"/>
        <v>0</v>
      </c>
      <c r="E238" s="206">
        <f t="shared" si="40"/>
        <v>8</v>
      </c>
      <c r="F238" s="205">
        <f t="shared" si="41"/>
        <v>1</v>
      </c>
      <c r="G238" s="206">
        <f t="shared" si="42"/>
        <v>1</v>
      </c>
      <c r="H238" s="205">
        <f t="shared" si="43"/>
        <v>1</v>
      </c>
      <c r="I238" s="206">
        <f t="shared" si="44"/>
        <v>1</v>
      </c>
      <c r="J238" s="205">
        <f t="shared" si="45"/>
        <v>0</v>
      </c>
      <c r="K238" s="206"/>
      <c r="L238" s="208">
        <f t="shared" si="47"/>
        <v>234</v>
      </c>
      <c r="M238" s="208">
        <f t="shared" si="46"/>
        <v>585</v>
      </c>
    </row>
    <row r="239" spans="1:13" ht="12.75" customHeight="1" x14ac:dyDescent="0.2">
      <c r="A239" s="210">
        <f t="shared" si="36"/>
        <v>620</v>
      </c>
      <c r="B239" s="205">
        <f t="shared" si="37"/>
        <v>2</v>
      </c>
      <c r="C239" s="206">
        <f t="shared" si="38"/>
        <v>0</v>
      </c>
      <c r="D239" s="205">
        <f t="shared" si="39"/>
        <v>0</v>
      </c>
      <c r="E239" s="206">
        <f t="shared" si="40"/>
        <v>8</v>
      </c>
      <c r="F239" s="205">
        <f t="shared" si="41"/>
        <v>1</v>
      </c>
      <c r="G239" s="206">
        <f t="shared" si="42"/>
        <v>1</v>
      </c>
      <c r="H239" s="205">
        <f t="shared" si="43"/>
        <v>1</v>
      </c>
      <c r="I239" s="206">
        <f t="shared" si="44"/>
        <v>1</v>
      </c>
      <c r="J239" s="205">
        <f t="shared" si="45"/>
        <v>1</v>
      </c>
      <c r="K239" s="206"/>
      <c r="L239" s="208">
        <f t="shared" si="47"/>
        <v>235</v>
      </c>
      <c r="M239" s="208">
        <f t="shared" si="46"/>
        <v>587.5</v>
      </c>
    </row>
    <row r="240" spans="1:13" ht="12.75" customHeight="1" x14ac:dyDescent="0.2">
      <c r="A240" s="210">
        <f t="shared" si="36"/>
        <v>622.5</v>
      </c>
      <c r="B240" s="205">
        <f t="shared" si="37"/>
        <v>2</v>
      </c>
      <c r="C240" s="206">
        <f t="shared" si="38"/>
        <v>0</v>
      </c>
      <c r="D240" s="205">
        <f t="shared" si="39"/>
        <v>0</v>
      </c>
      <c r="E240" s="206">
        <f t="shared" si="40"/>
        <v>8</v>
      </c>
      <c r="F240" s="205">
        <f t="shared" si="41"/>
        <v>1</v>
      </c>
      <c r="G240" s="206">
        <f t="shared" si="42"/>
        <v>1</v>
      </c>
      <c r="H240" s="205">
        <f t="shared" si="43"/>
        <v>2</v>
      </c>
      <c r="I240" s="206">
        <f t="shared" si="44"/>
        <v>0</v>
      </c>
      <c r="J240" s="205">
        <f t="shared" si="45"/>
        <v>0</v>
      </c>
      <c r="K240" s="206"/>
      <c r="L240" s="208">
        <f t="shared" si="47"/>
        <v>236</v>
      </c>
      <c r="M240" s="208">
        <f t="shared" si="46"/>
        <v>590</v>
      </c>
    </row>
    <row r="241" spans="1:13" ht="12.75" customHeight="1" x14ac:dyDescent="0.2">
      <c r="A241" s="210">
        <f t="shared" si="36"/>
        <v>625</v>
      </c>
      <c r="B241" s="205">
        <f t="shared" si="37"/>
        <v>2</v>
      </c>
      <c r="C241" s="206">
        <f t="shared" si="38"/>
        <v>0</v>
      </c>
      <c r="D241" s="205">
        <f t="shared" si="39"/>
        <v>0</v>
      </c>
      <c r="E241" s="206">
        <f t="shared" si="40"/>
        <v>8</v>
      </c>
      <c r="F241" s="205">
        <f t="shared" si="41"/>
        <v>1</v>
      </c>
      <c r="G241" s="206">
        <f t="shared" si="42"/>
        <v>1</v>
      </c>
      <c r="H241" s="205">
        <f t="shared" si="43"/>
        <v>2</v>
      </c>
      <c r="I241" s="206">
        <f t="shared" si="44"/>
        <v>0</v>
      </c>
      <c r="J241" s="205">
        <f t="shared" si="45"/>
        <v>1</v>
      </c>
      <c r="K241" s="206"/>
      <c r="L241" s="208">
        <f t="shared" si="47"/>
        <v>237</v>
      </c>
      <c r="M241" s="208">
        <f t="shared" si="46"/>
        <v>592.5</v>
      </c>
    </row>
    <row r="242" spans="1:13" ht="12.75" customHeight="1" x14ac:dyDescent="0.2">
      <c r="A242" s="210">
        <f t="shared" si="36"/>
        <v>627.5</v>
      </c>
      <c r="B242" s="205">
        <f t="shared" si="37"/>
        <v>2</v>
      </c>
      <c r="C242" s="206">
        <f t="shared" si="38"/>
        <v>0</v>
      </c>
      <c r="D242" s="205">
        <f t="shared" si="39"/>
        <v>0</v>
      </c>
      <c r="E242" s="206">
        <f t="shared" si="40"/>
        <v>8</v>
      </c>
      <c r="F242" s="205">
        <f t="shared" si="41"/>
        <v>1</v>
      </c>
      <c r="G242" s="206">
        <f t="shared" si="42"/>
        <v>1</v>
      </c>
      <c r="H242" s="205">
        <f t="shared" si="43"/>
        <v>2</v>
      </c>
      <c r="I242" s="206">
        <f t="shared" si="44"/>
        <v>1</v>
      </c>
      <c r="J242" s="205">
        <f t="shared" si="45"/>
        <v>0</v>
      </c>
      <c r="K242" s="206"/>
      <c r="L242" s="208">
        <f t="shared" si="47"/>
        <v>238</v>
      </c>
      <c r="M242" s="208">
        <f t="shared" si="46"/>
        <v>595</v>
      </c>
    </row>
    <row r="243" spans="1:13" ht="12.75" customHeight="1" x14ac:dyDescent="0.2">
      <c r="A243" s="210">
        <f t="shared" si="36"/>
        <v>630</v>
      </c>
      <c r="B243" s="205">
        <f t="shared" si="37"/>
        <v>2</v>
      </c>
      <c r="C243" s="206">
        <f t="shared" si="38"/>
        <v>0</v>
      </c>
      <c r="D243" s="205">
        <f t="shared" si="39"/>
        <v>0</v>
      </c>
      <c r="E243" s="206">
        <f t="shared" si="40"/>
        <v>8</v>
      </c>
      <c r="F243" s="205">
        <f t="shared" si="41"/>
        <v>1</v>
      </c>
      <c r="G243" s="206">
        <f t="shared" si="42"/>
        <v>1</v>
      </c>
      <c r="H243" s="205">
        <f t="shared" si="43"/>
        <v>2</v>
      </c>
      <c r="I243" s="206">
        <f t="shared" si="44"/>
        <v>1</v>
      </c>
      <c r="J243" s="205">
        <f t="shared" si="45"/>
        <v>1</v>
      </c>
      <c r="K243" s="206"/>
      <c r="L243" s="208">
        <f t="shared" si="47"/>
        <v>239</v>
      </c>
      <c r="M243" s="208">
        <f t="shared" si="46"/>
        <v>597.5</v>
      </c>
    </row>
    <row r="244" spans="1:13" ht="12.75" customHeight="1" x14ac:dyDescent="0.2">
      <c r="A244" s="210">
        <f t="shared" si="36"/>
        <v>0</v>
      </c>
      <c r="B244" s="205">
        <f t="shared" si="37"/>
        <v>0</v>
      </c>
      <c r="C244" s="206">
        <f t="shared" si="38"/>
        <v>0</v>
      </c>
      <c r="D244" s="205">
        <f t="shared" si="39"/>
        <v>0</v>
      </c>
      <c r="E244" s="206">
        <f t="shared" si="40"/>
        <v>0</v>
      </c>
      <c r="F244" s="205">
        <f t="shared" si="41"/>
        <v>0</v>
      </c>
      <c r="G244" s="206">
        <f t="shared" si="42"/>
        <v>0</v>
      </c>
      <c r="H244" s="205">
        <f t="shared" si="43"/>
        <v>0</v>
      </c>
      <c r="I244" s="206">
        <f t="shared" si="44"/>
        <v>0</v>
      </c>
      <c r="J244" s="205">
        <f t="shared" si="45"/>
        <v>0</v>
      </c>
      <c r="K244" s="206"/>
      <c r="L244" s="208">
        <f t="shared" si="47"/>
        <v>240</v>
      </c>
      <c r="M244" s="208">
        <f t="shared" si="46"/>
        <v>600</v>
      </c>
    </row>
    <row r="245" spans="1:13" ht="12.75" customHeight="1" x14ac:dyDescent="0.2">
      <c r="A245" s="210">
        <f t="shared" si="36"/>
        <v>0</v>
      </c>
      <c r="B245" s="205">
        <f t="shared" si="37"/>
        <v>0</v>
      </c>
      <c r="C245" s="206">
        <f t="shared" si="38"/>
        <v>0</v>
      </c>
      <c r="D245" s="205">
        <f t="shared" si="39"/>
        <v>0</v>
      </c>
      <c r="E245" s="206">
        <f t="shared" si="40"/>
        <v>0</v>
      </c>
      <c r="F245" s="205">
        <f t="shared" si="41"/>
        <v>0</v>
      </c>
      <c r="G245" s="206">
        <f t="shared" si="42"/>
        <v>0</v>
      </c>
      <c r="H245" s="205">
        <f t="shared" si="43"/>
        <v>0</v>
      </c>
      <c r="I245" s="206">
        <f t="shared" si="44"/>
        <v>0</v>
      </c>
      <c r="J245" s="205">
        <f t="shared" si="45"/>
        <v>0</v>
      </c>
      <c r="K245" s="206"/>
      <c r="L245" s="208">
        <f t="shared" si="47"/>
        <v>241</v>
      </c>
      <c r="M245" s="208">
        <f t="shared" si="46"/>
        <v>602.5</v>
      </c>
    </row>
    <row r="246" spans="1:13" ht="12.75" customHeight="1" x14ac:dyDescent="0.2">
      <c r="A246" s="210">
        <f t="shared" si="36"/>
        <v>0</v>
      </c>
      <c r="B246" s="205">
        <f t="shared" si="37"/>
        <v>0</v>
      </c>
      <c r="C246" s="206">
        <f t="shared" si="38"/>
        <v>0</v>
      </c>
      <c r="D246" s="205">
        <f t="shared" si="39"/>
        <v>0</v>
      </c>
      <c r="E246" s="206">
        <f t="shared" si="40"/>
        <v>0</v>
      </c>
      <c r="F246" s="205">
        <f t="shared" si="41"/>
        <v>0</v>
      </c>
      <c r="G246" s="206">
        <f t="shared" si="42"/>
        <v>0</v>
      </c>
      <c r="H246" s="205">
        <f t="shared" si="43"/>
        <v>0</v>
      </c>
      <c r="I246" s="206">
        <f t="shared" si="44"/>
        <v>0</v>
      </c>
      <c r="J246" s="205">
        <f t="shared" si="45"/>
        <v>0</v>
      </c>
      <c r="K246" s="206"/>
      <c r="L246" s="208">
        <f t="shared" si="47"/>
        <v>242</v>
      </c>
      <c r="M246" s="208">
        <f t="shared" si="46"/>
        <v>605</v>
      </c>
    </row>
    <row r="247" spans="1:13" ht="12.75" customHeight="1" x14ac:dyDescent="0.2">
      <c r="A247" s="210">
        <f t="shared" si="36"/>
        <v>0</v>
      </c>
      <c r="B247" s="205">
        <f t="shared" si="37"/>
        <v>0</v>
      </c>
      <c r="C247" s="206">
        <f t="shared" si="38"/>
        <v>0</v>
      </c>
      <c r="D247" s="205">
        <f t="shared" si="39"/>
        <v>0</v>
      </c>
      <c r="E247" s="206">
        <f t="shared" si="40"/>
        <v>0</v>
      </c>
      <c r="F247" s="205">
        <f t="shared" si="41"/>
        <v>0</v>
      </c>
      <c r="G247" s="206">
        <f t="shared" si="42"/>
        <v>0</v>
      </c>
      <c r="H247" s="205">
        <f t="shared" si="43"/>
        <v>0</v>
      </c>
      <c r="I247" s="206">
        <f t="shared" si="44"/>
        <v>0</v>
      </c>
      <c r="J247" s="205">
        <f t="shared" si="45"/>
        <v>0</v>
      </c>
      <c r="K247" s="206"/>
      <c r="L247" s="208">
        <f t="shared" si="47"/>
        <v>243</v>
      </c>
      <c r="M247" s="208">
        <f t="shared" si="46"/>
        <v>607.5</v>
      </c>
    </row>
    <row r="248" spans="1:13" ht="12.75" customHeight="1" x14ac:dyDescent="0.2">
      <c r="A248" s="210">
        <f t="shared" si="36"/>
        <v>0</v>
      </c>
      <c r="B248" s="205">
        <f t="shared" si="37"/>
        <v>0</v>
      </c>
      <c r="C248" s="206">
        <f t="shared" si="38"/>
        <v>0</v>
      </c>
      <c r="D248" s="205">
        <f t="shared" si="39"/>
        <v>0</v>
      </c>
      <c r="E248" s="206">
        <f t="shared" si="40"/>
        <v>0</v>
      </c>
      <c r="F248" s="205">
        <f t="shared" si="41"/>
        <v>0</v>
      </c>
      <c r="G248" s="206">
        <f t="shared" si="42"/>
        <v>0</v>
      </c>
      <c r="H248" s="205">
        <f t="shared" si="43"/>
        <v>0</v>
      </c>
      <c r="I248" s="206">
        <f t="shared" si="44"/>
        <v>0</v>
      </c>
      <c r="J248" s="205">
        <f t="shared" si="45"/>
        <v>0</v>
      </c>
      <c r="K248" s="206"/>
      <c r="L248" s="208">
        <f t="shared" si="47"/>
        <v>244</v>
      </c>
      <c r="M248" s="208">
        <f t="shared" si="46"/>
        <v>610</v>
      </c>
    </row>
    <row r="249" spans="1:13" ht="12.75" customHeight="1" x14ac:dyDescent="0.2">
      <c r="A249" s="210">
        <f t="shared" si="36"/>
        <v>0</v>
      </c>
      <c r="B249" s="205">
        <f t="shared" si="37"/>
        <v>0</v>
      </c>
      <c r="C249" s="206">
        <f t="shared" si="38"/>
        <v>0</v>
      </c>
      <c r="D249" s="205">
        <f t="shared" si="39"/>
        <v>0</v>
      </c>
      <c r="E249" s="206">
        <f t="shared" si="40"/>
        <v>0</v>
      </c>
      <c r="F249" s="205">
        <f t="shared" si="41"/>
        <v>0</v>
      </c>
      <c r="G249" s="206">
        <f t="shared" si="42"/>
        <v>0</v>
      </c>
      <c r="H249" s="205">
        <f t="shared" si="43"/>
        <v>0</v>
      </c>
      <c r="I249" s="206">
        <f t="shared" si="44"/>
        <v>0</v>
      </c>
      <c r="J249" s="205">
        <f t="shared" si="45"/>
        <v>0</v>
      </c>
      <c r="K249" s="206"/>
      <c r="L249" s="208">
        <f t="shared" si="47"/>
        <v>245</v>
      </c>
      <c r="M249" s="208">
        <f t="shared" si="46"/>
        <v>612.5</v>
      </c>
    </row>
    <row r="250" spans="1:13" ht="12.75" customHeight="1" x14ac:dyDescent="0.2">
      <c r="A250" s="210">
        <f t="shared" si="36"/>
        <v>0</v>
      </c>
      <c r="B250" s="205">
        <f t="shared" si="37"/>
        <v>0</v>
      </c>
      <c r="C250" s="206">
        <f t="shared" si="38"/>
        <v>0</v>
      </c>
      <c r="D250" s="205">
        <f t="shared" si="39"/>
        <v>0</v>
      </c>
      <c r="E250" s="206">
        <f t="shared" si="40"/>
        <v>0</v>
      </c>
      <c r="F250" s="205">
        <f t="shared" si="41"/>
        <v>0</v>
      </c>
      <c r="G250" s="206">
        <f t="shared" si="42"/>
        <v>0</v>
      </c>
      <c r="H250" s="205">
        <f t="shared" si="43"/>
        <v>0</v>
      </c>
      <c r="I250" s="206">
        <f t="shared" si="44"/>
        <v>0</v>
      </c>
      <c r="J250" s="205">
        <f t="shared" si="45"/>
        <v>0</v>
      </c>
      <c r="K250" s="206"/>
      <c r="L250" s="208">
        <f t="shared" si="47"/>
        <v>246</v>
      </c>
      <c r="M250" s="208">
        <f t="shared" si="46"/>
        <v>615</v>
      </c>
    </row>
    <row r="251" spans="1:13" ht="12.75" customHeight="1" x14ac:dyDescent="0.2">
      <c r="A251" s="210">
        <f t="shared" si="36"/>
        <v>0</v>
      </c>
      <c r="B251" s="205">
        <f t="shared" si="37"/>
        <v>0</v>
      </c>
      <c r="C251" s="206">
        <f t="shared" si="38"/>
        <v>0</v>
      </c>
      <c r="D251" s="205">
        <f t="shared" si="39"/>
        <v>0</v>
      </c>
      <c r="E251" s="206">
        <f t="shared" si="40"/>
        <v>0</v>
      </c>
      <c r="F251" s="205">
        <f t="shared" si="41"/>
        <v>0</v>
      </c>
      <c r="G251" s="206">
        <f t="shared" si="42"/>
        <v>0</v>
      </c>
      <c r="H251" s="205">
        <f t="shared" si="43"/>
        <v>0</v>
      </c>
      <c r="I251" s="206">
        <f t="shared" si="44"/>
        <v>0</v>
      </c>
      <c r="J251" s="205">
        <f t="shared" si="45"/>
        <v>0</v>
      </c>
      <c r="K251" s="206"/>
      <c r="L251" s="208">
        <f t="shared" si="47"/>
        <v>247</v>
      </c>
      <c r="M251" s="208">
        <f t="shared" si="46"/>
        <v>617.5</v>
      </c>
    </row>
    <row r="252" spans="1:13" ht="12.75" customHeight="1" x14ac:dyDescent="0.2">
      <c r="A252" s="210">
        <f t="shared" si="36"/>
        <v>0</v>
      </c>
      <c r="B252" s="205">
        <f t="shared" si="37"/>
        <v>0</v>
      </c>
      <c r="C252" s="206">
        <f t="shared" si="38"/>
        <v>0</v>
      </c>
      <c r="D252" s="205">
        <f t="shared" si="39"/>
        <v>0</v>
      </c>
      <c r="E252" s="206">
        <f t="shared" si="40"/>
        <v>0</v>
      </c>
      <c r="F252" s="205">
        <f t="shared" si="41"/>
        <v>0</v>
      </c>
      <c r="G252" s="206">
        <f t="shared" si="42"/>
        <v>0</v>
      </c>
      <c r="H252" s="205">
        <f t="shared" si="43"/>
        <v>0</v>
      </c>
      <c r="I252" s="206">
        <f t="shared" si="44"/>
        <v>0</v>
      </c>
      <c r="J252" s="205">
        <f t="shared" si="45"/>
        <v>0</v>
      </c>
      <c r="K252" s="206"/>
      <c r="L252" s="208">
        <f t="shared" si="47"/>
        <v>248</v>
      </c>
      <c r="M252" s="208">
        <f t="shared" si="46"/>
        <v>620</v>
      </c>
    </row>
    <row r="253" spans="1:13" ht="12.75" customHeight="1" x14ac:dyDescent="0.2">
      <c r="A253" s="210">
        <f t="shared" si="36"/>
        <v>0</v>
      </c>
      <c r="B253" s="205">
        <f t="shared" si="37"/>
        <v>0</v>
      </c>
      <c r="C253" s="206">
        <f t="shared" si="38"/>
        <v>0</v>
      </c>
      <c r="D253" s="205">
        <f t="shared" si="39"/>
        <v>0</v>
      </c>
      <c r="E253" s="206">
        <f t="shared" si="40"/>
        <v>0</v>
      </c>
      <c r="F253" s="205">
        <f t="shared" si="41"/>
        <v>0</v>
      </c>
      <c r="G253" s="206">
        <f t="shared" si="42"/>
        <v>0</v>
      </c>
      <c r="H253" s="205">
        <f t="shared" si="43"/>
        <v>0</v>
      </c>
      <c r="I253" s="206">
        <f t="shared" si="44"/>
        <v>0</v>
      </c>
      <c r="J253" s="205">
        <f t="shared" si="45"/>
        <v>0</v>
      </c>
      <c r="K253" s="206"/>
      <c r="L253" s="208">
        <f t="shared" si="47"/>
        <v>249</v>
      </c>
      <c r="M253" s="208">
        <f t="shared" si="46"/>
        <v>622.5</v>
      </c>
    </row>
    <row r="254" spans="1:13" ht="12.75" customHeight="1" x14ac:dyDescent="0.2">
      <c r="A254" s="210">
        <f t="shared" si="36"/>
        <v>0</v>
      </c>
      <c r="B254" s="205">
        <f t="shared" si="37"/>
        <v>0</v>
      </c>
      <c r="C254" s="206">
        <f t="shared" si="38"/>
        <v>0</v>
      </c>
      <c r="D254" s="205">
        <f t="shared" si="39"/>
        <v>0</v>
      </c>
      <c r="E254" s="206">
        <f t="shared" si="40"/>
        <v>0</v>
      </c>
      <c r="F254" s="205">
        <f t="shared" si="41"/>
        <v>0</v>
      </c>
      <c r="G254" s="206">
        <f t="shared" si="42"/>
        <v>0</v>
      </c>
      <c r="H254" s="205">
        <f t="shared" si="43"/>
        <v>0</v>
      </c>
      <c r="I254" s="206">
        <f t="shared" si="44"/>
        <v>0</v>
      </c>
      <c r="J254" s="205">
        <f t="shared" si="45"/>
        <v>0</v>
      </c>
      <c r="K254" s="206"/>
      <c r="L254" s="208">
        <f t="shared" si="47"/>
        <v>250</v>
      </c>
      <c r="M254" s="208">
        <f t="shared" si="46"/>
        <v>625</v>
      </c>
    </row>
    <row r="255" spans="1:13" ht="12.75" customHeight="1" x14ac:dyDescent="0.2">
      <c r="A255" s="210">
        <f t="shared" si="36"/>
        <v>0</v>
      </c>
      <c r="B255" s="205">
        <f t="shared" si="37"/>
        <v>0</v>
      </c>
      <c r="C255" s="206">
        <f t="shared" si="38"/>
        <v>0</v>
      </c>
      <c r="D255" s="205">
        <f t="shared" si="39"/>
        <v>0</v>
      </c>
      <c r="E255" s="206">
        <f t="shared" si="40"/>
        <v>0</v>
      </c>
      <c r="F255" s="205">
        <f t="shared" si="41"/>
        <v>0</v>
      </c>
      <c r="G255" s="206">
        <f t="shared" si="42"/>
        <v>0</v>
      </c>
      <c r="H255" s="205">
        <f t="shared" si="43"/>
        <v>0</v>
      </c>
      <c r="I255" s="206">
        <f t="shared" si="44"/>
        <v>0</v>
      </c>
      <c r="J255" s="205">
        <f t="shared" si="45"/>
        <v>0</v>
      </c>
      <c r="K255" s="206"/>
      <c r="L255" s="208">
        <f t="shared" si="47"/>
        <v>251</v>
      </c>
      <c r="M255" s="208">
        <f t="shared" si="46"/>
        <v>627.5</v>
      </c>
    </row>
    <row r="256" spans="1:13" ht="12.75" customHeight="1" x14ac:dyDescent="0.2">
      <c r="A256" s="210">
        <f t="shared" si="36"/>
        <v>0</v>
      </c>
      <c r="B256" s="205">
        <f t="shared" si="37"/>
        <v>0</v>
      </c>
      <c r="C256" s="206">
        <f t="shared" si="38"/>
        <v>0</v>
      </c>
      <c r="D256" s="205">
        <f t="shared" si="39"/>
        <v>0</v>
      </c>
      <c r="E256" s="206">
        <f t="shared" si="40"/>
        <v>0</v>
      </c>
      <c r="F256" s="205">
        <f t="shared" si="41"/>
        <v>0</v>
      </c>
      <c r="G256" s="206">
        <f t="shared" si="42"/>
        <v>0</v>
      </c>
      <c r="H256" s="205">
        <f t="shared" si="43"/>
        <v>0</v>
      </c>
      <c r="I256" s="206">
        <f t="shared" si="44"/>
        <v>0</v>
      </c>
      <c r="J256" s="205">
        <f t="shared" si="45"/>
        <v>0</v>
      </c>
      <c r="K256" s="206"/>
      <c r="L256" s="208">
        <f t="shared" si="47"/>
        <v>252</v>
      </c>
      <c r="M256" s="208">
        <f t="shared" si="46"/>
        <v>630</v>
      </c>
    </row>
    <row r="257" spans="1:13" ht="12.75" customHeight="1" x14ac:dyDescent="0.2">
      <c r="A257" s="210">
        <f t="shared" si="36"/>
        <v>0</v>
      </c>
      <c r="B257" s="205">
        <f t="shared" si="37"/>
        <v>0</v>
      </c>
      <c r="C257" s="206">
        <f t="shared" si="38"/>
        <v>0</v>
      </c>
      <c r="D257" s="205">
        <f t="shared" si="39"/>
        <v>0</v>
      </c>
      <c r="E257" s="206">
        <f t="shared" si="40"/>
        <v>0</v>
      </c>
      <c r="F257" s="205">
        <f t="shared" si="41"/>
        <v>0</v>
      </c>
      <c r="G257" s="206">
        <f t="shared" si="42"/>
        <v>0</v>
      </c>
      <c r="H257" s="205">
        <f t="shared" si="43"/>
        <v>0</v>
      </c>
      <c r="I257" s="206">
        <f t="shared" si="44"/>
        <v>0</v>
      </c>
      <c r="J257" s="205">
        <f t="shared" si="45"/>
        <v>0</v>
      </c>
      <c r="K257" s="206"/>
      <c r="L257" s="208">
        <f t="shared" si="47"/>
        <v>253</v>
      </c>
      <c r="M257" s="208">
        <f t="shared" si="46"/>
        <v>632.5</v>
      </c>
    </row>
    <row r="258" spans="1:13" ht="12.75" customHeight="1" x14ac:dyDescent="0.2">
      <c r="A258" s="210">
        <f t="shared" si="36"/>
        <v>0</v>
      </c>
      <c r="B258" s="205">
        <f t="shared" si="37"/>
        <v>0</v>
      </c>
      <c r="C258" s="206">
        <f t="shared" si="38"/>
        <v>0</v>
      </c>
      <c r="D258" s="205">
        <f t="shared" si="39"/>
        <v>0</v>
      </c>
      <c r="E258" s="206">
        <f t="shared" si="40"/>
        <v>0</v>
      </c>
      <c r="F258" s="205">
        <f t="shared" si="41"/>
        <v>0</v>
      </c>
      <c r="G258" s="206">
        <f t="shared" si="42"/>
        <v>0</v>
      </c>
      <c r="H258" s="205">
        <f t="shared" si="43"/>
        <v>0</v>
      </c>
      <c r="I258" s="206">
        <f t="shared" si="44"/>
        <v>0</v>
      </c>
      <c r="J258" s="205">
        <f t="shared" si="45"/>
        <v>0</v>
      </c>
      <c r="K258" s="206"/>
      <c r="L258" s="208">
        <f t="shared" si="47"/>
        <v>254</v>
      </c>
      <c r="M258" s="208">
        <f t="shared" si="46"/>
        <v>635</v>
      </c>
    </row>
    <row r="259" spans="1:13" ht="12.75" customHeight="1" x14ac:dyDescent="0.2">
      <c r="A259" s="210">
        <f t="shared" si="36"/>
        <v>0</v>
      </c>
      <c r="B259" s="205">
        <f t="shared" si="37"/>
        <v>0</v>
      </c>
      <c r="C259" s="206">
        <f t="shared" si="38"/>
        <v>0</v>
      </c>
      <c r="D259" s="205">
        <f t="shared" si="39"/>
        <v>0</v>
      </c>
      <c r="E259" s="206">
        <f t="shared" si="40"/>
        <v>0</v>
      </c>
      <c r="F259" s="205">
        <f t="shared" si="41"/>
        <v>0</v>
      </c>
      <c r="G259" s="206">
        <f t="shared" si="42"/>
        <v>0</v>
      </c>
      <c r="H259" s="205">
        <f t="shared" si="43"/>
        <v>0</v>
      </c>
      <c r="I259" s="206">
        <f t="shared" si="44"/>
        <v>0</v>
      </c>
      <c r="J259" s="205">
        <f t="shared" si="45"/>
        <v>0</v>
      </c>
      <c r="K259" s="206"/>
      <c r="L259" s="208">
        <f t="shared" si="47"/>
        <v>255</v>
      </c>
      <c r="M259" s="208">
        <f t="shared" si="46"/>
        <v>637.5</v>
      </c>
    </row>
    <row r="260" spans="1:13" ht="12.75" customHeight="1" x14ac:dyDescent="0.2">
      <c r="A260" s="210">
        <f t="shared" si="36"/>
        <v>0</v>
      </c>
      <c r="B260" s="205">
        <f t="shared" si="37"/>
        <v>0</v>
      </c>
      <c r="C260" s="206">
        <f t="shared" si="38"/>
        <v>0</v>
      </c>
      <c r="D260" s="205">
        <f t="shared" si="39"/>
        <v>0</v>
      </c>
      <c r="E260" s="206">
        <f t="shared" si="40"/>
        <v>0</v>
      </c>
      <c r="F260" s="205">
        <f t="shared" si="41"/>
        <v>0</v>
      </c>
      <c r="G260" s="206">
        <f t="shared" si="42"/>
        <v>0</v>
      </c>
      <c r="H260" s="205">
        <f t="shared" si="43"/>
        <v>0</v>
      </c>
      <c r="I260" s="206">
        <f t="shared" si="44"/>
        <v>0</v>
      </c>
      <c r="J260" s="205">
        <f t="shared" si="45"/>
        <v>0</v>
      </c>
      <c r="K260" s="206"/>
      <c r="L260" s="208">
        <f t="shared" si="47"/>
        <v>256</v>
      </c>
      <c r="M260" s="208">
        <f t="shared" si="46"/>
        <v>640</v>
      </c>
    </row>
  </sheetData>
  <phoneticPr fontId="34" type="noConversion"/>
  <dataValidations count="5">
    <dataValidation type="list" allowBlank="1" showInputMessage="1" showErrorMessage="1" prompt="Select the number of plates at this weight from the pull down menu" sqref="F1:J1">
      <formula1>"0,2,4"</formula1>
    </dataValidation>
    <dataValidation type="list" allowBlank="1" showInputMessage="1" showErrorMessage="1" sqref="E1">
      <formula1>"0,2,4,6,8,10,12,14,16,18, 20"</formula1>
    </dataValidation>
    <dataValidation type="list" allowBlank="1" showInputMessage="1" showErrorMessage="1" prompt="Select Pounds or Kilos from the drop down menu" sqref="A2">
      <formula1>"Pounds,Kilos"</formula1>
    </dataValidation>
    <dataValidation type="list" allowBlank="1" showInputMessage="1" showErrorMessage="1" prompt="Select the number of plates at this weight from the pull down menu" sqref="B1:D1">
      <formula1>"0,2,4,6,8,10,12,14,16,18, 20"</formula1>
    </dataValidation>
    <dataValidation type="list" allowBlank="1" showInputMessage="1" showErrorMessage="1" sqref="K2">
      <formula1>$O$2:$O$6</formula1>
    </dataValidation>
  </dataValidations>
  <printOptions horizontalCentered="1"/>
  <pageMargins left="0.75" right="0.75" top="1" bottom="1" header="0.499" footer="0.499"/>
  <pageSetup fitToHeight="0" orientation="portrait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Y78"/>
  <sheetViews>
    <sheetView zoomScale="85" zoomScaleNormal="85" workbookViewId="0">
      <pane ySplit="2" topLeftCell="A3" activePane="bottomLeft" state="frozen"/>
      <selection pane="bottomLeft" activeCell="AH8" sqref="AH8"/>
    </sheetView>
  </sheetViews>
  <sheetFormatPr defaultColWidth="9.140625" defaultRowHeight="12.75" x14ac:dyDescent="0.2"/>
  <cols>
    <col min="1" max="1" width="9" style="70" customWidth="1"/>
    <col min="2" max="2" width="7.28515625" style="70" customWidth="1"/>
    <col min="3" max="3" width="25.28515625" style="70" customWidth="1"/>
    <col min="4" max="4" width="5.5703125" style="70" customWidth="1"/>
    <col min="5" max="5" width="6.140625" style="70" customWidth="1"/>
    <col min="6" max="6" width="7.28515625" style="70" customWidth="1"/>
    <col min="7" max="8" width="9.140625" style="70" hidden="1" customWidth="1"/>
    <col min="9" max="9" width="4.42578125" style="70" customWidth="1"/>
    <col min="10" max="10" width="4.42578125" style="226" customWidth="1"/>
    <col min="11" max="11" width="8" style="70" customWidth="1"/>
    <col min="12" max="15" width="9.140625" style="70" hidden="1" customWidth="1"/>
    <col min="16" max="16" width="4.42578125" style="226" customWidth="1"/>
    <col min="17" max="17" width="8" style="70" customWidth="1"/>
    <col min="18" max="22" width="8" style="70" hidden="1" customWidth="1"/>
    <col min="23" max="23" width="7.5703125" style="70" bestFit="1" customWidth="1"/>
    <col min="24" max="33" width="9.140625" style="70" hidden="1" customWidth="1"/>
    <col min="34" max="34" width="25.5703125" style="70" bestFit="1" customWidth="1"/>
    <col min="35" max="35" width="14" style="70" customWidth="1"/>
    <col min="36" max="38" width="9.140625" style="17" hidden="1" customWidth="1"/>
    <col min="39" max="45" width="9.140625" style="18" hidden="1" customWidth="1"/>
    <col min="46" max="50" width="0" style="18" hidden="1" customWidth="1"/>
    <col min="51" max="51" width="9.140625" style="18" hidden="1" customWidth="1"/>
    <col min="52" max="79" width="0" style="18" hidden="1" customWidth="1"/>
    <col min="80" max="80" width="9.140625" style="18"/>
    <col min="81" max="81" width="0" style="18" hidden="1" customWidth="1"/>
    <col min="82" max="85" width="9.140625" style="18"/>
    <col min="86" max="120" width="0" style="18" hidden="1" customWidth="1"/>
    <col min="121" max="16384" width="9.140625" style="18"/>
  </cols>
  <sheetData>
    <row r="1" spans="1:103" s="145" customFormat="1" ht="38.25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226"/>
      <c r="K1" s="70"/>
      <c r="L1" s="70"/>
      <c r="M1" s="70"/>
      <c r="N1" s="70"/>
      <c r="O1" s="70"/>
      <c r="P1" s="226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144"/>
      <c r="AK1" s="144"/>
      <c r="AL1" s="144"/>
      <c r="AY1" s="23" t="str">
        <f>CONCATENATE("Setup!O7:O",COUNTA(Setup!O:O)+4)</f>
        <v>Setup!O7:O135</v>
      </c>
      <c r="BB1" s="145" t="s">
        <v>63</v>
      </c>
      <c r="BC1" s="145" t="s">
        <v>64</v>
      </c>
      <c r="BD1" s="145" t="s">
        <v>65</v>
      </c>
      <c r="BE1" s="145" t="s">
        <v>66</v>
      </c>
      <c r="BF1" s="145" t="s">
        <v>67</v>
      </c>
      <c r="CC1" s="145">
        <v>8</v>
      </c>
    </row>
    <row r="2" spans="1:103" s="215" customFormat="1" ht="26.25" thickBot="1" x14ac:dyDescent="0.25">
      <c r="A2" s="216"/>
      <c r="B2" s="216" t="s">
        <v>151</v>
      </c>
      <c r="C2" s="216" t="s">
        <v>0</v>
      </c>
      <c r="D2" s="216" t="s">
        <v>1</v>
      </c>
      <c r="E2" s="216" t="s">
        <v>29</v>
      </c>
      <c r="F2" s="216" t="str">
        <f>Setup!K6</f>
        <v>BWt (Lb)</v>
      </c>
      <c r="G2" s="216" t="s">
        <v>147</v>
      </c>
      <c r="H2" s="216" t="s">
        <v>138</v>
      </c>
      <c r="I2" s="216" t="s">
        <v>2</v>
      </c>
      <c r="J2" s="227" t="s">
        <v>26</v>
      </c>
      <c r="K2" s="216" t="s">
        <v>22</v>
      </c>
      <c r="L2" s="216" t="s">
        <v>23</v>
      </c>
      <c r="M2" s="216" t="s">
        <v>24</v>
      </c>
      <c r="N2" s="216" t="s">
        <v>25</v>
      </c>
      <c r="O2" s="216" t="s">
        <v>11</v>
      </c>
      <c r="P2" s="227" t="s">
        <v>27</v>
      </c>
      <c r="Q2" s="216" t="s">
        <v>148</v>
      </c>
      <c r="R2" s="216" t="s">
        <v>13</v>
      </c>
      <c r="S2" s="216" t="s">
        <v>14</v>
      </c>
      <c r="T2" s="216" t="s">
        <v>28</v>
      </c>
      <c r="U2" s="216" t="s">
        <v>15</v>
      </c>
      <c r="V2" s="216" t="s">
        <v>16</v>
      </c>
      <c r="W2" s="216" t="s">
        <v>17</v>
      </c>
      <c r="X2" s="216" t="s">
        <v>18</v>
      </c>
      <c r="Y2" s="216" t="s">
        <v>19</v>
      </c>
      <c r="Z2" s="216" t="s">
        <v>20</v>
      </c>
      <c r="AA2" s="216" t="s">
        <v>21</v>
      </c>
      <c r="AB2" s="216"/>
      <c r="AC2" s="216" t="s">
        <v>134</v>
      </c>
      <c r="AD2" s="216" t="s">
        <v>139</v>
      </c>
      <c r="AE2" s="216" t="s">
        <v>144</v>
      </c>
      <c r="AF2" s="216" t="s">
        <v>31</v>
      </c>
      <c r="AG2" s="216" t="s">
        <v>38</v>
      </c>
      <c r="AH2" s="216" t="s">
        <v>45</v>
      </c>
      <c r="AI2" s="216" t="s">
        <v>150</v>
      </c>
      <c r="AJ2" s="214" t="s">
        <v>146</v>
      </c>
      <c r="AK2" s="214" t="s">
        <v>37</v>
      </c>
      <c r="AL2" s="214" t="s">
        <v>39</v>
      </c>
      <c r="AP2" s="215" t="s">
        <v>142</v>
      </c>
      <c r="AQ2" s="215" t="s">
        <v>143</v>
      </c>
      <c r="AR2" s="215">
        <v>-1</v>
      </c>
      <c r="CC2" s="215">
        <v>34</v>
      </c>
      <c r="CH2" s="215" t="s">
        <v>124</v>
      </c>
      <c r="CI2" s="215" t="s">
        <v>22</v>
      </c>
      <c r="CJ2" s="215" t="s">
        <v>23</v>
      </c>
      <c r="CK2" s="215" t="s">
        <v>24</v>
      </c>
      <c r="CL2" s="215" t="s">
        <v>25</v>
      </c>
      <c r="CM2" s="215" t="s">
        <v>11</v>
      </c>
      <c r="CN2" s="215" t="s">
        <v>27</v>
      </c>
      <c r="CO2" s="215" t="s">
        <v>12</v>
      </c>
      <c r="CP2" s="215" t="s">
        <v>13</v>
      </c>
      <c r="CQ2" s="215" t="s">
        <v>14</v>
      </c>
      <c r="CR2" s="215" t="s">
        <v>28</v>
      </c>
      <c r="CS2" s="215" t="s">
        <v>15</v>
      </c>
      <c r="CT2" s="215" t="s">
        <v>16</v>
      </c>
      <c r="CU2" s="215" t="s">
        <v>17</v>
      </c>
      <c r="CV2" s="215" t="s">
        <v>18</v>
      </c>
      <c r="CW2" s="215" t="s">
        <v>19</v>
      </c>
      <c r="CX2" s="215" t="s">
        <v>20</v>
      </c>
      <c r="CY2" s="215" t="s">
        <v>21</v>
      </c>
    </row>
    <row r="3" spans="1:103" x14ac:dyDescent="0.2">
      <c r="B3" s="70" t="s">
        <v>33</v>
      </c>
      <c r="C3" s="232" t="s">
        <v>470</v>
      </c>
      <c r="D3" s="70">
        <v>30</v>
      </c>
      <c r="E3" s="232" t="s">
        <v>471</v>
      </c>
      <c r="F3" s="70">
        <v>159.6</v>
      </c>
      <c r="J3" s="226" t="s">
        <v>472</v>
      </c>
      <c r="K3" s="70">
        <v>82.5</v>
      </c>
      <c r="Q3" s="70">
        <v>50</v>
      </c>
      <c r="W3" s="70">
        <v>102.5</v>
      </c>
      <c r="AI3" s="232" t="s">
        <v>216</v>
      </c>
    </row>
    <row r="4" spans="1:103" x14ac:dyDescent="0.2">
      <c r="B4" s="70" t="s">
        <v>33</v>
      </c>
      <c r="C4" s="232" t="s">
        <v>473</v>
      </c>
      <c r="D4" s="70">
        <v>61</v>
      </c>
      <c r="E4" s="232" t="s">
        <v>474</v>
      </c>
      <c r="F4" s="70">
        <v>223</v>
      </c>
      <c r="J4" s="226" t="s">
        <v>475</v>
      </c>
      <c r="K4" s="70">
        <v>100</v>
      </c>
      <c r="Q4" s="70">
        <v>52.5</v>
      </c>
      <c r="W4" s="70">
        <v>115</v>
      </c>
      <c r="AI4" s="232" t="s">
        <v>216</v>
      </c>
    </row>
    <row r="5" spans="1:103" x14ac:dyDescent="0.2">
      <c r="B5" s="70" t="s">
        <v>33</v>
      </c>
      <c r="C5" s="232" t="s">
        <v>476</v>
      </c>
      <c r="D5" s="70">
        <v>26</v>
      </c>
      <c r="E5" s="232" t="s">
        <v>239</v>
      </c>
      <c r="F5" s="70">
        <v>129.6</v>
      </c>
      <c r="J5" s="226" t="s">
        <v>477</v>
      </c>
      <c r="K5" s="70">
        <v>105</v>
      </c>
      <c r="Q5" s="70">
        <v>60</v>
      </c>
      <c r="W5" s="70">
        <v>122.5</v>
      </c>
      <c r="AI5" s="232" t="s">
        <v>216</v>
      </c>
    </row>
    <row r="6" spans="1:103" x14ac:dyDescent="0.2">
      <c r="B6" s="70" t="s">
        <v>33</v>
      </c>
      <c r="C6" s="232" t="s">
        <v>478</v>
      </c>
      <c r="D6" s="70">
        <v>62</v>
      </c>
      <c r="E6" s="232" t="s">
        <v>245</v>
      </c>
      <c r="F6" s="70">
        <v>161.4</v>
      </c>
      <c r="J6" s="226" t="s">
        <v>479</v>
      </c>
      <c r="K6" s="70">
        <v>107.5</v>
      </c>
      <c r="Q6" s="70">
        <v>57.5</v>
      </c>
      <c r="W6" s="70">
        <v>142.5</v>
      </c>
      <c r="AI6" s="232" t="s">
        <v>216</v>
      </c>
    </row>
    <row r="7" spans="1:103" x14ac:dyDescent="0.2">
      <c r="B7" s="70" t="s">
        <v>33</v>
      </c>
      <c r="C7" s="232" t="s">
        <v>480</v>
      </c>
      <c r="D7" s="70">
        <v>35</v>
      </c>
      <c r="E7" s="232" t="s">
        <v>481</v>
      </c>
      <c r="F7" s="70">
        <v>146.6</v>
      </c>
      <c r="J7" s="226" t="s">
        <v>482</v>
      </c>
      <c r="K7" s="70">
        <v>112.5</v>
      </c>
      <c r="Q7" s="70">
        <v>57.5</v>
      </c>
      <c r="W7" s="70">
        <v>125</v>
      </c>
      <c r="AI7" s="232" t="s">
        <v>216</v>
      </c>
    </row>
    <row r="8" spans="1:103" x14ac:dyDescent="0.2">
      <c r="B8" s="70" t="s">
        <v>33</v>
      </c>
      <c r="C8" s="232" t="s">
        <v>483</v>
      </c>
      <c r="D8" s="70">
        <v>30</v>
      </c>
      <c r="E8" s="232" t="s">
        <v>505</v>
      </c>
      <c r="F8" s="70">
        <v>181</v>
      </c>
      <c r="J8" s="226" t="s">
        <v>484</v>
      </c>
      <c r="K8" s="70">
        <v>125</v>
      </c>
      <c r="Q8" s="70">
        <v>85</v>
      </c>
      <c r="W8" s="70">
        <v>152.5</v>
      </c>
      <c r="AI8" s="232" t="s">
        <v>216</v>
      </c>
    </row>
    <row r="9" spans="1:103" x14ac:dyDescent="0.2">
      <c r="B9" s="70" t="s">
        <v>33</v>
      </c>
      <c r="C9" s="232" t="s">
        <v>485</v>
      </c>
      <c r="D9" s="70">
        <v>18</v>
      </c>
      <c r="E9" s="232" t="s">
        <v>264</v>
      </c>
      <c r="F9" s="70">
        <v>175</v>
      </c>
      <c r="J9" s="226" t="s">
        <v>486</v>
      </c>
      <c r="K9" s="70">
        <v>130</v>
      </c>
      <c r="Q9" s="70">
        <v>77.5</v>
      </c>
      <c r="W9" s="70">
        <v>147.5</v>
      </c>
      <c r="AH9" s="70" t="s">
        <v>487</v>
      </c>
      <c r="AI9" s="232" t="s">
        <v>216</v>
      </c>
    </row>
    <row r="10" spans="1:103" x14ac:dyDescent="0.2">
      <c r="B10" s="70" t="s">
        <v>33</v>
      </c>
      <c r="C10" s="232" t="s">
        <v>488</v>
      </c>
      <c r="D10" s="70">
        <v>18</v>
      </c>
      <c r="E10" s="232" t="s">
        <v>262</v>
      </c>
      <c r="F10" s="70">
        <v>175</v>
      </c>
      <c r="J10" s="226" t="s">
        <v>486</v>
      </c>
      <c r="K10" s="70">
        <v>130</v>
      </c>
      <c r="Q10" s="70">
        <v>77.5</v>
      </c>
      <c r="W10" s="70">
        <v>147.5</v>
      </c>
      <c r="AH10" s="70" t="s">
        <v>487</v>
      </c>
      <c r="AI10" s="232" t="s">
        <v>216</v>
      </c>
    </row>
    <row r="11" spans="1:103" x14ac:dyDescent="0.2">
      <c r="B11" s="70" t="s">
        <v>33</v>
      </c>
      <c r="C11" s="232" t="s">
        <v>489</v>
      </c>
      <c r="D11" s="70">
        <v>37</v>
      </c>
      <c r="E11" s="232" t="s">
        <v>264</v>
      </c>
      <c r="F11" s="70">
        <v>192</v>
      </c>
      <c r="J11" s="226" t="s">
        <v>490</v>
      </c>
      <c r="K11" s="70">
        <v>157.5</v>
      </c>
      <c r="Q11" s="70">
        <v>125</v>
      </c>
      <c r="W11" s="70">
        <v>217.5</v>
      </c>
      <c r="AI11" s="232" t="s">
        <v>216</v>
      </c>
    </row>
    <row r="12" spans="1:103" x14ac:dyDescent="0.2">
      <c r="B12" s="70" t="s">
        <v>33</v>
      </c>
      <c r="C12" s="232" t="s">
        <v>491</v>
      </c>
      <c r="D12" s="70">
        <v>37</v>
      </c>
      <c r="E12" s="232" t="s">
        <v>265</v>
      </c>
      <c r="F12" s="70">
        <v>192</v>
      </c>
      <c r="J12" s="226" t="s">
        <v>490</v>
      </c>
      <c r="K12" s="70">
        <v>157.5</v>
      </c>
      <c r="Q12" s="70">
        <v>125</v>
      </c>
      <c r="W12" s="70">
        <v>217.5</v>
      </c>
      <c r="AI12" s="232" t="s">
        <v>216</v>
      </c>
    </row>
    <row r="13" spans="1:103" x14ac:dyDescent="0.2">
      <c r="B13" s="70" t="s">
        <v>33</v>
      </c>
      <c r="C13" s="232" t="s">
        <v>492</v>
      </c>
      <c r="D13" s="70">
        <v>45</v>
      </c>
      <c r="E13" s="232" t="s">
        <v>267</v>
      </c>
      <c r="F13" s="70">
        <v>178.5</v>
      </c>
      <c r="J13" s="226" t="s">
        <v>493</v>
      </c>
      <c r="K13" s="70">
        <v>165</v>
      </c>
      <c r="Q13" s="70">
        <v>125</v>
      </c>
      <c r="W13" s="70">
        <v>215</v>
      </c>
      <c r="AI13" s="232" t="s">
        <v>216</v>
      </c>
    </row>
    <row r="14" spans="1:103" x14ac:dyDescent="0.2">
      <c r="B14" s="70" t="s">
        <v>33</v>
      </c>
      <c r="C14" s="232" t="s">
        <v>494</v>
      </c>
      <c r="D14" s="70">
        <v>20</v>
      </c>
      <c r="E14" s="232" t="s">
        <v>495</v>
      </c>
      <c r="F14" s="70">
        <v>235.5</v>
      </c>
      <c r="J14" s="226" t="s">
        <v>496</v>
      </c>
      <c r="K14" s="70">
        <v>175</v>
      </c>
      <c r="Q14" s="70">
        <v>122.5</v>
      </c>
      <c r="W14" s="70">
        <v>205</v>
      </c>
      <c r="AI14" s="232" t="s">
        <v>216</v>
      </c>
    </row>
    <row r="15" spans="1:103" x14ac:dyDescent="0.2">
      <c r="B15" s="70" t="s">
        <v>33</v>
      </c>
      <c r="C15" s="232" t="s">
        <v>497</v>
      </c>
      <c r="D15" s="70">
        <v>38</v>
      </c>
      <c r="E15" s="232" t="s">
        <v>498</v>
      </c>
      <c r="F15" s="70">
        <v>213</v>
      </c>
      <c r="J15" s="226" t="s">
        <v>499</v>
      </c>
      <c r="K15" s="70">
        <v>182.5</v>
      </c>
      <c r="Q15" s="70">
        <v>102.5</v>
      </c>
      <c r="W15" s="70">
        <v>165</v>
      </c>
      <c r="AI15" s="232" t="s">
        <v>216</v>
      </c>
    </row>
    <row r="16" spans="1:103" x14ac:dyDescent="0.2">
      <c r="B16" s="70" t="s">
        <v>33</v>
      </c>
      <c r="C16" s="70" t="s">
        <v>500</v>
      </c>
      <c r="D16" s="70">
        <v>59</v>
      </c>
      <c r="E16" s="232" t="s">
        <v>501</v>
      </c>
      <c r="F16" s="70">
        <v>214.2</v>
      </c>
      <c r="J16" s="226" t="s">
        <v>502</v>
      </c>
      <c r="K16" s="70">
        <v>192.5</v>
      </c>
      <c r="Q16" s="70">
        <v>175</v>
      </c>
      <c r="W16" s="70">
        <v>205</v>
      </c>
      <c r="AI16" s="232" t="s">
        <v>216</v>
      </c>
    </row>
    <row r="17" spans="2:35" x14ac:dyDescent="0.2">
      <c r="B17" s="70" t="s">
        <v>33</v>
      </c>
      <c r="C17" s="70" t="s">
        <v>503</v>
      </c>
      <c r="D17" s="70">
        <v>59</v>
      </c>
      <c r="E17" s="232" t="s">
        <v>501</v>
      </c>
      <c r="F17" s="70">
        <v>214.2</v>
      </c>
      <c r="Q17" s="70">
        <v>175</v>
      </c>
      <c r="AI17" s="232" t="s">
        <v>339</v>
      </c>
    </row>
    <row r="18" spans="2:35" x14ac:dyDescent="0.2">
      <c r="B18" s="70" t="s">
        <v>33</v>
      </c>
      <c r="C18" s="70" t="s">
        <v>504</v>
      </c>
      <c r="D18" s="70">
        <v>26</v>
      </c>
      <c r="E18" s="232" t="s">
        <v>505</v>
      </c>
      <c r="F18" s="70">
        <v>177.6</v>
      </c>
      <c r="J18" s="226" t="s">
        <v>477</v>
      </c>
      <c r="K18" s="70">
        <v>192.5</v>
      </c>
      <c r="Q18" s="70">
        <v>130</v>
      </c>
      <c r="W18" s="70">
        <v>232.5</v>
      </c>
      <c r="AI18" s="232" t="s">
        <v>216</v>
      </c>
    </row>
    <row r="19" spans="2:35" x14ac:dyDescent="0.2">
      <c r="B19" s="70" t="s">
        <v>33</v>
      </c>
      <c r="C19" s="70" t="s">
        <v>506</v>
      </c>
      <c r="D19" s="70">
        <v>52</v>
      </c>
      <c r="E19" s="232" t="s">
        <v>507</v>
      </c>
      <c r="F19" s="70">
        <v>288</v>
      </c>
      <c r="J19" s="226" t="s">
        <v>502</v>
      </c>
      <c r="K19" s="70">
        <v>205</v>
      </c>
      <c r="Q19" s="70">
        <v>145</v>
      </c>
      <c r="W19" s="70">
        <v>295</v>
      </c>
      <c r="AI19" s="232" t="s">
        <v>216</v>
      </c>
    </row>
    <row r="20" spans="2:35" x14ac:dyDescent="0.2">
      <c r="B20" s="70" t="s">
        <v>33</v>
      </c>
      <c r="C20" s="70" t="s">
        <v>508</v>
      </c>
      <c r="D20" s="70">
        <v>29</v>
      </c>
      <c r="E20" s="232" t="s">
        <v>264</v>
      </c>
      <c r="F20" s="70">
        <v>192.5</v>
      </c>
      <c r="J20" s="226" t="s">
        <v>509</v>
      </c>
      <c r="K20" s="70">
        <v>215</v>
      </c>
      <c r="Q20" s="70">
        <v>140</v>
      </c>
      <c r="W20" s="70">
        <v>250</v>
      </c>
      <c r="AI20" s="232" t="s">
        <v>216</v>
      </c>
    </row>
    <row r="21" spans="2:35" x14ac:dyDescent="0.2">
      <c r="B21" s="70" t="s">
        <v>33</v>
      </c>
      <c r="C21" s="70" t="s">
        <v>510</v>
      </c>
      <c r="D21" s="70">
        <v>27</v>
      </c>
      <c r="E21" s="232" t="s">
        <v>505</v>
      </c>
      <c r="F21" s="70">
        <v>238</v>
      </c>
      <c r="J21" s="226" t="s">
        <v>490</v>
      </c>
      <c r="K21" s="70">
        <v>220</v>
      </c>
      <c r="Q21" s="70">
        <v>167.5</v>
      </c>
      <c r="W21" s="70">
        <v>230</v>
      </c>
      <c r="AI21" s="232" t="s">
        <v>216</v>
      </c>
    </row>
    <row r="22" spans="2:35" x14ac:dyDescent="0.2">
      <c r="B22" s="70" t="s">
        <v>33</v>
      </c>
      <c r="C22" s="232" t="s">
        <v>511</v>
      </c>
      <c r="D22" s="70">
        <v>25</v>
      </c>
      <c r="E22" s="232" t="s">
        <v>505</v>
      </c>
      <c r="F22" s="70">
        <v>258.5</v>
      </c>
      <c r="J22" s="226" t="s">
        <v>484</v>
      </c>
      <c r="K22" s="70">
        <v>227.5</v>
      </c>
      <c r="Q22" s="70">
        <v>130</v>
      </c>
      <c r="W22" s="70">
        <v>250</v>
      </c>
      <c r="AI22" s="232" t="s">
        <v>216</v>
      </c>
    </row>
    <row r="23" spans="2:35" x14ac:dyDescent="0.2">
      <c r="B23" s="70" t="s">
        <v>33</v>
      </c>
      <c r="C23" s="232" t="s">
        <v>512</v>
      </c>
      <c r="D23" s="70">
        <v>46</v>
      </c>
      <c r="E23" s="232" t="s">
        <v>513</v>
      </c>
      <c r="F23" s="70">
        <v>237.4</v>
      </c>
      <c r="J23" s="226" t="s">
        <v>514</v>
      </c>
      <c r="K23" s="70">
        <v>240</v>
      </c>
      <c r="Q23" s="70">
        <v>65</v>
      </c>
      <c r="W23" s="70">
        <v>252.5</v>
      </c>
      <c r="AI23" s="232" t="s">
        <v>216</v>
      </c>
    </row>
    <row r="24" spans="2:35" x14ac:dyDescent="0.2">
      <c r="B24" s="70" t="s">
        <v>33</v>
      </c>
      <c r="C24" s="232" t="s">
        <v>515</v>
      </c>
      <c r="D24" s="70">
        <v>41</v>
      </c>
      <c r="E24" s="232" t="s">
        <v>505</v>
      </c>
      <c r="F24" s="70">
        <v>254.4</v>
      </c>
      <c r="J24" s="226" t="s">
        <v>484</v>
      </c>
      <c r="K24" s="70">
        <v>250</v>
      </c>
      <c r="Q24" s="70">
        <v>185</v>
      </c>
      <c r="W24" s="70">
        <v>290</v>
      </c>
      <c r="AI24" s="232" t="s">
        <v>216</v>
      </c>
    </row>
    <row r="25" spans="2:35" x14ac:dyDescent="0.2">
      <c r="B25" s="70" t="s">
        <v>33</v>
      </c>
      <c r="C25" s="232" t="s">
        <v>516</v>
      </c>
      <c r="D25" s="70">
        <v>41</v>
      </c>
      <c r="E25" s="232" t="s">
        <v>517</v>
      </c>
      <c r="F25" s="70">
        <v>254.5</v>
      </c>
      <c r="J25" s="226" t="s">
        <v>484</v>
      </c>
      <c r="K25" s="70">
        <v>150</v>
      </c>
      <c r="Q25" s="70">
        <v>185</v>
      </c>
      <c r="W25" s="70">
        <v>290</v>
      </c>
      <c r="AI25" s="232" t="s">
        <v>216</v>
      </c>
    </row>
    <row r="26" spans="2:35" x14ac:dyDescent="0.2">
      <c r="B26" s="70" t="s">
        <v>33</v>
      </c>
      <c r="C26" s="232" t="s">
        <v>518</v>
      </c>
      <c r="D26" s="70">
        <v>25</v>
      </c>
      <c r="E26" s="232" t="s">
        <v>251</v>
      </c>
      <c r="F26" s="70">
        <v>242</v>
      </c>
      <c r="W26" s="70">
        <v>122.5</v>
      </c>
      <c r="AH26" s="70" t="s">
        <v>487</v>
      </c>
      <c r="AI26" s="232" t="s">
        <v>468</v>
      </c>
    </row>
    <row r="27" spans="2:35" x14ac:dyDescent="0.2">
      <c r="B27" s="70" t="s">
        <v>33</v>
      </c>
      <c r="C27" s="232" t="s">
        <v>519</v>
      </c>
      <c r="D27" s="70">
        <v>59</v>
      </c>
      <c r="E27" s="232" t="s">
        <v>269</v>
      </c>
      <c r="F27" s="70">
        <v>286</v>
      </c>
      <c r="Q27" s="70">
        <v>165</v>
      </c>
      <c r="AI27" s="232" t="s">
        <v>339</v>
      </c>
    </row>
    <row r="28" spans="2:35" x14ac:dyDescent="0.2">
      <c r="B28" s="70" t="s">
        <v>33</v>
      </c>
      <c r="C28" s="232" t="s">
        <v>520</v>
      </c>
      <c r="D28" s="70">
        <v>19</v>
      </c>
      <c r="E28" s="232" t="s">
        <v>262</v>
      </c>
      <c r="F28" s="70">
        <v>131</v>
      </c>
      <c r="W28" s="70">
        <v>137.5</v>
      </c>
      <c r="AI28" s="232" t="s">
        <v>468</v>
      </c>
    </row>
    <row r="29" spans="2:35" x14ac:dyDescent="0.2">
      <c r="B29" s="70" t="s">
        <v>34</v>
      </c>
      <c r="C29" s="232" t="s">
        <v>521</v>
      </c>
      <c r="D29" s="70">
        <v>16</v>
      </c>
      <c r="E29" s="232" t="s">
        <v>220</v>
      </c>
      <c r="F29" s="70">
        <v>108.8</v>
      </c>
      <c r="J29" s="226" t="s">
        <v>499</v>
      </c>
      <c r="K29" s="70">
        <v>85</v>
      </c>
      <c r="Q29" s="70">
        <v>45</v>
      </c>
      <c r="W29" s="70">
        <v>92.5</v>
      </c>
      <c r="AI29" s="232" t="s">
        <v>216</v>
      </c>
    </row>
    <row r="30" spans="2:35" x14ac:dyDescent="0.2">
      <c r="B30" s="70" t="s">
        <v>34</v>
      </c>
      <c r="C30" s="232" t="s">
        <v>522</v>
      </c>
      <c r="D30" s="70">
        <v>17</v>
      </c>
      <c r="E30" s="232" t="s">
        <v>220</v>
      </c>
      <c r="F30" s="70">
        <v>178.4</v>
      </c>
      <c r="J30" s="226" t="s">
        <v>499</v>
      </c>
      <c r="K30" s="70">
        <v>87.5</v>
      </c>
      <c r="Q30" s="70">
        <v>45</v>
      </c>
      <c r="W30" s="70">
        <v>95</v>
      </c>
      <c r="AI30" s="232" t="s">
        <v>216</v>
      </c>
    </row>
    <row r="31" spans="2:35" x14ac:dyDescent="0.2">
      <c r="B31" s="70" t="s">
        <v>34</v>
      </c>
      <c r="C31" s="232" t="s">
        <v>523</v>
      </c>
      <c r="D31" s="70">
        <v>17</v>
      </c>
      <c r="E31" s="232" t="s">
        <v>220</v>
      </c>
      <c r="F31" s="70">
        <v>171.2</v>
      </c>
      <c r="J31" s="226" t="s">
        <v>524</v>
      </c>
      <c r="K31" s="70">
        <v>95</v>
      </c>
      <c r="Q31" s="70">
        <v>50</v>
      </c>
      <c r="W31" s="70">
        <v>97.5</v>
      </c>
      <c r="AI31" s="232" t="s">
        <v>216</v>
      </c>
    </row>
    <row r="32" spans="2:35" x14ac:dyDescent="0.2">
      <c r="B32" s="70" t="s">
        <v>34</v>
      </c>
      <c r="C32" s="232" t="s">
        <v>525</v>
      </c>
      <c r="D32" s="70">
        <v>14</v>
      </c>
      <c r="E32" s="232" t="s">
        <v>219</v>
      </c>
      <c r="F32" s="70">
        <v>101.2</v>
      </c>
      <c r="J32" s="226" t="s">
        <v>526</v>
      </c>
      <c r="K32" s="70">
        <v>97.5</v>
      </c>
      <c r="Q32" s="70">
        <v>50</v>
      </c>
      <c r="W32" s="70">
        <v>97.5</v>
      </c>
      <c r="AI32" s="232" t="s">
        <v>216</v>
      </c>
    </row>
    <row r="33" spans="2:35" x14ac:dyDescent="0.2">
      <c r="B33" s="70" t="s">
        <v>34</v>
      </c>
      <c r="C33" s="232" t="s">
        <v>527</v>
      </c>
      <c r="D33" s="70">
        <v>14</v>
      </c>
      <c r="E33" s="232" t="s">
        <v>219</v>
      </c>
      <c r="F33" s="70">
        <v>97</v>
      </c>
      <c r="J33" s="226" t="s">
        <v>526</v>
      </c>
      <c r="K33" s="70">
        <v>97.5</v>
      </c>
      <c r="Q33" s="70">
        <v>50</v>
      </c>
      <c r="W33" s="70">
        <v>90</v>
      </c>
      <c r="AI33" s="232" t="s">
        <v>216</v>
      </c>
    </row>
    <row r="34" spans="2:35" x14ac:dyDescent="0.2">
      <c r="B34" s="70" t="s">
        <v>34</v>
      </c>
      <c r="C34" s="232" t="s">
        <v>528</v>
      </c>
      <c r="D34" s="70">
        <v>14</v>
      </c>
      <c r="E34" s="232" t="s">
        <v>219</v>
      </c>
      <c r="F34" s="70">
        <v>106.8</v>
      </c>
      <c r="J34" s="226" t="s">
        <v>526</v>
      </c>
      <c r="K34" s="70">
        <v>100</v>
      </c>
      <c r="Q34" s="70">
        <v>47.5</v>
      </c>
      <c r="W34" s="70">
        <v>100</v>
      </c>
      <c r="AI34" s="232" t="s">
        <v>216</v>
      </c>
    </row>
    <row r="35" spans="2:35" x14ac:dyDescent="0.2">
      <c r="B35" s="70" t="s">
        <v>34</v>
      </c>
      <c r="C35" s="232" t="s">
        <v>529</v>
      </c>
      <c r="D35" s="70">
        <v>15</v>
      </c>
      <c r="E35" s="232" t="s">
        <v>219</v>
      </c>
      <c r="F35" s="70">
        <v>120</v>
      </c>
      <c r="J35" s="226" t="s">
        <v>530</v>
      </c>
      <c r="K35" s="70">
        <v>100</v>
      </c>
      <c r="Q35" s="70">
        <v>45</v>
      </c>
      <c r="W35" s="70">
        <v>100</v>
      </c>
      <c r="AI35" s="232" t="s">
        <v>216</v>
      </c>
    </row>
    <row r="36" spans="2:35" x14ac:dyDescent="0.2">
      <c r="B36" s="70" t="s">
        <v>34</v>
      </c>
      <c r="C36" s="232" t="s">
        <v>531</v>
      </c>
      <c r="D36" s="70">
        <v>17</v>
      </c>
      <c r="E36" s="232" t="s">
        <v>220</v>
      </c>
      <c r="F36" s="70">
        <v>157</v>
      </c>
      <c r="J36" s="226" t="s">
        <v>477</v>
      </c>
      <c r="K36" s="70">
        <v>112.5</v>
      </c>
      <c r="Q36" s="70">
        <v>57.5</v>
      </c>
      <c r="W36" s="70">
        <v>110</v>
      </c>
      <c r="AI36" s="232" t="s">
        <v>216</v>
      </c>
    </row>
    <row r="37" spans="2:35" x14ac:dyDescent="0.2">
      <c r="B37" s="70" t="s">
        <v>34</v>
      </c>
      <c r="C37" s="232" t="s">
        <v>532</v>
      </c>
      <c r="D37" s="70">
        <v>35</v>
      </c>
      <c r="E37" s="232" t="s">
        <v>224</v>
      </c>
      <c r="F37" s="70">
        <v>111.4</v>
      </c>
      <c r="J37" s="226" t="s">
        <v>533</v>
      </c>
      <c r="K37" s="70">
        <v>115</v>
      </c>
      <c r="Q37" s="70">
        <v>52.5</v>
      </c>
      <c r="W37" s="70">
        <v>125</v>
      </c>
      <c r="AI37" s="232" t="s">
        <v>216</v>
      </c>
    </row>
    <row r="38" spans="2:35" x14ac:dyDescent="0.2">
      <c r="B38" s="70" t="s">
        <v>34</v>
      </c>
      <c r="C38" s="70" t="s">
        <v>534</v>
      </c>
      <c r="D38" s="70">
        <v>17</v>
      </c>
      <c r="E38" s="232" t="s">
        <v>220</v>
      </c>
      <c r="F38" s="70">
        <v>129.19999999999999</v>
      </c>
      <c r="J38" s="226" t="s">
        <v>524</v>
      </c>
      <c r="K38" s="70">
        <v>120</v>
      </c>
      <c r="Q38" s="70">
        <v>60</v>
      </c>
      <c r="W38" s="70">
        <v>135</v>
      </c>
      <c r="AI38" s="232" t="s">
        <v>216</v>
      </c>
    </row>
    <row r="39" spans="2:35" x14ac:dyDescent="0.2">
      <c r="B39" s="70" t="s">
        <v>34</v>
      </c>
      <c r="C39" s="70" t="s">
        <v>535</v>
      </c>
      <c r="D39" s="70">
        <v>31</v>
      </c>
      <c r="E39" s="232" t="s">
        <v>223</v>
      </c>
      <c r="F39" s="70">
        <v>100.4</v>
      </c>
      <c r="J39" s="226" t="s">
        <v>536</v>
      </c>
      <c r="K39" s="70">
        <v>125</v>
      </c>
      <c r="Q39" s="70">
        <v>70</v>
      </c>
      <c r="W39" s="70">
        <v>107.5</v>
      </c>
      <c r="AI39" s="232" t="s">
        <v>216</v>
      </c>
    </row>
    <row r="40" spans="2:35" x14ac:dyDescent="0.2">
      <c r="B40" s="70" t="s">
        <v>34</v>
      </c>
      <c r="C40" s="70" t="s">
        <v>537</v>
      </c>
      <c r="D40" s="70">
        <v>17</v>
      </c>
      <c r="E40" s="232" t="s">
        <v>220</v>
      </c>
      <c r="F40" s="70">
        <v>129.19999999999999</v>
      </c>
      <c r="J40" s="226" t="s">
        <v>524</v>
      </c>
      <c r="K40" s="70">
        <v>130</v>
      </c>
      <c r="Q40" s="70">
        <v>72.5</v>
      </c>
      <c r="W40" s="70">
        <v>137.5</v>
      </c>
      <c r="AI40" s="232" t="s">
        <v>216</v>
      </c>
    </row>
    <row r="41" spans="2:35" x14ac:dyDescent="0.2">
      <c r="B41" s="70" t="s">
        <v>34</v>
      </c>
      <c r="C41" s="70" t="s">
        <v>538</v>
      </c>
      <c r="D41" s="70">
        <v>17</v>
      </c>
      <c r="E41" s="232" t="s">
        <v>220</v>
      </c>
      <c r="F41" s="70">
        <v>120</v>
      </c>
      <c r="J41" s="226" t="s">
        <v>526</v>
      </c>
      <c r="K41" s="70">
        <v>132.5</v>
      </c>
      <c r="P41" s="18"/>
      <c r="Q41" s="70">
        <v>57.5</v>
      </c>
      <c r="W41" s="70">
        <v>127.5</v>
      </c>
      <c r="AI41" s="232" t="s">
        <v>216</v>
      </c>
    </row>
    <row r="42" spans="2:35" x14ac:dyDescent="0.2">
      <c r="B42" s="70" t="s">
        <v>34</v>
      </c>
      <c r="C42" s="70" t="s">
        <v>539</v>
      </c>
      <c r="D42" s="70">
        <v>16</v>
      </c>
      <c r="E42" s="232" t="s">
        <v>220</v>
      </c>
      <c r="F42" s="70">
        <v>147.80000000000001</v>
      </c>
      <c r="J42" s="226" t="s">
        <v>524</v>
      </c>
      <c r="K42" s="70">
        <v>135</v>
      </c>
      <c r="Q42" s="70">
        <v>45</v>
      </c>
      <c r="W42" s="70">
        <v>127.5</v>
      </c>
      <c r="AI42" s="232" t="s">
        <v>216</v>
      </c>
    </row>
    <row r="43" spans="2:35" x14ac:dyDescent="0.2">
      <c r="B43" s="70" t="s">
        <v>34</v>
      </c>
      <c r="C43" s="70" t="s">
        <v>540</v>
      </c>
      <c r="D43" s="70">
        <v>16</v>
      </c>
      <c r="E43" s="232" t="s">
        <v>220</v>
      </c>
      <c r="F43" s="70">
        <v>131.19999999999999</v>
      </c>
      <c r="J43" s="226" t="s">
        <v>530</v>
      </c>
      <c r="K43" s="70">
        <v>137.5</v>
      </c>
      <c r="Q43" s="70">
        <v>77.5</v>
      </c>
      <c r="W43" s="70">
        <v>130</v>
      </c>
      <c r="AI43" s="232" t="s">
        <v>216</v>
      </c>
    </row>
    <row r="44" spans="2:35" x14ac:dyDescent="0.2">
      <c r="B44" s="70" t="s">
        <v>34</v>
      </c>
      <c r="C44" s="70" t="s">
        <v>541</v>
      </c>
      <c r="D44" s="70">
        <v>18</v>
      </c>
      <c r="E44" s="232" t="s">
        <v>221</v>
      </c>
      <c r="F44" s="70">
        <v>159.6</v>
      </c>
      <c r="J44" s="226" t="s">
        <v>533</v>
      </c>
      <c r="K44" s="70">
        <v>142.5</v>
      </c>
      <c r="Q44" s="70">
        <v>72.5</v>
      </c>
      <c r="W44" s="70">
        <v>132.5</v>
      </c>
      <c r="AI44" s="232" t="s">
        <v>216</v>
      </c>
    </row>
    <row r="45" spans="2:35" x14ac:dyDescent="0.2">
      <c r="B45" s="70" t="s">
        <v>34</v>
      </c>
      <c r="C45" s="70" t="s">
        <v>542</v>
      </c>
      <c r="D45" s="70">
        <v>16</v>
      </c>
      <c r="E45" s="232" t="s">
        <v>220</v>
      </c>
      <c r="F45" s="70">
        <v>112.8</v>
      </c>
      <c r="J45" s="226" t="s">
        <v>543</v>
      </c>
      <c r="K45" s="70">
        <v>142.5</v>
      </c>
      <c r="Q45" s="70">
        <v>67.5</v>
      </c>
      <c r="W45" s="70">
        <v>127.5</v>
      </c>
      <c r="AI45" s="232" t="s">
        <v>216</v>
      </c>
    </row>
    <row r="46" spans="2:35" x14ac:dyDescent="0.2">
      <c r="B46" s="70" t="s">
        <v>34</v>
      </c>
      <c r="C46" s="70" t="s">
        <v>544</v>
      </c>
      <c r="D46" s="70">
        <v>18</v>
      </c>
      <c r="E46" s="232" t="s">
        <v>221</v>
      </c>
      <c r="F46" s="70">
        <v>144.80000000000001</v>
      </c>
      <c r="J46" s="226" t="s">
        <v>524</v>
      </c>
      <c r="K46" s="70">
        <v>142.5</v>
      </c>
      <c r="Q46" s="70">
        <v>75</v>
      </c>
      <c r="W46" s="70">
        <v>130</v>
      </c>
      <c r="AI46" s="232" t="s">
        <v>216</v>
      </c>
    </row>
    <row r="47" spans="2:35" x14ac:dyDescent="0.2">
      <c r="B47" s="70" t="s">
        <v>34</v>
      </c>
      <c r="C47" s="70" t="s">
        <v>545</v>
      </c>
      <c r="D47" s="70">
        <v>25</v>
      </c>
      <c r="E47" s="232" t="s">
        <v>223</v>
      </c>
      <c r="F47" s="70">
        <v>146.19999999999999</v>
      </c>
      <c r="J47" s="226" t="s">
        <v>536</v>
      </c>
      <c r="K47" s="70">
        <v>162.5</v>
      </c>
      <c r="Q47" s="70">
        <v>82.5</v>
      </c>
      <c r="W47" s="70">
        <v>152.5</v>
      </c>
      <c r="AI47" s="232" t="s">
        <v>216</v>
      </c>
    </row>
    <row r="48" spans="2:35" x14ac:dyDescent="0.2">
      <c r="B48" s="70" t="s">
        <v>34</v>
      </c>
      <c r="C48" s="70" t="s">
        <v>546</v>
      </c>
      <c r="D48" s="70">
        <v>54</v>
      </c>
      <c r="E48" s="232" t="s">
        <v>227</v>
      </c>
      <c r="F48" s="70">
        <v>122</v>
      </c>
      <c r="Q48" s="70">
        <v>70</v>
      </c>
      <c r="AI48" s="232" t="s">
        <v>339</v>
      </c>
    </row>
    <row r="49" spans="2:35" x14ac:dyDescent="0.2">
      <c r="B49" s="70" t="s">
        <v>34</v>
      </c>
      <c r="C49" s="70" t="s">
        <v>547</v>
      </c>
      <c r="D49" s="70">
        <v>54</v>
      </c>
      <c r="E49" s="232" t="s">
        <v>227</v>
      </c>
      <c r="F49" s="70">
        <v>122</v>
      </c>
      <c r="W49" s="70">
        <v>137.5</v>
      </c>
      <c r="AI49" s="232" t="s">
        <v>468</v>
      </c>
    </row>
    <row r="50" spans="2:35" x14ac:dyDescent="0.2">
      <c r="B50" s="70" t="s">
        <v>34</v>
      </c>
      <c r="C50" s="70" t="s">
        <v>548</v>
      </c>
      <c r="D50" s="70">
        <v>25</v>
      </c>
      <c r="E50" s="232" t="s">
        <v>223</v>
      </c>
      <c r="F50" s="70">
        <v>136.19999999999999</v>
      </c>
      <c r="Q50" s="70">
        <v>75</v>
      </c>
      <c r="AI50" s="232" t="s">
        <v>339</v>
      </c>
    </row>
    <row r="51" spans="2:35" x14ac:dyDescent="0.2">
      <c r="B51" s="70" t="s">
        <v>35</v>
      </c>
      <c r="C51" s="70" t="s">
        <v>549</v>
      </c>
      <c r="D51" s="70">
        <v>14</v>
      </c>
      <c r="E51" s="70" t="s">
        <v>213</v>
      </c>
      <c r="F51" s="70">
        <v>112</v>
      </c>
      <c r="J51" s="226" t="s">
        <v>524</v>
      </c>
      <c r="K51" s="70">
        <v>87.5</v>
      </c>
      <c r="Q51" s="70">
        <v>50</v>
      </c>
      <c r="W51" s="70">
        <v>112.5</v>
      </c>
      <c r="AI51" s="232" t="s">
        <v>216</v>
      </c>
    </row>
    <row r="52" spans="2:35" x14ac:dyDescent="0.2">
      <c r="B52" s="70" t="s">
        <v>35</v>
      </c>
      <c r="C52" s="70" t="s">
        <v>550</v>
      </c>
      <c r="D52" s="70">
        <v>15</v>
      </c>
      <c r="E52" s="70" t="s">
        <v>213</v>
      </c>
      <c r="F52" s="70">
        <v>113.5</v>
      </c>
      <c r="J52" s="226" t="s">
        <v>526</v>
      </c>
      <c r="K52" s="70">
        <v>137.5</v>
      </c>
      <c r="Q52" s="70">
        <v>90</v>
      </c>
      <c r="W52" s="70">
        <v>140</v>
      </c>
      <c r="AI52" s="70" t="s">
        <v>216</v>
      </c>
    </row>
    <row r="53" spans="2:35" x14ac:dyDescent="0.2">
      <c r="B53" s="70" t="s">
        <v>35</v>
      </c>
      <c r="C53" s="70" t="s">
        <v>551</v>
      </c>
      <c r="D53" s="70">
        <v>15</v>
      </c>
      <c r="E53" s="70" t="s">
        <v>213</v>
      </c>
      <c r="F53" s="70">
        <v>180.7</v>
      </c>
      <c r="J53" s="226" t="s">
        <v>490</v>
      </c>
      <c r="K53" s="70">
        <v>210</v>
      </c>
      <c r="Q53" s="70">
        <v>115</v>
      </c>
      <c r="W53" s="70">
        <v>205</v>
      </c>
      <c r="AI53" s="70" t="s">
        <v>216</v>
      </c>
    </row>
    <row r="54" spans="2:35" x14ac:dyDescent="0.2">
      <c r="B54" s="70" t="s">
        <v>35</v>
      </c>
      <c r="C54" s="70" t="s">
        <v>552</v>
      </c>
      <c r="D54" s="70">
        <v>16</v>
      </c>
      <c r="E54" s="70" t="s">
        <v>214</v>
      </c>
      <c r="F54" s="70">
        <v>208.5</v>
      </c>
      <c r="J54" s="226" t="s">
        <v>493</v>
      </c>
      <c r="K54" s="70">
        <v>227.5</v>
      </c>
      <c r="Q54" s="70">
        <v>155</v>
      </c>
      <c r="W54" s="70">
        <v>242.5</v>
      </c>
      <c r="AI54" s="70" t="s">
        <v>216</v>
      </c>
    </row>
    <row r="55" spans="2:35" x14ac:dyDescent="0.2">
      <c r="B55" s="70" t="s">
        <v>35</v>
      </c>
      <c r="C55" s="70" t="s">
        <v>553</v>
      </c>
      <c r="D55" s="70">
        <v>16</v>
      </c>
      <c r="E55" s="70" t="s">
        <v>214</v>
      </c>
      <c r="F55" s="70">
        <v>229</v>
      </c>
      <c r="J55" s="226" t="s">
        <v>477</v>
      </c>
      <c r="K55" s="70">
        <v>227.5</v>
      </c>
      <c r="Q55" s="70">
        <v>140</v>
      </c>
      <c r="W55" s="70">
        <v>210</v>
      </c>
      <c r="AI55" s="70" t="s">
        <v>216</v>
      </c>
    </row>
    <row r="56" spans="2:35" x14ac:dyDescent="0.2">
      <c r="B56" s="70" t="s">
        <v>35</v>
      </c>
      <c r="C56" s="70" t="s">
        <v>554</v>
      </c>
      <c r="D56" s="70">
        <v>17</v>
      </c>
      <c r="E56" s="70" t="s">
        <v>214</v>
      </c>
      <c r="F56" s="70">
        <v>151.5</v>
      </c>
      <c r="J56" s="226" t="s">
        <v>533</v>
      </c>
      <c r="K56" s="70">
        <v>250</v>
      </c>
      <c r="Q56" s="70">
        <v>145</v>
      </c>
      <c r="W56" s="70">
        <v>227.5</v>
      </c>
      <c r="AI56" s="70" t="s">
        <v>216</v>
      </c>
    </row>
    <row r="57" spans="2:35" x14ac:dyDescent="0.2">
      <c r="B57" s="70" t="s">
        <v>35</v>
      </c>
      <c r="C57" s="70" t="s">
        <v>555</v>
      </c>
      <c r="D57" s="70">
        <v>28</v>
      </c>
      <c r="E57" s="70" t="s">
        <v>251</v>
      </c>
      <c r="F57" s="70">
        <v>212.8</v>
      </c>
      <c r="J57" s="226" t="s">
        <v>556</v>
      </c>
      <c r="K57" s="70">
        <v>250</v>
      </c>
      <c r="Q57" s="70">
        <v>220</v>
      </c>
      <c r="W57" s="70">
        <v>205</v>
      </c>
      <c r="AI57" s="70" t="s">
        <v>216</v>
      </c>
    </row>
    <row r="58" spans="2:35" x14ac:dyDescent="0.2">
      <c r="B58" s="70" t="s">
        <v>35</v>
      </c>
      <c r="C58" s="70" t="s">
        <v>557</v>
      </c>
      <c r="D58" s="70">
        <v>27</v>
      </c>
      <c r="E58" s="70" t="s">
        <v>251</v>
      </c>
      <c r="F58" s="70">
        <v>197.2</v>
      </c>
      <c r="J58" s="226" t="s">
        <v>558</v>
      </c>
      <c r="K58" s="70">
        <v>285</v>
      </c>
      <c r="Q58" s="70">
        <v>215</v>
      </c>
      <c r="W58" s="70">
        <v>227.5</v>
      </c>
      <c r="AI58" s="70" t="s">
        <v>216</v>
      </c>
    </row>
    <row r="59" spans="2:35" x14ac:dyDescent="0.2">
      <c r="B59" s="70" t="s">
        <v>35</v>
      </c>
      <c r="C59" s="70" t="s">
        <v>559</v>
      </c>
      <c r="D59" s="70">
        <v>61</v>
      </c>
      <c r="E59" s="70" t="s">
        <v>254</v>
      </c>
      <c r="F59" s="70">
        <v>240</v>
      </c>
      <c r="J59" s="226" t="s">
        <v>560</v>
      </c>
      <c r="K59" s="70">
        <v>290</v>
      </c>
      <c r="Q59" s="70">
        <v>210</v>
      </c>
      <c r="W59" s="70">
        <v>210</v>
      </c>
      <c r="AI59" s="70" t="s">
        <v>216</v>
      </c>
    </row>
    <row r="60" spans="2:35" x14ac:dyDescent="0.2">
      <c r="B60" s="70" t="s">
        <v>35</v>
      </c>
      <c r="C60" s="70" t="s">
        <v>561</v>
      </c>
      <c r="D60" s="70">
        <v>21</v>
      </c>
      <c r="E60" s="70" t="s">
        <v>212</v>
      </c>
      <c r="F60" s="70">
        <v>210.5</v>
      </c>
      <c r="J60" s="226" t="s">
        <v>486</v>
      </c>
      <c r="K60" s="70">
        <v>335</v>
      </c>
      <c r="Q60" s="70">
        <v>227.5</v>
      </c>
      <c r="W60" s="70">
        <v>320</v>
      </c>
      <c r="AI60" s="70" t="s">
        <v>216</v>
      </c>
    </row>
    <row r="61" spans="2:35" x14ac:dyDescent="0.2">
      <c r="B61" s="70" t="s">
        <v>35</v>
      </c>
      <c r="C61" s="70" t="s">
        <v>562</v>
      </c>
      <c r="D61" s="70">
        <v>22</v>
      </c>
      <c r="E61" s="70" t="s">
        <v>251</v>
      </c>
      <c r="F61" s="70">
        <v>272</v>
      </c>
      <c r="J61" s="226" t="s">
        <v>502</v>
      </c>
      <c r="K61" s="70">
        <v>365</v>
      </c>
      <c r="Q61" s="70">
        <v>240</v>
      </c>
      <c r="W61" s="70">
        <v>305</v>
      </c>
      <c r="AI61" s="70" t="s">
        <v>216</v>
      </c>
    </row>
    <row r="62" spans="2:35" x14ac:dyDescent="0.2">
      <c r="B62" s="70" t="s">
        <v>35</v>
      </c>
      <c r="C62" s="70" t="s">
        <v>563</v>
      </c>
      <c r="D62" s="70">
        <v>28</v>
      </c>
      <c r="E62" s="70" t="s">
        <v>251</v>
      </c>
      <c r="F62" s="70">
        <v>212.8</v>
      </c>
      <c r="Q62" s="70">
        <v>220</v>
      </c>
      <c r="AI62" s="70" t="s">
        <v>339</v>
      </c>
    </row>
    <row r="63" spans="2:35" x14ac:dyDescent="0.2">
      <c r="B63" s="70" t="s">
        <v>35</v>
      </c>
      <c r="C63" s="70" t="s">
        <v>564</v>
      </c>
      <c r="D63" s="70">
        <v>72</v>
      </c>
      <c r="E63" s="70" t="s">
        <v>256</v>
      </c>
      <c r="F63" s="70">
        <v>211.5</v>
      </c>
      <c r="Q63" s="70">
        <v>145</v>
      </c>
      <c r="AI63" s="70" t="s">
        <v>339</v>
      </c>
    </row>
    <row r="64" spans="2:35" x14ac:dyDescent="0.2">
      <c r="B64" s="70" t="s">
        <v>35</v>
      </c>
      <c r="C64" s="70" t="s">
        <v>565</v>
      </c>
      <c r="D64" s="70">
        <v>72</v>
      </c>
      <c r="E64" s="70" t="s">
        <v>256</v>
      </c>
      <c r="F64" s="70">
        <v>211.5</v>
      </c>
      <c r="W64" s="70">
        <v>150</v>
      </c>
      <c r="AI64" s="70" t="s">
        <v>468</v>
      </c>
    </row>
    <row r="65" spans="2:35" x14ac:dyDescent="0.2">
      <c r="B65" s="70" t="s">
        <v>35</v>
      </c>
      <c r="C65" s="70" t="s">
        <v>566</v>
      </c>
      <c r="D65" s="70">
        <v>27</v>
      </c>
      <c r="E65" s="70" t="s">
        <v>251</v>
      </c>
      <c r="F65" s="70">
        <v>301.2</v>
      </c>
      <c r="Q65" s="70">
        <v>227.5</v>
      </c>
      <c r="AI65" s="70" t="s">
        <v>339</v>
      </c>
    </row>
    <row r="66" spans="2:35" x14ac:dyDescent="0.2">
      <c r="C66" s="232"/>
      <c r="E66" s="232"/>
      <c r="AI66" s="232"/>
    </row>
    <row r="69" spans="2:35" x14ac:dyDescent="0.2">
      <c r="C69" s="232"/>
      <c r="E69" s="232"/>
      <c r="AI69" s="232"/>
    </row>
    <row r="70" spans="2:35" x14ac:dyDescent="0.2">
      <c r="C70" s="232"/>
      <c r="E70" s="232"/>
      <c r="AI70" s="232"/>
    </row>
    <row r="71" spans="2:35" x14ac:dyDescent="0.2">
      <c r="C71" s="232"/>
      <c r="E71" s="232"/>
      <c r="AI71" s="232"/>
    </row>
    <row r="72" spans="2:35" x14ac:dyDescent="0.2">
      <c r="C72" s="232"/>
      <c r="E72" s="232"/>
      <c r="AI72" s="232"/>
    </row>
    <row r="73" spans="2:35" x14ac:dyDescent="0.2">
      <c r="C73" s="232"/>
      <c r="E73" s="232"/>
      <c r="AI73" s="232"/>
    </row>
    <row r="76" spans="2:35" x14ac:dyDescent="0.2">
      <c r="C76" s="232"/>
      <c r="E76" s="232"/>
      <c r="AI76" s="232"/>
    </row>
    <row r="77" spans="2:35" x14ac:dyDescent="0.2">
      <c r="C77" s="232"/>
      <c r="E77" s="232"/>
      <c r="AI77" s="232"/>
    </row>
    <row r="78" spans="2:35" x14ac:dyDescent="0.2">
      <c r="C78" s="232"/>
      <c r="E78" s="232"/>
      <c r="AI78" s="232"/>
    </row>
  </sheetData>
  <sortState ref="B3:AI79">
    <sortCondition ref="B3:B79"/>
    <sortCondition ref="K3:K79"/>
  </sortState>
  <phoneticPr fontId="0" type="noConversion"/>
  <conditionalFormatting sqref="A2:AI2 A80:B65536 C80:AI65533 A66:AI79 A3 A4:B65">
    <cfRule type="expression" dxfId="63" priority="5" stopIfTrue="1">
      <formula>AND(ROW(A2)=$CC$1,COLUMN(A2)=$CC$2)</formula>
    </cfRule>
    <cfRule type="expression" dxfId="62" priority="6" stopIfTrue="1">
      <formula>OR(AND(ROW(A2)=$CC$1,COLUMN(A2)&lt;$CC$2),AND(ROW(A2)&lt;$CC$1,COLUMN(A2)=$CC$2))</formula>
    </cfRule>
  </conditionalFormatting>
  <conditionalFormatting sqref="L3:P40 Q3:AI65 L42:P65 L41:O41 C58:C65 C3:C37 D3:K65">
    <cfRule type="expression" dxfId="61" priority="1" stopIfTrue="1">
      <formula>AND(ROW(C3)=$CC$1,COLUMN(C3)=$CC$2)</formula>
    </cfRule>
    <cfRule type="expression" dxfId="60" priority="2" stopIfTrue="1">
      <formula>OR(AND(ROW(C3)=$CC$1,COLUMN(C3)&lt;$CC$2),AND(ROW(C3)&lt;$CC$1,COLUMN(C3)=$CC$2))</formula>
    </cfRule>
  </conditionalFormatting>
  <dataValidations xWindow="406" yWindow="220" count="4">
    <dataValidation type="custom" errorStyle="warning" allowBlank="1" showInputMessage="1" showErrorMessage="1" error="-Must be a multiple of 2.5 unless a record attempt" sqref="K3:K65533 Q3:Q65533 R3:V147 W3:W65533">
      <formula1>AND(MOD(K3,2.5)=0)</formula1>
    </dataValidation>
    <dataValidation type="list" allowBlank="1" showInputMessage="1" showErrorMessage="1" promptTitle="Division" prompt="Select from menu" sqref="E1:E1048576">
      <formula1>INDIRECT($AY$1)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3:AI65533"/>
    <dataValidation type="list" allowBlank="1" showInputMessage="1" showErrorMessage="1" sqref="B4:B3400">
      <formula1>"A,B,C,D,E,F,G,H"</formula1>
    </dataValidation>
  </dataValidations>
  <pageMargins left="0.75" right="0.75" top="1" bottom="1" header="0.5" footer="0.5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T72"/>
  <sheetViews>
    <sheetView showGridLines="0" zoomScale="140" zoomScaleNormal="140" workbookViewId="0">
      <pane xSplit="9" ySplit="8" topLeftCell="U9" activePane="bottomRight" state="frozen"/>
      <selection pane="topRight" activeCell="H1" sqref="H1"/>
      <selection pane="bottomLeft" activeCell="A9" sqref="A9"/>
      <selection pane="bottomRight" activeCell="AB8" sqref="AB8"/>
    </sheetView>
  </sheetViews>
  <sheetFormatPr defaultColWidth="9.140625" defaultRowHeight="12.75" x14ac:dyDescent="0.2"/>
  <cols>
    <col min="1" max="1" width="13.42578125" style="36" hidden="1" customWidth="1"/>
    <col min="2" max="2" width="3.5703125" style="35" customWidth="1"/>
    <col min="3" max="3" width="18.5703125" style="35" customWidth="1"/>
    <col min="4" max="6" width="6" style="35" customWidth="1"/>
    <col min="7" max="7" width="6.140625" style="35" customWidth="1"/>
    <col min="8" max="8" width="7.7109375" style="35" customWidth="1"/>
    <col min="9" max="9" width="4.5703125" style="35" customWidth="1"/>
    <col min="10" max="10" width="5.5703125" style="43" customWidth="1"/>
    <col min="11" max="12" width="7.140625" style="35" customWidth="1"/>
    <col min="13" max="13" width="7" style="35" customWidth="1"/>
    <col min="14" max="15" width="7.140625" style="35" customWidth="1"/>
    <col min="16" max="16" width="4.7109375" style="225" customWidth="1"/>
    <col min="17" max="27" width="7.140625" style="35" customWidth="1"/>
    <col min="28" max="28" width="8.7109375" style="35" customWidth="1"/>
    <col min="29" max="30" width="7.85546875" style="35" customWidth="1"/>
    <col min="31" max="31" width="5.140625" style="35" customWidth="1"/>
    <col min="32" max="32" width="11.140625" style="35" customWidth="1"/>
    <col min="33" max="33" width="4.85546875" style="36" customWidth="1"/>
    <col min="34" max="34" width="11.85546875" style="69" customWidth="1"/>
    <col min="35" max="35" width="10.7109375" style="1" customWidth="1"/>
    <col min="36" max="36" width="6.5703125" style="43" hidden="1" customWidth="1"/>
    <col min="37" max="38" width="9.140625" style="36" hidden="1" customWidth="1"/>
    <col min="39" max="39" width="8.28515625" style="35" hidden="1" customWidth="1"/>
    <col min="40" max="40" width="8" style="35" hidden="1" customWidth="1"/>
    <col min="41" max="42" width="7.140625" style="35" hidden="1" customWidth="1"/>
    <col min="43" max="43" width="7.5703125" style="35" hidden="1" customWidth="1"/>
    <col min="44" max="44" width="18.5703125" style="186" hidden="1" customWidth="1"/>
    <col min="45" max="45" width="7.140625" style="35" hidden="1" customWidth="1"/>
    <col min="46" max="47" width="8.140625" style="35" hidden="1" customWidth="1"/>
    <col min="48" max="48" width="9.140625" style="36" hidden="1" customWidth="1"/>
    <col min="49" max="49" width="9.140625" style="182" hidden="1" customWidth="1"/>
    <col min="50" max="50" width="9.140625" style="36" hidden="1" customWidth="1"/>
    <col min="51" max="51" width="18.5703125" style="186" hidden="1" customWidth="1"/>
    <col min="52" max="52" width="9.140625" style="32" hidden="1" customWidth="1"/>
    <col min="53" max="53" width="12.85546875" style="32" hidden="1" customWidth="1"/>
    <col min="54" max="65" width="9.140625" style="32" hidden="1" customWidth="1"/>
    <col min="66" max="66" width="9.140625" style="44" hidden="1" customWidth="1"/>
    <col min="67" max="105" width="9.140625" style="36" hidden="1" customWidth="1"/>
    <col min="106" max="16384" width="9.140625" style="36"/>
  </cols>
  <sheetData>
    <row r="1" spans="1:176" s="22" customFormat="1" ht="24.75" hidden="1" customHeight="1" thickBot="1" x14ac:dyDescent="0.25">
      <c r="A1" s="20">
        <f ca="1">COUNTIF(INDIRECT(AG1),RIGHT(B8,1))</f>
        <v>15</v>
      </c>
      <c r="B1" s="355" t="s">
        <v>78</v>
      </c>
      <c r="C1" s="359"/>
      <c r="D1" s="359"/>
      <c r="E1" s="356"/>
      <c r="F1" s="355" t="s">
        <v>29</v>
      </c>
      <c r="G1" s="356"/>
      <c r="H1" s="355" t="s">
        <v>42</v>
      </c>
      <c r="I1" s="356"/>
      <c r="J1" s="45">
        <f ca="1">IF(ISERROR(A2),1,0)</f>
        <v>0</v>
      </c>
      <c r="K1" s="21"/>
      <c r="L1" s="21"/>
      <c r="M1" s="21"/>
      <c r="N1" s="21"/>
      <c r="O1" s="21"/>
      <c r="P1" s="220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118" t="str">
        <f>CONCATENATE("$b$9:$b$",$AF$7)</f>
        <v>$b$9:$b$72</v>
      </c>
      <c r="AH1" s="21"/>
      <c r="AI1" s="125" t="str">
        <f>CONCATENATE("Setup!O7:O",COUNTA(Setup!O:O)+4)</f>
        <v>Setup!O7:O135</v>
      </c>
      <c r="AJ1" s="21"/>
      <c r="AM1" s="21"/>
      <c r="AN1" s="21"/>
      <c r="AQ1" s="21"/>
      <c r="AR1" s="183"/>
      <c r="AS1" s="21"/>
      <c r="AT1" s="21"/>
      <c r="AU1" s="21"/>
      <c r="AW1" s="178"/>
      <c r="AY1" s="183"/>
      <c r="AZ1" s="126" t="s">
        <v>69</v>
      </c>
      <c r="BA1" s="125" t="str">
        <f>VLOOKUP($AZ$1,$AZ$2:$BM$6,2,FALSE)</f>
        <v>$BB$1:$BM$1</v>
      </c>
      <c r="BB1" s="125" t="str">
        <f>VLOOKUP($AZ$1,$AZ$2:$BM$6,3,FALSE)</f>
        <v xml:space="preserve"> Squat  1</v>
      </c>
      <c r="BC1" s="125" t="str">
        <f>VLOOKUP($AZ$1,$AZ$2:$BM$6,4,FALSE)</f>
        <v xml:space="preserve"> Squat  2</v>
      </c>
      <c r="BD1" s="125" t="str">
        <f>VLOOKUP($AZ$1,$AZ$2:$BM$6,5,FALSE)</f>
        <v xml:space="preserve"> Squat  3</v>
      </c>
      <c r="BE1" s="125" t="str">
        <f>VLOOKUP($AZ$1,$AZ$2:$BM$6,6,FALSE)</f>
        <v xml:space="preserve"> Squat  4</v>
      </c>
      <c r="BF1" s="125" t="str">
        <f>VLOOKUP($AZ$1,$AZ$2:$BM$6,7,FALSE)</f>
        <v>Bench 1</v>
      </c>
      <c r="BG1" s="125" t="str">
        <f>VLOOKUP($AZ$1,$AZ$2:$BM$6,8,FALSE)</f>
        <v>Bench 2</v>
      </c>
      <c r="BH1" s="125" t="str">
        <f>VLOOKUP($AZ$1,$AZ$2:$BM$6,9,FALSE)</f>
        <v>Bench 3</v>
      </c>
      <c r="BI1" s="125" t="str">
        <f>VLOOKUP($AZ$1,$AZ$2:$BM$6,10,FALSE)</f>
        <v>Bench 4</v>
      </c>
      <c r="BJ1" s="125" t="str">
        <f>VLOOKUP($AZ$1,$AZ$2:$BM$6,11,FALSE)</f>
        <v>Deadlift 1</v>
      </c>
      <c r="BK1" s="125" t="str">
        <f>VLOOKUP($AZ$1,$AZ$2:$BM$6,12,FALSE)</f>
        <v>Deadlift 2</v>
      </c>
      <c r="BL1" s="125" t="str">
        <f>VLOOKUP($AZ$1,$AZ$2:$BM$6,13,FALSE)</f>
        <v>Deadlift 3</v>
      </c>
      <c r="BM1" s="125" t="str">
        <f>VLOOKUP($AZ$1,$AZ$2:$BM$6,14,FALSE)</f>
        <v>Deadlift 4</v>
      </c>
      <c r="BN1" s="23"/>
      <c r="BP1" s="27" t="s">
        <v>33</v>
      </c>
      <c r="BQ1" s="27">
        <f>IF(BP1=RIGHT($B$8,1),0,BQ8+1)</f>
        <v>6</v>
      </c>
    </row>
    <row r="2" spans="1:176" s="31" customFormat="1" ht="31.5" customHeight="1" thickBot="1" x14ac:dyDescent="0.25">
      <c r="A2" s="24" t="str">
        <f ca="1">CONCATENATE(CHOOSE(MATCH(B3,K8:Z8,0),"K","L","M","N","O","P","Q","R","S","T","U","V","W","X","Y","Z"),MATCH(B2,INDIRECT(A7),0)+9,)</f>
        <v>Y22</v>
      </c>
      <c r="B2" s="350" t="s">
        <v>564</v>
      </c>
      <c r="C2" s="351"/>
      <c r="D2" s="351"/>
      <c r="E2" s="352"/>
      <c r="F2" s="357" t="str">
        <f ca="1">INDIRECT(CONCATENATE("E",A4))</f>
        <v>M-M7</v>
      </c>
      <c r="G2" s="358"/>
      <c r="H2" s="25">
        <f ca="1">IF(INDIRECT(CONCATENATE("G",A4))="SHW","SHW",ROUND(INDIRECT(CONCATENATE("G",A4)),1))</f>
        <v>220</v>
      </c>
      <c r="I2" s="91" t="str">
        <f ca="1">IF(H2="SHW","",IF(G8="WtCls (Kg)","Kg","Lb"))</f>
        <v>Lb</v>
      </c>
      <c r="J2" s="30"/>
      <c r="K2" s="26"/>
      <c r="L2" s="26"/>
      <c r="M2" s="26"/>
      <c r="N2" s="27"/>
      <c r="O2" s="28"/>
      <c r="P2" s="221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42"/>
      <c r="AF2" s="116"/>
      <c r="AG2" s="116"/>
      <c r="AH2" s="117"/>
      <c r="AI2" s="30"/>
      <c r="AJ2" s="27"/>
      <c r="AK2" s="30"/>
      <c r="AL2" s="30"/>
      <c r="AM2" s="27"/>
      <c r="AN2" s="27"/>
      <c r="AQ2" s="27"/>
      <c r="AR2" s="184"/>
      <c r="AS2" s="27"/>
      <c r="AT2" s="27"/>
      <c r="AU2" s="27"/>
      <c r="AV2" s="30"/>
      <c r="AW2" s="179"/>
      <c r="AX2" s="30"/>
      <c r="AY2" s="184"/>
      <c r="AZ2" s="129" t="s">
        <v>15</v>
      </c>
      <c r="BA2" s="129" t="s">
        <v>70</v>
      </c>
      <c r="BB2" s="122" t="s">
        <v>12</v>
      </c>
      <c r="BC2" s="122" t="s">
        <v>13</v>
      </c>
      <c r="BD2" s="122" t="s">
        <v>14</v>
      </c>
      <c r="BE2" s="122" t="s">
        <v>157</v>
      </c>
      <c r="BF2" s="130"/>
      <c r="BG2" s="122"/>
      <c r="BH2" s="122"/>
      <c r="BI2" s="122"/>
      <c r="BJ2" s="122"/>
      <c r="BK2" s="122"/>
      <c r="BL2" s="122"/>
      <c r="BM2" s="122"/>
      <c r="BN2" s="30"/>
      <c r="BO2" s="30"/>
      <c r="BP2" s="27" t="s">
        <v>34</v>
      </c>
      <c r="BQ2" s="27">
        <f>IF(BP2=RIGHT($B$8,1),0,BQ1+1)</f>
        <v>7</v>
      </c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</row>
    <row r="3" spans="1:176" ht="25.5" customHeight="1" thickBot="1" x14ac:dyDescent="0.25">
      <c r="A3" s="34">
        <f>MATCH(B3,K8:Z8,0)+10</f>
        <v>25</v>
      </c>
      <c r="B3" s="346" t="s">
        <v>19</v>
      </c>
      <c r="C3" s="347"/>
      <c r="D3" s="344">
        <f ca="1">INDIRECT(A2)</f>
        <v>0</v>
      </c>
      <c r="E3" s="345"/>
      <c r="F3" s="345"/>
      <c r="G3" s="108" t="str">
        <f>Setup!H4</f>
        <v>Kg</v>
      </c>
      <c r="H3" s="29">
        <f ca="1">ABS(D3)</f>
        <v>0</v>
      </c>
      <c r="I3" s="92">
        <f ca="1">-1*H3</f>
        <v>0</v>
      </c>
      <c r="J3" s="27"/>
      <c r="K3" s="27"/>
      <c r="L3" s="27"/>
      <c r="M3" s="27"/>
      <c r="N3" s="27"/>
      <c r="O3" s="28"/>
      <c r="P3" s="222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43"/>
      <c r="AF3" s="117"/>
      <c r="AG3" s="116"/>
      <c r="AH3" s="117"/>
      <c r="AI3" s="67"/>
      <c r="AJ3" s="27"/>
      <c r="AK3" s="30"/>
      <c r="AL3" s="30"/>
      <c r="AM3" s="27"/>
      <c r="AN3" s="27"/>
      <c r="AQ3" s="27"/>
      <c r="AR3" s="184"/>
      <c r="AS3" s="27"/>
      <c r="AT3" s="27"/>
      <c r="AU3" s="27"/>
      <c r="AV3" s="30"/>
      <c r="AW3" s="179"/>
      <c r="AX3" s="30"/>
      <c r="AY3" s="184"/>
      <c r="AZ3" s="129" t="s">
        <v>21</v>
      </c>
      <c r="BA3" s="129" t="s">
        <v>70</v>
      </c>
      <c r="BB3" s="122" t="s">
        <v>17</v>
      </c>
      <c r="BC3" s="122" t="s">
        <v>18</v>
      </c>
      <c r="BD3" s="122" t="s">
        <v>19</v>
      </c>
      <c r="BE3" s="122" t="s">
        <v>20</v>
      </c>
      <c r="BF3" s="122"/>
      <c r="BG3" s="122"/>
      <c r="BH3" s="122"/>
      <c r="BI3" s="122"/>
      <c r="BJ3" s="122"/>
      <c r="BK3" s="122"/>
      <c r="BL3" s="122"/>
      <c r="BM3" s="122"/>
      <c r="BN3" s="122"/>
      <c r="BO3" s="30"/>
      <c r="BP3" s="27" t="s">
        <v>35</v>
      </c>
      <c r="BQ3" s="27">
        <f t="shared" ref="BQ3:BQ8" si="0">IF(BP3=RIGHT($B$8,1),0,BQ2+1)</f>
        <v>0</v>
      </c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</row>
    <row r="4" spans="1:176" s="38" customFormat="1" ht="25.5" customHeight="1" thickBot="1" x14ac:dyDescent="0.25">
      <c r="A4" s="37">
        <f ca="1">MATCH(B2,INDIRECT(A7),0)+9</f>
        <v>22</v>
      </c>
      <c r="B4" s="348" t="str">
        <f ca="1">IF(LEFT(B3,1)="D",CONCATENATE("Place - ",INDIRECT(CONCATENATE("AV",A4))),CONCATENATE("Rack - ",IF(LEFT(B3,2)=" S",INDIRECT(CONCATENATE("J",A4)),INDIRECT(CONCATENATE("P",A4)))))</f>
        <v>Place - 1</v>
      </c>
      <c r="C4" s="349"/>
      <c r="D4" s="345">
        <f ca="1">IF(G4="Lb",2.2046*D3,D3/2.2046)</f>
        <v>0</v>
      </c>
      <c r="E4" s="345"/>
      <c r="F4" s="345"/>
      <c r="G4" s="112" t="str">
        <f>IF(G3="Kg","Lb","Kg")</f>
        <v>Lb</v>
      </c>
      <c r="H4" s="113" t="s">
        <v>575</v>
      </c>
      <c r="I4" s="114"/>
      <c r="J4" s="30"/>
      <c r="K4" s="27"/>
      <c r="L4" s="27"/>
      <c r="M4" s="27"/>
      <c r="N4" s="27"/>
      <c r="O4" s="27"/>
      <c r="P4" s="222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43"/>
      <c r="AF4" s="116"/>
      <c r="AG4" s="116"/>
      <c r="AH4" s="117"/>
      <c r="AI4" s="30"/>
      <c r="AJ4" s="27"/>
      <c r="AK4" s="30"/>
      <c r="AL4" s="30"/>
      <c r="AM4" s="27"/>
      <c r="AN4" s="27"/>
      <c r="AQ4" s="27"/>
      <c r="AR4" s="184"/>
      <c r="AS4" s="27"/>
      <c r="AT4" s="27"/>
      <c r="AU4" s="27"/>
      <c r="AV4" s="30"/>
      <c r="AW4" s="179"/>
      <c r="AX4" s="30"/>
      <c r="AY4" s="184"/>
      <c r="AZ4" s="129" t="s">
        <v>11</v>
      </c>
      <c r="BA4" s="129" t="s">
        <v>70</v>
      </c>
      <c r="BB4" s="122" t="s">
        <v>22</v>
      </c>
      <c r="BC4" s="122" t="s">
        <v>23</v>
      </c>
      <c r="BD4" s="122" t="s">
        <v>24</v>
      </c>
      <c r="BE4" s="122" t="s">
        <v>25</v>
      </c>
      <c r="BF4" s="122"/>
      <c r="BG4" s="122"/>
      <c r="BH4" s="122"/>
      <c r="BI4" s="122"/>
      <c r="BJ4" s="122"/>
      <c r="BK4" s="122"/>
      <c r="BL4" s="122"/>
      <c r="BM4" s="122"/>
      <c r="BN4" s="30"/>
      <c r="BO4" s="30"/>
      <c r="BP4" s="131" t="s">
        <v>36</v>
      </c>
      <c r="BQ4" s="27">
        <f t="shared" si="0"/>
        <v>1</v>
      </c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</row>
    <row r="5" spans="1:176" s="30" customFormat="1" ht="21" customHeight="1" x14ac:dyDescent="0.2">
      <c r="A5" s="39" t="str">
        <f ca="1">CONCATENATE(IF(AND($A$3&gt;10,$A$3&lt;15),"O",IF(AND($A$3&gt;16,$A$3&lt;21),"U","AA")),$A$4)</f>
        <v>AA22</v>
      </c>
      <c r="B5" s="109"/>
      <c r="C5" s="110"/>
      <c r="D5" s="110"/>
      <c r="E5" s="110"/>
      <c r="F5" s="110"/>
      <c r="G5" s="110"/>
      <c r="H5" s="110"/>
      <c r="I5" s="111"/>
      <c r="J5" s="68"/>
      <c r="K5" s="27"/>
      <c r="L5" s="27"/>
      <c r="M5" s="27"/>
      <c r="N5" s="27"/>
      <c r="O5" s="27"/>
      <c r="P5" s="222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43"/>
      <c r="AF5" s="116"/>
      <c r="AG5" s="116"/>
      <c r="AH5" s="117"/>
      <c r="AJ5" s="27"/>
      <c r="AM5" s="27"/>
      <c r="AN5" s="27"/>
      <c r="AQ5" s="27"/>
      <c r="AR5" s="184"/>
      <c r="AS5" s="27"/>
      <c r="AT5" s="27"/>
      <c r="AU5" s="27"/>
      <c r="AW5" s="179"/>
      <c r="AY5" s="184"/>
      <c r="AZ5" s="129" t="s">
        <v>69</v>
      </c>
      <c r="BA5" s="129" t="s">
        <v>71</v>
      </c>
      <c r="BB5" s="122" t="s">
        <v>22</v>
      </c>
      <c r="BC5" s="122" t="s">
        <v>23</v>
      </c>
      <c r="BD5" s="122" t="s">
        <v>24</v>
      </c>
      <c r="BE5" s="122" t="s">
        <v>25</v>
      </c>
      <c r="BF5" s="122" t="s">
        <v>12</v>
      </c>
      <c r="BG5" s="122" t="s">
        <v>13</v>
      </c>
      <c r="BH5" s="122" t="s">
        <v>14</v>
      </c>
      <c r="BI5" s="122" t="s">
        <v>157</v>
      </c>
      <c r="BJ5" s="122" t="s">
        <v>17</v>
      </c>
      <c r="BK5" s="122" t="s">
        <v>18</v>
      </c>
      <c r="BL5" s="122" t="s">
        <v>19</v>
      </c>
      <c r="BM5" s="122" t="s">
        <v>20</v>
      </c>
      <c r="BP5" s="27" t="s">
        <v>166</v>
      </c>
      <c r="BQ5" s="27">
        <f t="shared" si="0"/>
        <v>2</v>
      </c>
    </row>
    <row r="6" spans="1:176" s="30" customFormat="1" ht="21" customHeight="1" thickBot="1" x14ac:dyDescent="0.25">
      <c r="A6" s="39" t="str">
        <f>CONCATENATE(IF(AND($A$3&gt;10,$A$3&lt;15),"O",IF(AND($A$3&gt;16,$A$3&lt;21),"U","AA")),1)</f>
        <v>AA1</v>
      </c>
      <c r="B6" s="93"/>
      <c r="C6" s="94"/>
      <c r="D6" s="94"/>
      <c r="E6" s="94"/>
      <c r="F6" s="94"/>
      <c r="G6" s="94"/>
      <c r="H6" s="353" t="s">
        <v>158</v>
      </c>
      <c r="I6" s="354"/>
      <c r="K6" s="27"/>
      <c r="L6" s="27"/>
      <c r="M6" s="27"/>
      <c r="N6" s="27"/>
      <c r="O6" s="27"/>
      <c r="P6" s="222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43"/>
      <c r="AF6" s="117">
        <f ca="1">A1+10</f>
        <v>25</v>
      </c>
      <c r="AG6" s="122"/>
      <c r="AH6" s="117"/>
      <c r="AJ6" s="27"/>
      <c r="AM6" s="27"/>
      <c r="AN6" s="27"/>
      <c r="AO6" s="27"/>
      <c r="AP6" s="27"/>
      <c r="AQ6" s="27"/>
      <c r="AR6" s="184"/>
      <c r="AS6" s="27"/>
      <c r="AT6" s="27"/>
      <c r="AU6" s="27"/>
      <c r="AW6" s="179"/>
      <c r="AY6" s="184"/>
      <c r="AZ6" s="129" t="s">
        <v>68</v>
      </c>
      <c r="BA6" s="129" t="s">
        <v>72</v>
      </c>
      <c r="BB6" s="122" t="s">
        <v>12</v>
      </c>
      <c r="BC6" s="122" t="s">
        <v>13</v>
      </c>
      <c r="BD6" s="122" t="s">
        <v>14</v>
      </c>
      <c r="BE6" s="122" t="s">
        <v>157</v>
      </c>
      <c r="BF6" s="122" t="s">
        <v>17</v>
      </c>
      <c r="BG6" s="122" t="s">
        <v>18</v>
      </c>
      <c r="BH6" s="122" t="s">
        <v>19</v>
      </c>
      <c r="BI6" s="122" t="s">
        <v>20</v>
      </c>
      <c r="BJ6" s="130"/>
      <c r="BK6" s="122"/>
      <c r="BL6" s="122"/>
      <c r="BM6" s="122"/>
      <c r="BP6" s="27" t="s">
        <v>167</v>
      </c>
      <c r="BQ6" s="27">
        <f t="shared" si="0"/>
        <v>3</v>
      </c>
    </row>
    <row r="7" spans="1:176" s="30" customFormat="1" ht="21" hidden="1" customHeight="1" thickBot="1" x14ac:dyDescent="0.25">
      <c r="A7" s="40" t="str">
        <f ca="1">CONCATENATE("$C$10:$C$",A1+9)</f>
        <v>$C$10:$C$24</v>
      </c>
      <c r="B7" s="95"/>
      <c r="C7" s="95"/>
      <c r="D7" s="95"/>
      <c r="E7" s="95"/>
      <c r="F7" s="95"/>
      <c r="G7" s="95"/>
      <c r="H7" s="95"/>
      <c r="I7" s="95"/>
      <c r="J7" s="28"/>
      <c r="K7" s="27"/>
      <c r="L7" s="27"/>
      <c r="M7" s="27"/>
      <c r="N7" s="27"/>
      <c r="O7" s="27"/>
      <c r="P7" s="222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117">
        <v>72</v>
      </c>
      <c r="AG7" s="118" t="str">
        <f>CONCATENATE("$AG$9:$AG$",$AF$7)</f>
        <v>$AG$9:$AG$72</v>
      </c>
      <c r="AH7" s="117"/>
      <c r="AI7" s="31"/>
      <c r="AJ7" s="27" t="str">
        <f>IF($AB$8="PL Total","PL",IF($AB$8="Push Pull Total","PP",IF($AB$8="Best Squat","SQ",IF($AB$8="Best Bench","BP","DL"))))</f>
        <v>PL</v>
      </c>
      <c r="AM7" s="27"/>
      <c r="AN7" s="27"/>
      <c r="AO7" s="27"/>
      <c r="AP7" s="27"/>
      <c r="AQ7" s="27"/>
      <c r="AR7" s="184"/>
      <c r="AS7" s="27" t="str">
        <f>CONCATENATE("AR10:AR",AF7)</f>
        <v>AR10:AR72</v>
      </c>
      <c r="AT7" s="27"/>
      <c r="AU7" s="27" t="str">
        <f>CONCATENATE("AT10:AT",AF7)</f>
        <v>AT10:AT72</v>
      </c>
      <c r="AW7" s="179"/>
      <c r="AY7" s="184"/>
      <c r="AZ7" s="127"/>
      <c r="BA7" s="127"/>
      <c r="BB7" s="128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P7" s="27" t="s">
        <v>168</v>
      </c>
      <c r="BQ7" s="27">
        <f t="shared" si="0"/>
        <v>4</v>
      </c>
    </row>
    <row r="8" spans="1:176" s="103" customFormat="1" ht="28.5" customHeight="1" thickBot="1" x14ac:dyDescent="0.25">
      <c r="A8" s="97" t="s">
        <v>32</v>
      </c>
      <c r="B8" s="98" t="s">
        <v>569</v>
      </c>
      <c r="C8" s="99" t="s">
        <v>0</v>
      </c>
      <c r="D8" s="100" t="s">
        <v>1</v>
      </c>
      <c r="E8" s="101" t="s">
        <v>29</v>
      </c>
      <c r="F8" s="101" t="str">
        <f>Setup!K6</f>
        <v>BWt (Lb)</v>
      </c>
      <c r="G8" s="101" t="str">
        <f>IF(F8="BWt (Kg)","WtCls (Kg)","WtCls (Lb)")</f>
        <v>WtCls (Lb)</v>
      </c>
      <c r="H8" s="107" t="str">
        <f>Setup!K30</f>
        <v>Glossbrenner</v>
      </c>
      <c r="I8" s="101" t="s">
        <v>2</v>
      </c>
      <c r="J8" s="100" t="s">
        <v>26</v>
      </c>
      <c r="K8" s="102" t="s">
        <v>22</v>
      </c>
      <c r="L8" s="102" t="s">
        <v>23</v>
      </c>
      <c r="M8" s="102" t="s">
        <v>24</v>
      </c>
      <c r="N8" s="102" t="s">
        <v>25</v>
      </c>
      <c r="O8" s="101" t="s">
        <v>11</v>
      </c>
      <c r="P8" s="223" t="s">
        <v>27</v>
      </c>
      <c r="Q8" s="102" t="s">
        <v>12</v>
      </c>
      <c r="R8" s="102" t="s">
        <v>13</v>
      </c>
      <c r="S8" s="102" t="s">
        <v>14</v>
      </c>
      <c r="T8" s="102" t="s">
        <v>157</v>
      </c>
      <c r="U8" s="101" t="s">
        <v>15</v>
      </c>
      <c r="V8" s="101" t="s">
        <v>16</v>
      </c>
      <c r="W8" s="102" t="s">
        <v>17</v>
      </c>
      <c r="X8" s="102" t="s">
        <v>18</v>
      </c>
      <c r="Y8" s="102" t="s">
        <v>19</v>
      </c>
      <c r="Z8" s="102" t="s">
        <v>20</v>
      </c>
      <c r="AA8" s="102" t="s">
        <v>21</v>
      </c>
      <c r="AB8" s="119" t="s">
        <v>69</v>
      </c>
      <c r="AC8" s="101" t="s">
        <v>134</v>
      </c>
      <c r="AD8" s="101" t="s">
        <v>139</v>
      </c>
      <c r="AE8" s="101" t="s">
        <v>180</v>
      </c>
      <c r="AF8" s="101" t="s">
        <v>31</v>
      </c>
      <c r="AG8" s="101" t="s">
        <v>181</v>
      </c>
      <c r="AH8" s="123" t="s">
        <v>45</v>
      </c>
      <c r="AI8" s="123" t="s">
        <v>145</v>
      </c>
      <c r="AJ8" s="123" t="s">
        <v>146</v>
      </c>
      <c r="AK8" s="123" t="s">
        <v>37</v>
      </c>
      <c r="AL8" s="123" t="s">
        <v>39</v>
      </c>
      <c r="AM8" s="123" t="s">
        <v>69</v>
      </c>
      <c r="AN8" s="138" t="s">
        <v>68</v>
      </c>
      <c r="AO8" s="123" t="s">
        <v>156</v>
      </c>
      <c r="AP8" s="123"/>
      <c r="AQ8" s="123" t="s">
        <v>155</v>
      </c>
      <c r="AR8" s="185" t="s">
        <v>142</v>
      </c>
      <c r="AS8" s="123" t="s">
        <v>143</v>
      </c>
      <c r="AT8" s="123" t="s">
        <v>182</v>
      </c>
      <c r="AU8" s="123" t="s">
        <v>183</v>
      </c>
      <c r="AV8" s="123" t="s">
        <v>184</v>
      </c>
      <c r="AW8" s="180" t="s">
        <v>190</v>
      </c>
      <c r="AX8" s="103" t="s">
        <v>191</v>
      </c>
      <c r="AY8" s="185" t="s">
        <v>193</v>
      </c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31" t="s">
        <v>169</v>
      </c>
      <c r="BQ8" s="27">
        <f t="shared" si="0"/>
        <v>5</v>
      </c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 t="s">
        <v>124</v>
      </c>
      <c r="CK8" s="123" t="s">
        <v>22</v>
      </c>
      <c r="CL8" s="123" t="s">
        <v>23</v>
      </c>
      <c r="CM8" s="123" t="s">
        <v>24</v>
      </c>
      <c r="CN8" s="123" t="s">
        <v>25</v>
      </c>
      <c r="CO8" s="123" t="s">
        <v>11</v>
      </c>
      <c r="CP8" s="123" t="s">
        <v>27</v>
      </c>
      <c r="CQ8" s="123" t="s">
        <v>12</v>
      </c>
      <c r="CR8" s="123" t="s">
        <v>13</v>
      </c>
      <c r="CS8" s="123" t="s">
        <v>14</v>
      </c>
      <c r="CT8" s="123" t="s">
        <v>28</v>
      </c>
      <c r="CU8" s="123" t="s">
        <v>15</v>
      </c>
      <c r="CV8" s="123" t="s">
        <v>16</v>
      </c>
      <c r="CW8" s="123" t="s">
        <v>17</v>
      </c>
      <c r="CX8" s="123" t="s">
        <v>18</v>
      </c>
      <c r="CY8" s="123" t="s">
        <v>19</v>
      </c>
      <c r="CZ8" s="123" t="s">
        <v>20</v>
      </c>
      <c r="DA8" s="123" t="s">
        <v>21</v>
      </c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</row>
    <row r="9" spans="1:176" s="31" customFormat="1" hidden="1" x14ac:dyDescent="0.2">
      <c r="A9" s="31" t="str">
        <f t="shared" ref="A9" si="1">IF(K9,ABS(K9)+0.0001*I9,"")</f>
        <v/>
      </c>
      <c r="B9" s="19"/>
      <c r="C9" s="219"/>
      <c r="D9" s="19"/>
      <c r="E9" s="19"/>
      <c r="F9" s="19"/>
      <c r="G9" s="42" t="str">
        <f>IF(OR(E9="",F9=""),"",IF(LEFT(E9,1)="M",VLOOKUP(F9,Setup!$J$9:$K$23,2,TRUE),VLOOKUP(F9,Setup!$L$9:$M$23,2,TRUE)))</f>
        <v/>
      </c>
      <c r="H9" s="42">
        <f>IF(F9="",0,VLOOKUP(AL9,DATA!$L$2:$N$1910,IF(LEFT(E9,1)="F",3,2)))</f>
        <v>0</v>
      </c>
      <c r="I9" s="19"/>
      <c r="J9" s="19"/>
      <c r="K9" s="133"/>
      <c r="L9" s="133"/>
      <c r="M9" s="133"/>
      <c r="N9" s="133"/>
      <c r="O9" s="134">
        <f t="shared" ref="O9" si="2">IF(MAX(CK9:CM9)&gt;0,MAX(ABS(K9)*CK9,ABS(L9)*CL9,CM9*ABS(M9)),0)</f>
        <v>0</v>
      </c>
      <c r="P9" s="224"/>
      <c r="Q9" s="133"/>
      <c r="R9" s="133"/>
      <c r="S9" s="133"/>
      <c r="T9" s="133"/>
      <c r="U9" s="134">
        <f t="shared" ref="U9" si="3">IF(MAX(CQ9:CS9)&gt;0,MAX(ABS(Q9)*CQ9,ABS(R9)*CR9,CS9*ABS(S9)),0)</f>
        <v>0</v>
      </c>
      <c r="V9" s="135">
        <f t="shared" ref="V9" si="4">IF(OR(O9=0,U9=0),0,O9+U9)</f>
        <v>0</v>
      </c>
      <c r="W9" s="133"/>
      <c r="X9" s="133"/>
      <c r="Y9" s="133"/>
      <c r="Z9" s="133"/>
      <c r="AA9" s="134">
        <f t="shared" ref="AA9" si="5">IF(MAX(CW9:CY9)&gt;0,MAX(ABS(W9)*CW9,ABS(X9)*CX9,CY9*ABS(Y9)),0)</f>
        <v>0</v>
      </c>
      <c r="AB9" s="135">
        <f t="shared" ref="AB9" si="6">AJ9*IF($AB$8="PL Total",AM9,IF($AB$8="Push Pull Total",AN9,IF($AB$8="Best Squat",O9,IF($AB$8="Best Bench",U9,AA9))))</f>
        <v>0</v>
      </c>
      <c r="AC9" s="136">
        <f t="shared" ref="AC9" si="7">IF(OR(F9="",AB9=0),0,H9*IF(AND($G$3="Lb",$H$8="Wilks"),AB9/2.2046,AB9))</f>
        <v>0</v>
      </c>
      <c r="AD9" s="136">
        <f>IF(OR(AB9=0,D9="",AND(D9&lt;40,D9&gt;22)),0,VLOOKUP($D9,DATA!$A$2:$B$53,2,TRUE)*AC9)</f>
        <v>0</v>
      </c>
      <c r="AE9" s="197" t="str">
        <f ca="1">IF(E9="","",OFFSET(Setup!$Q$1,MATCH(E9,Setup!O:O,0)-1,0))</f>
        <v/>
      </c>
      <c r="AF9" s="134">
        <f t="shared" ref="AF9" ca="1" si="8">IF(OR(AB9=0,AR9=0),0,CONCATENATE(AV9,"-",E9,IF(AE9=1,"-",""),IF(AE9=1,IF(G9="SHW",G9,ROUND(G9,1)),"")))</f>
        <v>0</v>
      </c>
      <c r="AG9" s="42">
        <f>IF(OR(AB9=0),0,VLOOKUP(AV9,Setup!$S$6:$T$15,2,TRUE))</f>
        <v>0</v>
      </c>
      <c r="AH9" s="137"/>
      <c r="AI9" s="132"/>
      <c r="AJ9" s="124">
        <f t="shared" ref="AJ9" si="9">IF(ISERROR(FIND($AJ$7,AI9)),0,1)</f>
        <v>0</v>
      </c>
      <c r="AK9" s="42" t="str">
        <f t="shared" ref="AK9" si="10">IF(B9="","",VLOOKUP(B9,$BP$1:$BQ$8,2,FALSE))</f>
        <v/>
      </c>
      <c r="AL9" s="29">
        <f t="shared" ref="AL9" si="11">ROUND(IF($F$8="BWt (Kg)",F9,F9/2.2046),1)</f>
        <v>0</v>
      </c>
      <c r="AM9" s="29">
        <f t="shared" ref="AM9" si="12">IF(OR(O9=0,U9=0,AA9=0),0,O9+U9+AA9)</f>
        <v>0</v>
      </c>
      <c r="AN9" s="29">
        <f t="shared" ref="AN9" si="13">IF(OR(U9=0,AA9=0),0,U9+AA9)</f>
        <v>0</v>
      </c>
      <c r="AO9" s="41" t="str">
        <f t="shared" ref="AO9" si="14">IF(E9="","",LEFT(E9,1))</f>
        <v/>
      </c>
      <c r="AP9" s="41"/>
      <c r="AQ9" s="31">
        <f t="shared" ref="AQ9" si="15">IF(OR(ISERROR(E9),F9="",ISERROR(G9),AB9=0),0,1)</f>
        <v>0</v>
      </c>
      <c r="AR9" s="217">
        <f t="shared" ref="AR9" ca="1" si="16">IF(OR(ISERROR(AY9),ISERROR(AX9)),0,AY9)</f>
        <v>0</v>
      </c>
      <c r="AS9" s="41">
        <f t="shared" ref="AS9" ca="1" si="17">RANK(AR9,INDIRECT($AS$7))</f>
        <v>50</v>
      </c>
      <c r="AT9" s="177">
        <f t="shared" ref="AT9" ca="1" si="18">INT(AR9/1000000)</f>
        <v>0</v>
      </c>
      <c r="AU9" s="115">
        <f t="shared" ref="AU9" ca="1" si="19">RANK(AT9,INDIRECT($AU$7))</f>
        <v>50</v>
      </c>
      <c r="AV9" s="198">
        <f t="shared" ref="AV9" ca="1" si="20">AS9-AU9+1</f>
        <v>1</v>
      </c>
      <c r="AW9" s="181">
        <f t="shared" ref="AW9" si="21">F9</f>
        <v>0</v>
      </c>
      <c r="AX9" s="29">
        <f t="shared" ref="AX9" si="22">RANK(AW9,AW:AW)</f>
        <v>64</v>
      </c>
      <c r="AY9" s="217">
        <f ca="1">IF(OR(E9="",F9="",ISERROR(AE9)),0,(100000000*MATCH(E9,INDIRECT($AI$1),0)+IF(AE9=1,(16-IF(AO9="M",MATCH(G9,Setup!$K$9:$K$23,0),MATCH(G9,Setup!$M$9:$M$23)))*1000000,0)+IF(AB9&gt;0,IF(AE9=1,RANK(AB9,AB:AB,-1)*1000+AX9,IF(AE9=2,AC9,AD9)),0)))</f>
        <v>0</v>
      </c>
      <c r="AZ9" s="42"/>
      <c r="BA9" s="42"/>
      <c r="BB9" s="42"/>
      <c r="BC9" s="42"/>
      <c r="BD9" s="42"/>
      <c r="BE9" s="42"/>
      <c r="BF9" s="42"/>
      <c r="BG9" s="42"/>
      <c r="BH9" s="96"/>
      <c r="BI9" s="96"/>
      <c r="BJ9" s="96"/>
      <c r="BK9" s="96"/>
      <c r="BL9" s="96"/>
      <c r="BM9" s="96"/>
      <c r="BN9" s="33"/>
      <c r="CJ9" s="31">
        <v>0</v>
      </c>
      <c r="CK9" s="31">
        <v>0</v>
      </c>
      <c r="CL9" s="31">
        <v>0</v>
      </c>
      <c r="CM9" s="31">
        <v>0</v>
      </c>
      <c r="CN9" s="31">
        <v>0</v>
      </c>
      <c r="CO9" s="31">
        <v>0</v>
      </c>
      <c r="CP9" s="31">
        <v>0</v>
      </c>
      <c r="CQ9" s="31">
        <v>0</v>
      </c>
      <c r="CR9" s="31">
        <v>0</v>
      </c>
      <c r="CS9" s="31">
        <v>0</v>
      </c>
      <c r="CT9" s="31">
        <v>0</v>
      </c>
      <c r="CU9" s="31">
        <v>0</v>
      </c>
      <c r="CV9" s="31">
        <v>0</v>
      </c>
      <c r="CW9" s="31">
        <v>0</v>
      </c>
      <c r="CX9" s="31">
        <v>0</v>
      </c>
      <c r="CY9" s="31">
        <v>0</v>
      </c>
      <c r="CZ9" s="31">
        <v>0</v>
      </c>
    </row>
    <row r="10" spans="1:176" s="31" customFormat="1" x14ac:dyDescent="0.2">
      <c r="A10" s="31">
        <f t="shared" ref="A10:A24" si="23">IF(Y10,ABS(Y10+0.0001*I10),"")</f>
        <v>130</v>
      </c>
      <c r="B10" s="19" t="s">
        <v>35</v>
      </c>
      <c r="C10" s="219" t="s">
        <v>549</v>
      </c>
      <c r="D10" s="19">
        <v>14</v>
      </c>
      <c r="E10" s="19" t="s">
        <v>213</v>
      </c>
      <c r="F10" s="19">
        <v>112</v>
      </c>
      <c r="G10" s="42">
        <f>IF(OR(E10="",F10=""),"",IF(LEFT(E10,1)="M",VLOOKUP(F10,Setup!$J$9:$K$23,2,TRUE),VLOOKUP(F10,Setup!$L$9:$M$23,2,TRUE)))</f>
        <v>114</v>
      </c>
      <c r="H10" s="42">
        <f>IF(F10="",0,VLOOKUP(AL10,DATA!$L$2:$N$1910,IF(LEFT(E10,1)="F",3,2)))</f>
        <v>0.9919</v>
      </c>
      <c r="I10" s="19"/>
      <c r="J10" s="19" t="s">
        <v>524</v>
      </c>
      <c r="K10" s="233">
        <v>87.5</v>
      </c>
      <c r="L10" s="133">
        <v>-97.5</v>
      </c>
      <c r="M10" s="233">
        <v>97.5</v>
      </c>
      <c r="N10" s="133"/>
      <c r="O10" s="134">
        <f t="shared" ref="O10:O41" si="24">IF(MAX(CK10:CM10)&gt;0,MAX(ABS(K10)*CK10,ABS(L10)*CL10,CM10*ABS(M10)),0)</f>
        <v>97.5</v>
      </c>
      <c r="P10" s="224"/>
      <c r="Q10" s="233">
        <v>50</v>
      </c>
      <c r="R10" s="133">
        <v>-55</v>
      </c>
      <c r="S10" s="233">
        <v>55</v>
      </c>
      <c r="T10" s="133"/>
      <c r="U10" s="134">
        <f t="shared" ref="U10:U41" si="25">IF(MAX(CQ10:CS10)&gt;0,MAX(ABS(Q10)*CQ10,ABS(R10)*CR10,CS10*ABS(S10)),0)</f>
        <v>55</v>
      </c>
      <c r="V10" s="135">
        <f t="shared" ref="V10:V41" si="26">IF(OR(O10=0,U10=0),0,O10+U10)</f>
        <v>152.5</v>
      </c>
      <c r="W10" s="233">
        <v>112.5</v>
      </c>
      <c r="X10" s="233">
        <v>120</v>
      </c>
      <c r="Y10" s="133">
        <v>-130</v>
      </c>
      <c r="Z10" s="133"/>
      <c r="AA10" s="134">
        <f t="shared" ref="AA10:AA41" si="27">IF(MAX(CW10:CY10)&gt;0,MAX(ABS(W10)*CW10,ABS(X10)*CX10,CY10*ABS(Y10)),0)</f>
        <v>120</v>
      </c>
      <c r="AB10" s="135">
        <f t="shared" ref="AB10:AB41" si="28">AJ10*IF($AB$8="PL Total",AM10,IF($AB$8="Push Pull Total",AN10,IF($AB$8="Best Squat",O10,IF($AB$8="Best Bench",U10,AA10))))</f>
        <v>272.5</v>
      </c>
      <c r="AC10" s="136">
        <f t="shared" ref="AC10:AC41" si="29">IF(OR(F10="",AB10=0),0,H10*IF(AND($G$3="Lb",$H$8="Wilks"),AB10/2.2046,AB10))</f>
        <v>270.29275000000001</v>
      </c>
      <c r="AD10" s="136">
        <f>IF(OR(AB10=0,D10="",AND(D10&lt;40,D10&gt;22)),0,VLOOKUP($D10,DATA!$A$2:$B$53,2,TRUE)*AC10)</f>
        <v>332.4600825</v>
      </c>
      <c r="AE10" s="197">
        <f ca="1">IF(E10="","",OFFSET(Setup!$Q$1,MATCH(E10,Setup!O:O,0)-1,0))</f>
        <v>1</v>
      </c>
      <c r="AF10" s="134" t="str">
        <f t="shared" ref="AF10:AF41" ca="1" si="30">IF(OR(AB10=0,AR10=0),0,CONCATENATE(AV10,"-",E10,IF(AE10=1,"-",""),IF(AE10=1,IF(G10="SHW",G10,ROUND(G10,1)),"")))</f>
        <v>2-M-T1-114</v>
      </c>
      <c r="AG10" s="42">
        <f ca="1">IF(OR(AB10=0),0,VLOOKUP(AV10,Setup!$S$6:$T$15,2,TRUE))</f>
        <v>5</v>
      </c>
      <c r="AH10" s="137"/>
      <c r="AI10" s="132" t="s">
        <v>216</v>
      </c>
      <c r="AJ10" s="124">
        <f t="shared" ref="AJ10:AJ41" si="31">IF(ISERROR(FIND($AJ$7,AI10)),0,1)</f>
        <v>1</v>
      </c>
      <c r="AK10" s="42">
        <f t="shared" ref="AK10:AK41" si="32">IF(B10="","",VLOOKUP(B10,$BP$1:$BQ$8,2,FALSE))</f>
        <v>0</v>
      </c>
      <c r="AL10" s="29">
        <f t="shared" ref="AL10:AL41" si="33">ROUND(IF($F$8="BWt (Kg)",F10,F10/2.2046),1)</f>
        <v>50.8</v>
      </c>
      <c r="AM10" s="29">
        <f t="shared" ref="AM10:AM41" si="34">IF(OR(O10=0,U10=0,AA10=0),0,O10+U10+AA10)</f>
        <v>272.5</v>
      </c>
      <c r="AN10" s="29">
        <f t="shared" ref="AN10:AN41" si="35">IF(OR(U10=0,AA10=0),0,U10+AA10)</f>
        <v>175</v>
      </c>
      <c r="AO10" s="41" t="str">
        <f t="shared" ref="AO10:AO41" si="36">IF(E10="","",LEFT(E10,1))</f>
        <v>M</v>
      </c>
      <c r="AP10" s="41"/>
      <c r="AQ10" s="31">
        <f t="shared" ref="AQ10:AQ41" si="37">IF(OR(ISERROR(E10),F10="",ISERROR(G10),AB10=0),0,1)</f>
        <v>1</v>
      </c>
      <c r="AR10" s="217">
        <f t="shared" ref="AR10:AR41" ca="1" si="38">IF(OR(ISERROR(AY10),ISERROR(AX10)),0,AY10)</f>
        <v>3415017057</v>
      </c>
      <c r="AS10" s="41">
        <f t="shared" ref="AS10:AS41" ca="1" si="39">RANK(AR10,INDIRECT($AS$7))</f>
        <v>24</v>
      </c>
      <c r="AT10" s="177">
        <f t="shared" ref="AT10:AT41" ca="1" si="40">INT(AR10/1000000)</f>
        <v>3415</v>
      </c>
      <c r="AU10" s="115">
        <f t="shared" ref="AU10:AU41" ca="1" si="41">RANK(AT10,INDIRECT($AU$7))</f>
        <v>23</v>
      </c>
      <c r="AV10" s="198">
        <f t="shared" ref="AV10:AV41" ca="1" si="42">AS10-AU10+1</f>
        <v>2</v>
      </c>
      <c r="AW10" s="181">
        <f t="shared" ref="AW10:AW41" si="43">F10</f>
        <v>112</v>
      </c>
      <c r="AX10" s="29">
        <f t="shared" ref="AX10:AX41" si="44">RANK(AW10,AW:AW)</f>
        <v>57</v>
      </c>
      <c r="AY10" s="217">
        <f ca="1">IF(OR(E10="",F10="",ISERROR(AE10)),0,(100000000*MATCH(E10,INDIRECT($AI$1),0)+IF(AE10=1,(16-IF(AO10="M",MATCH(G10,Setup!$K$9:$K$23,0),MATCH(G10,Setup!$M$9:$M$23)))*1000000,0)+IF(AB10&gt;0,IF(AE10=1,RANK(AB10,AB:AB,-1)*1000+AX10,IF(AE10=2,AC10,AD10)),0)))</f>
        <v>3415017057</v>
      </c>
      <c r="AZ10" s="42"/>
      <c r="BA10" s="42"/>
      <c r="BB10" s="42"/>
      <c r="BC10" s="42"/>
      <c r="BD10" s="42"/>
      <c r="BE10" s="42"/>
      <c r="BF10" s="42"/>
      <c r="BG10" s="42"/>
      <c r="BH10" s="96"/>
      <c r="BI10" s="96"/>
      <c r="BJ10" s="96"/>
      <c r="BK10" s="96"/>
      <c r="BL10" s="96"/>
      <c r="BM10" s="96"/>
      <c r="BN10" s="33"/>
      <c r="CJ10" s="31">
        <v>0</v>
      </c>
      <c r="CK10" s="31">
        <v>1</v>
      </c>
      <c r="CL10" s="31">
        <v>-1</v>
      </c>
      <c r="CM10" s="31">
        <v>1</v>
      </c>
      <c r="CN10" s="31">
        <v>0</v>
      </c>
      <c r="CO10" s="31">
        <v>0</v>
      </c>
      <c r="CP10" s="31">
        <v>0</v>
      </c>
      <c r="CQ10" s="31">
        <v>1</v>
      </c>
      <c r="CR10" s="31">
        <v>-1</v>
      </c>
      <c r="CS10" s="31">
        <v>1</v>
      </c>
      <c r="CT10" s="31">
        <v>0</v>
      </c>
      <c r="CU10" s="31">
        <v>0</v>
      </c>
      <c r="CV10" s="31">
        <v>0</v>
      </c>
      <c r="CW10" s="31">
        <v>1</v>
      </c>
      <c r="CX10" s="31">
        <v>1</v>
      </c>
      <c r="CY10" s="31">
        <v>-1</v>
      </c>
      <c r="CZ10" s="31">
        <v>0</v>
      </c>
    </row>
    <row r="11" spans="1:176" s="31" customFormat="1" x14ac:dyDescent="0.2">
      <c r="A11" s="31">
        <f t="shared" si="23"/>
        <v>160</v>
      </c>
      <c r="B11" s="19" t="s">
        <v>35</v>
      </c>
      <c r="C11" s="219" t="s">
        <v>550</v>
      </c>
      <c r="D11" s="19">
        <v>15</v>
      </c>
      <c r="E11" s="19" t="s">
        <v>213</v>
      </c>
      <c r="F11" s="19">
        <v>113.5</v>
      </c>
      <c r="G11" s="42">
        <f>IF(OR(E11="",F11=""),"",IF(LEFT(E11,1)="M",VLOOKUP(F11,Setup!$J$9:$K$23,2,TRUE),VLOOKUP(F11,Setup!$L$9:$M$23,2,TRUE)))</f>
        <v>114</v>
      </c>
      <c r="H11" s="42">
        <f>IF(F11="",0,VLOOKUP(AL11,DATA!$L$2:$N$1910,IF(LEFT(E11,1)="F",3,2)))</f>
        <v>0.9768</v>
      </c>
      <c r="I11" s="19"/>
      <c r="J11" s="19" t="s">
        <v>526</v>
      </c>
      <c r="K11" s="233">
        <v>137.5</v>
      </c>
      <c r="L11" s="233">
        <v>150</v>
      </c>
      <c r="M11" s="133">
        <v>-162.5</v>
      </c>
      <c r="N11" s="133"/>
      <c r="O11" s="134">
        <f t="shared" si="24"/>
        <v>150</v>
      </c>
      <c r="P11" s="224"/>
      <c r="Q11" s="233">
        <v>90</v>
      </c>
      <c r="R11" s="233">
        <v>97.5</v>
      </c>
      <c r="S11" s="233">
        <v>102.5</v>
      </c>
      <c r="T11" s="133"/>
      <c r="U11" s="134">
        <f t="shared" si="25"/>
        <v>102.5</v>
      </c>
      <c r="V11" s="135">
        <f t="shared" si="26"/>
        <v>252.5</v>
      </c>
      <c r="W11" s="233">
        <v>140</v>
      </c>
      <c r="X11" s="233">
        <v>150</v>
      </c>
      <c r="Y11" s="233">
        <v>160</v>
      </c>
      <c r="Z11" s="133"/>
      <c r="AA11" s="134">
        <f t="shared" si="27"/>
        <v>160</v>
      </c>
      <c r="AB11" s="135">
        <f t="shared" si="28"/>
        <v>412.5</v>
      </c>
      <c r="AC11" s="136">
        <f t="shared" si="29"/>
        <v>402.93</v>
      </c>
      <c r="AD11" s="136">
        <f>IF(OR(AB11=0,D11="",AND(D11&lt;40,D11&gt;22)),0,VLOOKUP($D11,DATA!$A$2:$B$53,2,TRUE)*AC11)</f>
        <v>475.45740000000001</v>
      </c>
      <c r="AE11" s="197">
        <f ca="1">IF(E11="","",OFFSET(Setup!$Q$1,MATCH(E11,Setup!O:O,0)-1,0))</f>
        <v>1</v>
      </c>
      <c r="AF11" s="134" t="str">
        <f t="shared" ca="1" si="30"/>
        <v>1-M-T1-114</v>
      </c>
      <c r="AG11" s="42">
        <f ca="1">IF(OR(AB11=0),0,VLOOKUP(AV11,Setup!$S$6:$T$15,2,TRUE))</f>
        <v>7</v>
      </c>
      <c r="AH11" s="137"/>
      <c r="AI11" s="132" t="s">
        <v>216</v>
      </c>
      <c r="AJ11" s="124">
        <f t="shared" si="31"/>
        <v>1</v>
      </c>
      <c r="AK11" s="42">
        <f t="shared" si="32"/>
        <v>0</v>
      </c>
      <c r="AL11" s="29">
        <f t="shared" si="33"/>
        <v>51.5</v>
      </c>
      <c r="AM11" s="29">
        <f t="shared" si="34"/>
        <v>412.5</v>
      </c>
      <c r="AN11" s="29">
        <f t="shared" si="35"/>
        <v>262.5</v>
      </c>
      <c r="AO11" s="41" t="str">
        <f t="shared" si="36"/>
        <v>M</v>
      </c>
      <c r="AP11" s="41"/>
      <c r="AQ11" s="31">
        <f t="shared" si="37"/>
        <v>1</v>
      </c>
      <c r="AR11" s="217">
        <f t="shared" ca="1" si="38"/>
        <v>3415039055</v>
      </c>
      <c r="AS11" s="41">
        <f t="shared" ca="1" si="39"/>
        <v>23</v>
      </c>
      <c r="AT11" s="177">
        <f t="shared" ca="1" si="40"/>
        <v>3415</v>
      </c>
      <c r="AU11" s="115">
        <f t="shared" ca="1" si="41"/>
        <v>23</v>
      </c>
      <c r="AV11" s="198">
        <f t="shared" ca="1" si="42"/>
        <v>1</v>
      </c>
      <c r="AW11" s="181">
        <f t="shared" si="43"/>
        <v>113.5</v>
      </c>
      <c r="AX11" s="29">
        <f t="shared" si="44"/>
        <v>55</v>
      </c>
      <c r="AY11" s="217">
        <f ca="1">IF(OR(E11="",F11="",ISERROR(AE11)),0,(100000000*MATCH(E11,INDIRECT($AI$1),0)+IF(AE11=1,(16-IF(AO11="M",MATCH(G11,Setup!$K$9:$K$23,0),MATCH(G11,Setup!$M$9:$M$23)))*1000000,0)+IF(AB11&gt;0,IF(AE11=1,RANK(AB11,AB:AB,-1)*1000+AX11,IF(AE11=2,AC11,AD11)),0)))</f>
        <v>3415039055</v>
      </c>
      <c r="AZ11" s="42"/>
      <c r="BA11" s="42"/>
      <c r="BB11" s="42"/>
      <c r="BC11" s="42"/>
      <c r="BD11" s="42"/>
      <c r="BE11" s="42"/>
      <c r="BF11" s="42"/>
      <c r="BG11" s="42"/>
      <c r="BH11" s="96"/>
      <c r="BI11" s="96"/>
      <c r="BJ11" s="96"/>
      <c r="BK11" s="96"/>
      <c r="BL11" s="96"/>
      <c r="BM11" s="96"/>
      <c r="BN11" s="33"/>
      <c r="CJ11" s="31">
        <v>0</v>
      </c>
      <c r="CK11" s="31">
        <v>1</v>
      </c>
      <c r="CL11" s="31">
        <v>1</v>
      </c>
      <c r="CM11" s="31">
        <v>-1</v>
      </c>
      <c r="CN11" s="31">
        <v>0</v>
      </c>
      <c r="CO11" s="31">
        <v>0</v>
      </c>
      <c r="CP11" s="31">
        <v>0</v>
      </c>
      <c r="CQ11" s="31">
        <v>1</v>
      </c>
      <c r="CR11" s="31">
        <v>1</v>
      </c>
      <c r="CS11" s="31">
        <v>1</v>
      </c>
      <c r="CT11" s="31">
        <v>0</v>
      </c>
      <c r="CU11" s="31">
        <v>0</v>
      </c>
      <c r="CV11" s="31">
        <v>0</v>
      </c>
      <c r="CW11" s="31">
        <v>1</v>
      </c>
      <c r="CX11" s="31">
        <v>1</v>
      </c>
      <c r="CY11" s="31">
        <v>1</v>
      </c>
      <c r="CZ11" s="31">
        <v>0</v>
      </c>
    </row>
    <row r="12" spans="1:176" s="31" customFormat="1" x14ac:dyDescent="0.2">
      <c r="A12" s="31">
        <f t="shared" si="23"/>
        <v>182.5</v>
      </c>
      <c r="B12" s="19" t="s">
        <v>35</v>
      </c>
      <c r="C12" s="219" t="s">
        <v>565</v>
      </c>
      <c r="D12" s="19">
        <v>72</v>
      </c>
      <c r="E12" s="19" t="s">
        <v>256</v>
      </c>
      <c r="F12" s="19">
        <v>211.5</v>
      </c>
      <c r="G12" s="42">
        <f>IF(OR(E12="",F12=""),"",IF(LEFT(E12,1)="M",VLOOKUP(F12,Setup!$J$9:$K$23,2,TRUE),VLOOKUP(F12,Setup!$L$9:$M$23,2,TRUE)))</f>
        <v>220</v>
      </c>
      <c r="H12" s="42">
        <f>IF(F12="",0,VLOOKUP(AL12,DATA!$L$2:$N$1910,IF(LEFT(E12,1)="F",3,2)))</f>
        <v>0.59375</v>
      </c>
      <c r="I12" s="19"/>
      <c r="J12" s="19"/>
      <c r="K12" s="133"/>
      <c r="L12" s="133"/>
      <c r="M12" s="133"/>
      <c r="N12" s="133"/>
      <c r="O12" s="134">
        <f t="shared" si="24"/>
        <v>0</v>
      </c>
      <c r="P12" s="224"/>
      <c r="Q12" s="133"/>
      <c r="R12" s="133"/>
      <c r="S12" s="133"/>
      <c r="T12" s="133"/>
      <c r="U12" s="134">
        <f t="shared" si="25"/>
        <v>0</v>
      </c>
      <c r="V12" s="135">
        <f t="shared" si="26"/>
        <v>0</v>
      </c>
      <c r="W12" s="233">
        <v>150</v>
      </c>
      <c r="X12" s="233">
        <v>170</v>
      </c>
      <c r="Y12" s="233">
        <v>182.5</v>
      </c>
      <c r="Z12" s="133"/>
      <c r="AA12" s="134">
        <f t="shared" si="27"/>
        <v>182.5</v>
      </c>
      <c r="AB12" s="135">
        <f t="shared" si="28"/>
        <v>0</v>
      </c>
      <c r="AC12" s="136">
        <f t="shared" si="29"/>
        <v>0</v>
      </c>
      <c r="AD12" s="136">
        <f>IF(OR(AB12=0,D12="",AND(D12&lt;40,D12&gt;22)),0,VLOOKUP($D12,DATA!$A$2:$B$53,2,TRUE)*AC12)</f>
        <v>0</v>
      </c>
      <c r="AE12" s="197">
        <f ca="1">IF(E12="","",OFFSET(Setup!$Q$1,MATCH(E12,Setup!O:O,0)-1,0))</f>
        <v>1</v>
      </c>
      <c r="AF12" s="134">
        <f t="shared" ca="1" si="30"/>
        <v>0</v>
      </c>
      <c r="AG12" s="42">
        <f>IF(OR(AB12=0),0,VLOOKUP(AV12,Setup!$S$6:$T$15,2,TRUE))</f>
        <v>0</v>
      </c>
      <c r="AH12" s="137"/>
      <c r="AI12" s="132" t="s">
        <v>468</v>
      </c>
      <c r="AJ12" s="124">
        <f t="shared" si="31"/>
        <v>0</v>
      </c>
      <c r="AK12" s="42">
        <f t="shared" si="32"/>
        <v>0</v>
      </c>
      <c r="AL12" s="29">
        <f t="shared" si="33"/>
        <v>95.9</v>
      </c>
      <c r="AM12" s="29">
        <f t="shared" si="34"/>
        <v>0</v>
      </c>
      <c r="AN12" s="29">
        <f t="shared" si="35"/>
        <v>0</v>
      </c>
      <c r="AO12" s="41" t="str">
        <f t="shared" si="36"/>
        <v>M</v>
      </c>
      <c r="AP12" s="41"/>
      <c r="AQ12" s="31">
        <f t="shared" si="37"/>
        <v>0</v>
      </c>
      <c r="AR12" s="217">
        <f t="shared" ca="1" si="38"/>
        <v>4608000000</v>
      </c>
      <c r="AS12" s="41">
        <f t="shared" ca="1" si="39"/>
        <v>10</v>
      </c>
      <c r="AT12" s="177">
        <f t="shared" ca="1" si="40"/>
        <v>4608</v>
      </c>
      <c r="AU12" s="115">
        <f t="shared" ca="1" si="41"/>
        <v>10</v>
      </c>
      <c r="AV12" s="198">
        <f t="shared" ca="1" si="42"/>
        <v>1</v>
      </c>
      <c r="AW12" s="181">
        <f t="shared" si="43"/>
        <v>211.5</v>
      </c>
      <c r="AX12" s="29">
        <f t="shared" si="44"/>
        <v>20</v>
      </c>
      <c r="AY12" s="217">
        <f ca="1">IF(OR(E12="",F12="",ISERROR(AE12)),0,(100000000*MATCH(E12,INDIRECT($AI$1),0)+IF(AE12=1,(16-IF(AO12="M",MATCH(G12,Setup!$K$9:$K$23,0),MATCH(G12,Setup!$M$9:$M$23)))*1000000,0)+IF(AB12&gt;0,IF(AE12=1,RANK(AB12,AB:AB,-1)*1000+AX12,IF(AE12=2,AC12,AD12)),0)))</f>
        <v>4608000000</v>
      </c>
      <c r="AZ12" s="42"/>
      <c r="BA12" s="42"/>
      <c r="BB12" s="42"/>
      <c r="BC12" s="42"/>
      <c r="BD12" s="42"/>
      <c r="BE12" s="42"/>
      <c r="BF12" s="42"/>
      <c r="BG12" s="42"/>
      <c r="BH12" s="96"/>
      <c r="BI12" s="96"/>
      <c r="BJ12" s="96"/>
      <c r="BK12" s="96"/>
      <c r="BL12" s="96"/>
      <c r="BM12" s="96"/>
      <c r="BN12" s="33"/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0</v>
      </c>
      <c r="CQ12" s="31">
        <v>0</v>
      </c>
      <c r="CR12" s="31">
        <v>0</v>
      </c>
      <c r="CS12" s="31">
        <v>0</v>
      </c>
      <c r="CT12" s="31">
        <v>0</v>
      </c>
      <c r="CU12" s="31">
        <v>0</v>
      </c>
      <c r="CV12" s="31">
        <v>0</v>
      </c>
      <c r="CW12" s="31">
        <v>1</v>
      </c>
      <c r="CX12" s="31">
        <v>1</v>
      </c>
      <c r="CY12" s="31">
        <v>1</v>
      </c>
      <c r="CZ12" s="31">
        <v>0</v>
      </c>
    </row>
    <row r="13" spans="1:176" s="31" customFormat="1" x14ac:dyDescent="0.2">
      <c r="A13" s="31">
        <f t="shared" si="23"/>
        <v>215</v>
      </c>
      <c r="B13" s="19" t="s">
        <v>35</v>
      </c>
      <c r="C13" s="219" t="s">
        <v>553</v>
      </c>
      <c r="D13" s="19">
        <v>16</v>
      </c>
      <c r="E13" s="19" t="s">
        <v>214</v>
      </c>
      <c r="F13" s="19">
        <v>229</v>
      </c>
      <c r="G13" s="42">
        <f>IF(OR(E13="",F13=""),"",IF(LEFT(E13,1)="M",VLOOKUP(F13,Setup!$J$9:$K$23,2,TRUE),VLOOKUP(F13,Setup!$L$9:$M$23,2,TRUE)))</f>
        <v>242</v>
      </c>
      <c r="H13" s="42">
        <f>IF(F13="",0,VLOOKUP(AL13,DATA!$L$2:$N$1910,IF(LEFT(E13,1)="F",3,2)))</f>
        <v>0.57374999999999998</v>
      </c>
      <c r="I13" s="19"/>
      <c r="J13" s="19" t="s">
        <v>477</v>
      </c>
      <c r="K13" s="233">
        <v>272.5</v>
      </c>
      <c r="L13" s="233">
        <v>290</v>
      </c>
      <c r="M13" s="233">
        <v>300</v>
      </c>
      <c r="N13" s="133"/>
      <c r="O13" s="134">
        <f t="shared" si="24"/>
        <v>300</v>
      </c>
      <c r="P13" s="224"/>
      <c r="Q13" s="233">
        <v>140</v>
      </c>
      <c r="R13" s="233">
        <v>157.5</v>
      </c>
      <c r="S13" s="233">
        <v>162.5</v>
      </c>
      <c r="T13" s="133"/>
      <c r="U13" s="134">
        <f t="shared" si="25"/>
        <v>162.5</v>
      </c>
      <c r="V13" s="135">
        <f t="shared" si="26"/>
        <v>462.5</v>
      </c>
      <c r="W13" s="133">
        <v>-210</v>
      </c>
      <c r="X13" s="133">
        <v>-215</v>
      </c>
      <c r="Y13" s="233">
        <v>215</v>
      </c>
      <c r="Z13" s="133"/>
      <c r="AA13" s="134">
        <f t="shared" si="27"/>
        <v>215</v>
      </c>
      <c r="AB13" s="135">
        <f t="shared" si="28"/>
        <v>677.5</v>
      </c>
      <c r="AC13" s="136">
        <f t="shared" si="29"/>
        <v>388.71562499999999</v>
      </c>
      <c r="AD13" s="136">
        <f>IF(OR(AB13=0,D13="",AND(D13&lt;40,D13&gt;22)),0,VLOOKUP($D13,DATA!$A$2:$B$53,2,TRUE)*AC13)</f>
        <v>439.24865624999995</v>
      </c>
      <c r="AE13" s="197">
        <f ca="1">IF(E13="","",OFFSET(Setup!$Q$1,MATCH(E13,Setup!O:O,0)-1,0))</f>
        <v>1</v>
      </c>
      <c r="AF13" s="134" t="str">
        <f t="shared" ca="1" si="30"/>
        <v>1-M-T2-242</v>
      </c>
      <c r="AG13" s="42">
        <f ca="1">IF(OR(AB13=0),0,VLOOKUP(AV13,Setup!$S$6:$T$15,2,TRUE))</f>
        <v>7</v>
      </c>
      <c r="AH13" s="137"/>
      <c r="AI13" s="132" t="s">
        <v>216</v>
      </c>
      <c r="AJ13" s="124">
        <f t="shared" si="31"/>
        <v>1</v>
      </c>
      <c r="AK13" s="42">
        <f t="shared" si="32"/>
        <v>0</v>
      </c>
      <c r="AL13" s="29">
        <f t="shared" si="33"/>
        <v>103.9</v>
      </c>
      <c r="AM13" s="29">
        <f t="shared" si="34"/>
        <v>677.5</v>
      </c>
      <c r="AN13" s="29">
        <f t="shared" si="35"/>
        <v>377.5</v>
      </c>
      <c r="AO13" s="41" t="str">
        <f t="shared" si="36"/>
        <v>M</v>
      </c>
      <c r="AP13" s="41"/>
      <c r="AQ13" s="31">
        <f t="shared" si="37"/>
        <v>1</v>
      </c>
      <c r="AR13" s="217">
        <f t="shared" ca="1" si="38"/>
        <v>3507056013</v>
      </c>
      <c r="AS13" s="41">
        <f t="shared" ca="1" si="39"/>
        <v>22</v>
      </c>
      <c r="AT13" s="177">
        <f t="shared" ca="1" si="40"/>
        <v>3507</v>
      </c>
      <c r="AU13" s="115">
        <f t="shared" ca="1" si="41"/>
        <v>22</v>
      </c>
      <c r="AV13" s="198">
        <f t="shared" ca="1" si="42"/>
        <v>1</v>
      </c>
      <c r="AW13" s="181">
        <f t="shared" si="43"/>
        <v>229</v>
      </c>
      <c r="AX13" s="29">
        <f t="shared" si="44"/>
        <v>13</v>
      </c>
      <c r="AY13" s="217">
        <f ca="1">IF(OR(E13="",F13="",ISERROR(AE13)),0,(100000000*MATCH(E13,INDIRECT($AI$1),0)+IF(AE13=1,(16-IF(AO13="M",MATCH(G13,Setup!$K$9:$K$23,0),MATCH(G13,Setup!$M$9:$M$23)))*1000000,0)+IF(AB13&gt;0,IF(AE13=1,RANK(AB13,AB:AB,-1)*1000+AX13,IF(AE13=2,AC13,AD13)),0)))</f>
        <v>3507056013</v>
      </c>
      <c r="AZ13" s="42"/>
      <c r="BA13" s="42"/>
      <c r="BB13" s="42"/>
      <c r="BC13" s="42"/>
      <c r="BD13" s="42"/>
      <c r="BE13" s="42"/>
      <c r="BF13" s="42"/>
      <c r="BG13" s="42"/>
      <c r="BH13" s="96"/>
      <c r="BI13" s="96"/>
      <c r="BJ13" s="96"/>
      <c r="BK13" s="96"/>
      <c r="BL13" s="96"/>
      <c r="BM13" s="96"/>
      <c r="BN13" s="33"/>
      <c r="CJ13" s="31">
        <v>0</v>
      </c>
      <c r="CK13" s="31">
        <v>1</v>
      </c>
      <c r="CL13" s="31">
        <v>1</v>
      </c>
      <c r="CM13" s="31">
        <v>1</v>
      </c>
      <c r="CN13" s="31">
        <v>0</v>
      </c>
      <c r="CO13" s="31">
        <v>0</v>
      </c>
      <c r="CP13" s="31">
        <v>0</v>
      </c>
      <c r="CQ13" s="31">
        <v>1</v>
      </c>
      <c r="CR13" s="31">
        <v>1</v>
      </c>
      <c r="CS13" s="31">
        <v>1</v>
      </c>
      <c r="CT13" s="31">
        <v>0</v>
      </c>
      <c r="CU13" s="31">
        <v>0</v>
      </c>
      <c r="CV13" s="31">
        <v>0</v>
      </c>
      <c r="CW13" s="31">
        <v>-1</v>
      </c>
      <c r="CX13" s="31">
        <v>-1</v>
      </c>
      <c r="CY13" s="31">
        <v>1</v>
      </c>
      <c r="CZ13" s="31">
        <v>0</v>
      </c>
    </row>
    <row r="14" spans="1:176" s="31" customFormat="1" x14ac:dyDescent="0.2">
      <c r="A14" s="31">
        <f t="shared" si="23"/>
        <v>227.5</v>
      </c>
      <c r="B14" s="19" t="s">
        <v>35</v>
      </c>
      <c r="C14" s="219" t="s">
        <v>551</v>
      </c>
      <c r="D14" s="19">
        <v>15</v>
      </c>
      <c r="E14" s="19" t="s">
        <v>213</v>
      </c>
      <c r="F14" s="19">
        <v>180.7</v>
      </c>
      <c r="G14" s="42">
        <f>IF(OR(E14="",F14=""),"",IF(LEFT(E14,1)="M",VLOOKUP(F14,Setup!$J$9:$K$23,2,TRUE),VLOOKUP(F14,Setup!$L$9:$M$23,2,TRUE)))</f>
        <v>181</v>
      </c>
      <c r="H14" s="42">
        <f>IF(F14="",0,VLOOKUP(AL14,DATA!$L$2:$N$1910,IF(LEFT(E14,1)="F",3,2)))</f>
        <v>0.64715</v>
      </c>
      <c r="I14" s="19"/>
      <c r="J14" s="19" t="s">
        <v>490</v>
      </c>
      <c r="K14" s="233">
        <v>210</v>
      </c>
      <c r="L14" s="233">
        <v>222.5</v>
      </c>
      <c r="M14" s="133">
        <v>-232.5</v>
      </c>
      <c r="N14" s="133"/>
      <c r="O14" s="134">
        <f t="shared" si="24"/>
        <v>222.5</v>
      </c>
      <c r="P14" s="224"/>
      <c r="Q14" s="233">
        <v>115</v>
      </c>
      <c r="R14" s="233">
        <v>122.5</v>
      </c>
      <c r="S14" s="233">
        <v>137.5</v>
      </c>
      <c r="T14" s="133"/>
      <c r="U14" s="134">
        <f t="shared" si="25"/>
        <v>137.5</v>
      </c>
      <c r="V14" s="135">
        <f t="shared" si="26"/>
        <v>360</v>
      </c>
      <c r="W14" s="233">
        <v>205</v>
      </c>
      <c r="X14" s="233">
        <v>220</v>
      </c>
      <c r="Y14" s="233">
        <v>227.5</v>
      </c>
      <c r="Z14" s="133"/>
      <c r="AA14" s="134">
        <f t="shared" si="27"/>
        <v>227.5</v>
      </c>
      <c r="AB14" s="135">
        <f t="shared" si="28"/>
        <v>587.5</v>
      </c>
      <c r="AC14" s="136">
        <f t="shared" si="29"/>
        <v>380.200625</v>
      </c>
      <c r="AD14" s="136">
        <f>IF(OR(AB14=0,D14="",AND(D14&lt;40,D14&gt;22)),0,VLOOKUP($D14,DATA!$A$2:$B$53,2,TRUE)*AC14)</f>
        <v>448.63673749999998</v>
      </c>
      <c r="AE14" s="197">
        <f ca="1">IF(E14="","",OFFSET(Setup!$Q$1,MATCH(E14,Setup!O:O,0)-1,0))</f>
        <v>1</v>
      </c>
      <c r="AF14" s="134" t="str">
        <f t="shared" ca="1" si="30"/>
        <v>1-M-T1-181</v>
      </c>
      <c r="AG14" s="42">
        <f ca="1">IF(OR(AB14=0),0,VLOOKUP(AV14,Setup!$S$6:$T$15,2,TRUE))</f>
        <v>7</v>
      </c>
      <c r="AH14" s="137"/>
      <c r="AI14" s="132" t="s">
        <v>216</v>
      </c>
      <c r="AJ14" s="124">
        <f t="shared" si="31"/>
        <v>1</v>
      </c>
      <c r="AK14" s="42">
        <f t="shared" si="32"/>
        <v>0</v>
      </c>
      <c r="AL14" s="29">
        <f t="shared" si="33"/>
        <v>82</v>
      </c>
      <c r="AM14" s="29">
        <f t="shared" si="34"/>
        <v>587.5</v>
      </c>
      <c r="AN14" s="29">
        <f t="shared" si="35"/>
        <v>365</v>
      </c>
      <c r="AO14" s="41" t="str">
        <f t="shared" si="36"/>
        <v>M</v>
      </c>
      <c r="AP14" s="41"/>
      <c r="AQ14" s="31">
        <f t="shared" si="37"/>
        <v>1</v>
      </c>
      <c r="AR14" s="217">
        <f t="shared" ca="1" si="38"/>
        <v>3410048029</v>
      </c>
      <c r="AS14" s="41">
        <f t="shared" ca="1" si="39"/>
        <v>25</v>
      </c>
      <c r="AT14" s="177">
        <f t="shared" ca="1" si="40"/>
        <v>3410</v>
      </c>
      <c r="AU14" s="115">
        <f t="shared" ca="1" si="41"/>
        <v>25</v>
      </c>
      <c r="AV14" s="198">
        <f t="shared" ca="1" si="42"/>
        <v>1</v>
      </c>
      <c r="AW14" s="181">
        <f t="shared" si="43"/>
        <v>180.7</v>
      </c>
      <c r="AX14" s="29">
        <f t="shared" si="44"/>
        <v>29</v>
      </c>
      <c r="AY14" s="217">
        <f ca="1">IF(OR(E14="",F14="",ISERROR(AE14)),0,(100000000*MATCH(E14,INDIRECT($AI$1),0)+IF(AE14=1,(16-IF(AO14="M",MATCH(G14,Setup!$K$9:$K$23,0),MATCH(G14,Setup!$M$9:$M$23)))*1000000,0)+IF(AB14&gt;0,IF(AE14=1,RANK(AB14,AB:AB,-1)*1000+AX14,IF(AE14=2,AC14,AD14)),0)))</f>
        <v>3410048029</v>
      </c>
      <c r="AZ14" s="42"/>
      <c r="BA14" s="42"/>
      <c r="BB14" s="42"/>
      <c r="BC14" s="42"/>
      <c r="BD14" s="42"/>
      <c r="BE14" s="42"/>
      <c r="BF14" s="42"/>
      <c r="BG14" s="42"/>
      <c r="BH14" s="96"/>
      <c r="BI14" s="96"/>
      <c r="BJ14" s="96"/>
      <c r="BK14" s="96"/>
      <c r="BL14" s="96"/>
      <c r="BM14" s="96"/>
      <c r="BN14" s="33"/>
      <c r="CJ14" s="31">
        <v>0</v>
      </c>
      <c r="CK14" s="31">
        <v>1</v>
      </c>
      <c r="CL14" s="31">
        <v>1</v>
      </c>
      <c r="CM14" s="31">
        <v>-1</v>
      </c>
      <c r="CN14" s="31">
        <v>0</v>
      </c>
      <c r="CO14" s="31">
        <v>0</v>
      </c>
      <c r="CP14" s="31">
        <v>0</v>
      </c>
      <c r="CQ14" s="31">
        <v>1</v>
      </c>
      <c r="CR14" s="31">
        <v>1</v>
      </c>
      <c r="CS14" s="31">
        <v>1</v>
      </c>
      <c r="CT14" s="31">
        <v>0</v>
      </c>
      <c r="CU14" s="31">
        <v>0</v>
      </c>
      <c r="CV14" s="31">
        <v>0</v>
      </c>
      <c r="CW14" s="31">
        <v>1</v>
      </c>
      <c r="CX14" s="31">
        <v>1</v>
      </c>
      <c r="CY14" s="31">
        <v>1</v>
      </c>
      <c r="CZ14" s="31">
        <v>0</v>
      </c>
    </row>
    <row r="15" spans="1:176" s="31" customFormat="1" x14ac:dyDescent="0.2">
      <c r="A15" s="31">
        <f t="shared" si="23"/>
        <v>240</v>
      </c>
      <c r="B15" s="19" t="s">
        <v>35</v>
      </c>
      <c r="C15" s="219" t="s">
        <v>555</v>
      </c>
      <c r="D15" s="19">
        <v>28</v>
      </c>
      <c r="E15" s="19" t="s">
        <v>251</v>
      </c>
      <c r="F15" s="19">
        <v>212.8</v>
      </c>
      <c r="G15" s="42">
        <f>IF(OR(E15="",F15=""),"",IF(LEFT(E15,1)="M",VLOOKUP(F15,Setup!$J$9:$K$23,2,TRUE),VLOOKUP(F15,Setup!$L$9:$M$23,2,TRUE)))</f>
        <v>220</v>
      </c>
      <c r="H15" s="42">
        <f>IF(F15="",0,VLOOKUP(AL15,DATA!$L$2:$N$1910,IF(LEFT(E15,1)="F",3,2)))</f>
        <v>0.59050000000000002</v>
      </c>
      <c r="I15" s="19"/>
      <c r="J15" s="19" t="s">
        <v>571</v>
      </c>
      <c r="K15" s="233">
        <v>250</v>
      </c>
      <c r="L15" s="133">
        <v>-255</v>
      </c>
      <c r="M15" s="133">
        <v>-255</v>
      </c>
      <c r="N15" s="133"/>
      <c r="O15" s="134">
        <f t="shared" si="24"/>
        <v>250</v>
      </c>
      <c r="P15" s="224"/>
      <c r="Q15" s="233">
        <v>220</v>
      </c>
      <c r="R15" s="133">
        <v>-227.5</v>
      </c>
      <c r="S15" s="233">
        <v>245</v>
      </c>
      <c r="T15" s="133"/>
      <c r="U15" s="134">
        <f t="shared" si="25"/>
        <v>245</v>
      </c>
      <c r="V15" s="135">
        <f t="shared" si="26"/>
        <v>495</v>
      </c>
      <c r="W15" s="233">
        <v>205</v>
      </c>
      <c r="X15" s="233">
        <v>230</v>
      </c>
      <c r="Y15" s="133">
        <v>-240</v>
      </c>
      <c r="Z15" s="133"/>
      <c r="AA15" s="134">
        <f t="shared" si="27"/>
        <v>230</v>
      </c>
      <c r="AB15" s="135">
        <f t="shared" si="28"/>
        <v>725</v>
      </c>
      <c r="AC15" s="136">
        <f t="shared" si="29"/>
        <v>428.11250000000001</v>
      </c>
      <c r="AD15" s="136">
        <f>IF(OR(AB15=0,D15="",AND(D15&lt;40,D15&gt;22)),0,VLOOKUP($D15,DATA!$A$2:$B$53,2,TRUE)*AC15)</f>
        <v>0</v>
      </c>
      <c r="AE15" s="197">
        <f ca="1">IF(E15="","",OFFSET(Setup!$Q$1,MATCH(E15,Setup!O:O,0)-1,0))</f>
        <v>1</v>
      </c>
      <c r="AF15" s="134" t="str">
        <f t="shared" ca="1" si="30"/>
        <v>1-M-O-220</v>
      </c>
      <c r="AG15" s="42">
        <f ca="1">IF(OR(AB15=0),0,VLOOKUP(AV15,Setup!$S$6:$T$15,2,TRUE))</f>
        <v>7</v>
      </c>
      <c r="AH15" s="137"/>
      <c r="AI15" s="132" t="s">
        <v>216</v>
      </c>
      <c r="AJ15" s="124">
        <f t="shared" si="31"/>
        <v>1</v>
      </c>
      <c r="AK15" s="42">
        <f t="shared" si="32"/>
        <v>0</v>
      </c>
      <c r="AL15" s="29">
        <f t="shared" si="33"/>
        <v>96.5</v>
      </c>
      <c r="AM15" s="29">
        <f t="shared" si="34"/>
        <v>725</v>
      </c>
      <c r="AN15" s="29">
        <f t="shared" si="35"/>
        <v>475</v>
      </c>
      <c r="AO15" s="41" t="str">
        <f t="shared" si="36"/>
        <v>M</v>
      </c>
      <c r="AP15" s="41"/>
      <c r="AQ15" s="31">
        <f t="shared" si="37"/>
        <v>1</v>
      </c>
      <c r="AR15" s="217">
        <f t="shared" ca="1" si="38"/>
        <v>3808060018</v>
      </c>
      <c r="AS15" s="41">
        <f t="shared" ca="1" si="39"/>
        <v>14</v>
      </c>
      <c r="AT15" s="177">
        <f t="shared" ca="1" si="40"/>
        <v>3808</v>
      </c>
      <c r="AU15" s="115">
        <f t="shared" ca="1" si="41"/>
        <v>14</v>
      </c>
      <c r="AV15" s="198">
        <f t="shared" ca="1" si="42"/>
        <v>1</v>
      </c>
      <c r="AW15" s="181">
        <f t="shared" si="43"/>
        <v>212.8</v>
      </c>
      <c r="AX15" s="29">
        <f t="shared" si="44"/>
        <v>18</v>
      </c>
      <c r="AY15" s="217">
        <f ca="1">IF(OR(E15="",F15="",ISERROR(AE15)),0,(100000000*MATCH(E15,INDIRECT($AI$1),0)+IF(AE15=1,(16-IF(AO15="M",MATCH(G15,Setup!$K$9:$K$23,0),MATCH(G15,Setup!$M$9:$M$23)))*1000000,0)+IF(AB15&gt;0,IF(AE15=1,RANK(AB15,AB:AB,-1)*1000+AX15,IF(AE15=2,AC15,AD15)),0)))</f>
        <v>3808060018</v>
      </c>
      <c r="AZ15" s="42"/>
      <c r="BA15" s="42"/>
      <c r="BB15" s="42"/>
      <c r="BC15" s="42"/>
      <c r="BD15" s="42"/>
      <c r="BE15" s="42"/>
      <c r="BF15" s="42"/>
      <c r="BG15" s="42"/>
      <c r="BH15" s="96"/>
      <c r="BI15" s="96"/>
      <c r="BJ15" s="96"/>
      <c r="BK15" s="96"/>
      <c r="BL15" s="96"/>
      <c r="BM15" s="96"/>
      <c r="BN15" s="33"/>
      <c r="CJ15" s="31">
        <v>0</v>
      </c>
      <c r="CK15" s="31">
        <v>1</v>
      </c>
      <c r="CL15" s="31">
        <v>-1</v>
      </c>
      <c r="CM15" s="31">
        <v>-1</v>
      </c>
      <c r="CN15" s="31">
        <v>0</v>
      </c>
      <c r="CO15" s="31">
        <v>0</v>
      </c>
      <c r="CP15" s="31">
        <v>0</v>
      </c>
      <c r="CQ15" s="31">
        <v>1</v>
      </c>
      <c r="CR15" s="31">
        <v>-1</v>
      </c>
      <c r="CS15" s="31">
        <v>1</v>
      </c>
      <c r="CT15" s="31">
        <v>0</v>
      </c>
      <c r="CU15" s="31">
        <v>0</v>
      </c>
      <c r="CV15" s="31">
        <v>0</v>
      </c>
      <c r="CW15" s="31">
        <v>1</v>
      </c>
      <c r="CX15" s="31">
        <v>1</v>
      </c>
      <c r="CY15" s="31">
        <v>-1</v>
      </c>
      <c r="CZ15" s="31">
        <v>0</v>
      </c>
    </row>
    <row r="16" spans="1:176" s="31" customFormat="1" x14ac:dyDescent="0.2">
      <c r="A16" s="31">
        <f t="shared" si="23"/>
        <v>250</v>
      </c>
      <c r="B16" s="19" t="s">
        <v>35</v>
      </c>
      <c r="C16" s="219" t="s">
        <v>559</v>
      </c>
      <c r="D16" s="19">
        <v>61</v>
      </c>
      <c r="E16" s="19" t="s">
        <v>254</v>
      </c>
      <c r="F16" s="19">
        <v>240</v>
      </c>
      <c r="G16" s="42">
        <f>IF(OR(E16="",F16=""),"",IF(LEFT(E16,1)="M",VLOOKUP(F16,Setup!$J$9:$K$23,2,TRUE),VLOOKUP(F16,Setup!$L$9:$M$23,2,TRUE)))</f>
        <v>242</v>
      </c>
      <c r="H16" s="42">
        <f>IF(F16="",0,VLOOKUP(AL16,DATA!$L$2:$N$1910,IF(LEFT(E16,1)="F",3,2)))</f>
        <v>0.56475000000000009</v>
      </c>
      <c r="I16" s="19"/>
      <c r="J16" s="19" t="s">
        <v>570</v>
      </c>
      <c r="K16" s="233">
        <v>290</v>
      </c>
      <c r="L16" s="233">
        <v>320</v>
      </c>
      <c r="M16" s="133">
        <v>-347.5</v>
      </c>
      <c r="N16" s="133"/>
      <c r="O16" s="134">
        <f t="shared" si="24"/>
        <v>320</v>
      </c>
      <c r="P16" s="224"/>
      <c r="Q16" s="233">
        <v>210</v>
      </c>
      <c r="R16" s="133">
        <v>-232.5</v>
      </c>
      <c r="S16" s="133">
        <v>-250</v>
      </c>
      <c r="T16" s="133"/>
      <c r="U16" s="134">
        <f t="shared" si="25"/>
        <v>210</v>
      </c>
      <c r="V16" s="135">
        <f t="shared" si="26"/>
        <v>530</v>
      </c>
      <c r="W16" s="233">
        <v>210</v>
      </c>
      <c r="X16" s="233">
        <v>232.5</v>
      </c>
      <c r="Y16" s="133">
        <v>-250</v>
      </c>
      <c r="Z16" s="133"/>
      <c r="AA16" s="134">
        <f t="shared" si="27"/>
        <v>232.5</v>
      </c>
      <c r="AB16" s="135">
        <f t="shared" si="28"/>
        <v>762.5</v>
      </c>
      <c r="AC16" s="136">
        <f t="shared" si="29"/>
        <v>430.62187500000005</v>
      </c>
      <c r="AD16" s="136">
        <f>IF(OR(AB16=0,D16="",AND(D16&lt;40,D16&gt;22)),0,VLOOKUP($D16,DATA!$A$2:$B$53,2,TRUE)*AC16)</f>
        <v>588.22948125000016</v>
      </c>
      <c r="AE16" s="197">
        <f ca="1">IF(E16="","",OFFSET(Setup!$Q$1,MATCH(E16,Setup!O:O,0)-1,0))</f>
        <v>1</v>
      </c>
      <c r="AF16" s="134" t="str">
        <f t="shared" ca="1" si="30"/>
        <v>1-M-M5-242</v>
      </c>
      <c r="AG16" s="42">
        <f ca="1">IF(OR(AB16=0),0,VLOOKUP(AV16,Setup!$S$6:$T$15,2,TRUE))</f>
        <v>7</v>
      </c>
      <c r="AH16" s="137"/>
      <c r="AI16" s="132" t="s">
        <v>216</v>
      </c>
      <c r="AJ16" s="124">
        <f t="shared" si="31"/>
        <v>1</v>
      </c>
      <c r="AK16" s="42">
        <f t="shared" si="32"/>
        <v>0</v>
      </c>
      <c r="AL16" s="29">
        <f t="shared" si="33"/>
        <v>108.9</v>
      </c>
      <c r="AM16" s="29">
        <f t="shared" si="34"/>
        <v>762.5</v>
      </c>
      <c r="AN16" s="29">
        <f t="shared" si="35"/>
        <v>442.5</v>
      </c>
      <c r="AO16" s="41" t="str">
        <f t="shared" si="36"/>
        <v>M</v>
      </c>
      <c r="AP16" s="41"/>
      <c r="AQ16" s="31">
        <f t="shared" si="37"/>
        <v>1</v>
      </c>
      <c r="AR16" s="217">
        <f t="shared" ca="1" si="38"/>
        <v>4407061009</v>
      </c>
      <c r="AS16" s="41">
        <f t="shared" ca="1" si="39"/>
        <v>12</v>
      </c>
      <c r="AT16" s="177">
        <f t="shared" ca="1" si="40"/>
        <v>4407</v>
      </c>
      <c r="AU16" s="115">
        <f t="shared" ca="1" si="41"/>
        <v>12</v>
      </c>
      <c r="AV16" s="198">
        <f t="shared" ca="1" si="42"/>
        <v>1</v>
      </c>
      <c r="AW16" s="181">
        <f t="shared" si="43"/>
        <v>240</v>
      </c>
      <c r="AX16" s="29">
        <f t="shared" si="44"/>
        <v>9</v>
      </c>
      <c r="AY16" s="217">
        <f ca="1">IF(OR(E16="",F16="",ISERROR(AE16)),0,(100000000*MATCH(E16,INDIRECT($AI$1),0)+IF(AE16=1,(16-IF(AO16="M",MATCH(G16,Setup!$K$9:$K$23,0),MATCH(G16,Setup!$M$9:$M$23)))*1000000,0)+IF(AB16&gt;0,IF(AE16=1,RANK(AB16,AB:AB,-1)*1000+AX16,IF(AE16=2,AC16,AD16)),0)))</f>
        <v>4407061009</v>
      </c>
      <c r="AZ16" s="42"/>
      <c r="BA16" s="42"/>
      <c r="BB16" s="42"/>
      <c r="BC16" s="42"/>
      <c r="BD16" s="42"/>
      <c r="BE16" s="42"/>
      <c r="BF16" s="42"/>
      <c r="BG16" s="42"/>
      <c r="BH16" s="96"/>
      <c r="BI16" s="96"/>
      <c r="BJ16" s="96"/>
      <c r="BK16" s="96"/>
      <c r="BL16" s="96"/>
      <c r="BM16" s="96"/>
      <c r="BN16" s="33"/>
      <c r="CJ16" s="31">
        <v>0</v>
      </c>
      <c r="CK16" s="31">
        <v>1</v>
      </c>
      <c r="CL16" s="31">
        <v>1</v>
      </c>
      <c r="CM16" s="31">
        <v>-1</v>
      </c>
      <c r="CN16" s="31">
        <v>0</v>
      </c>
      <c r="CO16" s="31">
        <v>0</v>
      </c>
      <c r="CP16" s="31">
        <v>0</v>
      </c>
      <c r="CQ16" s="31">
        <v>1</v>
      </c>
      <c r="CR16" s="31">
        <v>-1</v>
      </c>
      <c r="CS16" s="31">
        <v>-1</v>
      </c>
      <c r="CT16" s="31">
        <v>0</v>
      </c>
      <c r="CU16" s="31">
        <v>0</v>
      </c>
      <c r="CV16" s="31">
        <v>0</v>
      </c>
      <c r="CW16" s="31">
        <v>1</v>
      </c>
      <c r="CX16" s="31">
        <v>1</v>
      </c>
      <c r="CY16" s="31">
        <v>-1</v>
      </c>
      <c r="CZ16" s="31">
        <v>0</v>
      </c>
    </row>
    <row r="17" spans="1:104" s="31" customFormat="1" x14ac:dyDescent="0.2">
      <c r="A17" s="31">
        <f t="shared" si="23"/>
        <v>260</v>
      </c>
      <c r="B17" s="19" t="s">
        <v>35</v>
      </c>
      <c r="C17" s="219" t="s">
        <v>554</v>
      </c>
      <c r="D17" s="19">
        <v>17</v>
      </c>
      <c r="E17" s="19" t="s">
        <v>214</v>
      </c>
      <c r="F17" s="19">
        <v>151.5</v>
      </c>
      <c r="G17" s="42">
        <f>IF(OR(E17="",F17=""),"",IF(LEFT(E17,1)="M",VLOOKUP(F17,Setup!$J$9:$K$23,2,TRUE),VLOOKUP(F17,Setup!$L$9:$M$23,2,TRUE)))</f>
        <v>165</v>
      </c>
      <c r="H17" s="42">
        <f>IF(F17="",0,VLOOKUP(AL17,DATA!$L$2:$N$1910,IF(LEFT(E17,1)="F",3,2)))</f>
        <v>0.73744999999999994</v>
      </c>
      <c r="I17" s="19"/>
      <c r="J17" s="19" t="s">
        <v>533</v>
      </c>
      <c r="K17" s="133">
        <v>-250</v>
      </c>
      <c r="L17" s="133">
        <v>-250</v>
      </c>
      <c r="M17" s="233">
        <v>250</v>
      </c>
      <c r="N17" s="133"/>
      <c r="O17" s="134">
        <f t="shared" si="24"/>
        <v>250</v>
      </c>
      <c r="P17" s="224"/>
      <c r="Q17" s="233">
        <v>145</v>
      </c>
      <c r="R17" s="133">
        <v>-155</v>
      </c>
      <c r="S17" s="133">
        <v>-155</v>
      </c>
      <c r="T17" s="133"/>
      <c r="U17" s="134">
        <f t="shared" si="25"/>
        <v>145</v>
      </c>
      <c r="V17" s="135">
        <f t="shared" si="26"/>
        <v>395</v>
      </c>
      <c r="W17" s="233">
        <v>227.5</v>
      </c>
      <c r="X17" s="233">
        <v>250</v>
      </c>
      <c r="Y17" s="233">
        <v>260</v>
      </c>
      <c r="Z17" s="133"/>
      <c r="AA17" s="134">
        <f t="shared" si="27"/>
        <v>260</v>
      </c>
      <c r="AB17" s="135">
        <f t="shared" si="28"/>
        <v>655</v>
      </c>
      <c r="AC17" s="136">
        <f t="shared" si="29"/>
        <v>483.02974999999998</v>
      </c>
      <c r="AD17" s="136">
        <f>IF(OR(AB17=0,D17="",AND(D17&lt;40,D17&gt;22)),0,VLOOKUP($D17,DATA!$A$2:$B$53,2,TRUE)*AC17)</f>
        <v>521.67213000000004</v>
      </c>
      <c r="AE17" s="197">
        <f ca="1">IF(E17="","",OFFSET(Setup!$Q$1,MATCH(E17,Setup!O:O,0)-1,0))</f>
        <v>1</v>
      </c>
      <c r="AF17" s="134" t="str">
        <f t="shared" ca="1" si="30"/>
        <v>1-M-T2-165</v>
      </c>
      <c r="AG17" s="42">
        <f ca="1">IF(OR(AB17=0),0,VLOOKUP(AV17,Setup!$S$6:$T$15,2,TRUE))</f>
        <v>7</v>
      </c>
      <c r="AH17" s="137"/>
      <c r="AI17" s="132" t="s">
        <v>216</v>
      </c>
      <c r="AJ17" s="124">
        <f t="shared" si="31"/>
        <v>1</v>
      </c>
      <c r="AK17" s="42">
        <f t="shared" si="32"/>
        <v>0</v>
      </c>
      <c r="AL17" s="29">
        <f t="shared" si="33"/>
        <v>68.7</v>
      </c>
      <c r="AM17" s="29">
        <f t="shared" si="34"/>
        <v>655</v>
      </c>
      <c r="AN17" s="29">
        <f t="shared" si="35"/>
        <v>405</v>
      </c>
      <c r="AO17" s="41" t="str">
        <f t="shared" si="36"/>
        <v>M</v>
      </c>
      <c r="AP17" s="41"/>
      <c r="AQ17" s="31">
        <f t="shared" si="37"/>
        <v>1</v>
      </c>
      <c r="AR17" s="217">
        <f t="shared" ca="1" si="38"/>
        <v>3511052040</v>
      </c>
      <c r="AS17" s="41">
        <f t="shared" ca="1" si="39"/>
        <v>20</v>
      </c>
      <c r="AT17" s="177">
        <f t="shared" ca="1" si="40"/>
        <v>3511</v>
      </c>
      <c r="AU17" s="115">
        <f t="shared" ca="1" si="41"/>
        <v>20</v>
      </c>
      <c r="AV17" s="198">
        <f t="shared" ca="1" si="42"/>
        <v>1</v>
      </c>
      <c r="AW17" s="181">
        <f t="shared" si="43"/>
        <v>151.5</v>
      </c>
      <c r="AX17" s="29">
        <f t="shared" si="44"/>
        <v>40</v>
      </c>
      <c r="AY17" s="217">
        <f ca="1">IF(OR(E17="",F17="",ISERROR(AE17)),0,(100000000*MATCH(E17,INDIRECT($AI$1),0)+IF(AE17=1,(16-IF(AO17="M",MATCH(G17,Setup!$K$9:$K$23,0),MATCH(G17,Setup!$M$9:$M$23)))*1000000,0)+IF(AB17&gt;0,IF(AE17=1,RANK(AB17,AB:AB,-1)*1000+AX17,IF(AE17=2,AC17,AD17)),0)))</f>
        <v>3511052040</v>
      </c>
      <c r="AZ17" s="42"/>
      <c r="BA17" s="42"/>
      <c r="BB17" s="42"/>
      <c r="BC17" s="42"/>
      <c r="BD17" s="42"/>
      <c r="BE17" s="42"/>
      <c r="BF17" s="42"/>
      <c r="BG17" s="42"/>
      <c r="BH17" s="96"/>
      <c r="BI17" s="96"/>
      <c r="BJ17" s="96"/>
      <c r="BK17" s="96"/>
      <c r="BL17" s="96"/>
      <c r="BM17" s="96"/>
      <c r="BN17" s="33"/>
      <c r="CJ17" s="31">
        <v>0</v>
      </c>
      <c r="CK17" s="31">
        <v>-1</v>
      </c>
      <c r="CL17" s="31">
        <v>-1</v>
      </c>
      <c r="CM17" s="31">
        <v>1</v>
      </c>
      <c r="CN17" s="31">
        <v>0</v>
      </c>
      <c r="CO17" s="31">
        <v>0</v>
      </c>
      <c r="CP17" s="31">
        <v>0</v>
      </c>
      <c r="CQ17" s="31">
        <v>1</v>
      </c>
      <c r="CR17" s="31">
        <v>-1</v>
      </c>
      <c r="CS17" s="31">
        <v>-1</v>
      </c>
      <c r="CT17" s="31">
        <v>0</v>
      </c>
      <c r="CU17" s="31">
        <v>0</v>
      </c>
      <c r="CV17" s="31">
        <v>0</v>
      </c>
      <c r="CW17" s="31">
        <v>1</v>
      </c>
      <c r="CX17" s="31">
        <v>1</v>
      </c>
      <c r="CY17" s="31">
        <v>1</v>
      </c>
      <c r="CZ17" s="31">
        <v>0</v>
      </c>
    </row>
    <row r="18" spans="1:104" s="31" customFormat="1" x14ac:dyDescent="0.2">
      <c r="A18" s="31">
        <f t="shared" si="23"/>
        <v>272.5</v>
      </c>
      <c r="B18" s="19" t="s">
        <v>35</v>
      </c>
      <c r="C18" s="219" t="s">
        <v>557</v>
      </c>
      <c r="D18" s="19">
        <v>27</v>
      </c>
      <c r="E18" s="19" t="s">
        <v>251</v>
      </c>
      <c r="F18" s="19">
        <v>197.2</v>
      </c>
      <c r="G18" s="42">
        <f>IF(OR(E18="",F18=""),"",IF(LEFT(E18,1)="M",VLOOKUP(F18,Setup!$J$9:$K$23,2,TRUE),VLOOKUP(F18,Setup!$L$9:$M$23,2,TRUE)))</f>
        <v>198</v>
      </c>
      <c r="H18" s="42">
        <f>IF(F18="",0,VLOOKUP(AL18,DATA!$L$2:$N$1910,IF(LEFT(E18,1)="F",3,2)))</f>
        <v>0.61414999999999997</v>
      </c>
      <c r="I18" s="19"/>
      <c r="J18" s="19" t="s">
        <v>572</v>
      </c>
      <c r="K18" s="233">
        <v>285</v>
      </c>
      <c r="L18" s="133">
        <v>-305</v>
      </c>
      <c r="M18" s="233">
        <v>305</v>
      </c>
      <c r="N18" s="133"/>
      <c r="O18" s="134">
        <f t="shared" si="24"/>
        <v>305</v>
      </c>
      <c r="P18" s="224"/>
      <c r="Q18" s="133">
        <v>-215</v>
      </c>
      <c r="R18" s="233">
        <v>222.5</v>
      </c>
      <c r="S18" s="133">
        <v>-237.5</v>
      </c>
      <c r="T18" s="133"/>
      <c r="U18" s="134">
        <f t="shared" si="25"/>
        <v>222.5</v>
      </c>
      <c r="V18" s="135">
        <f t="shared" si="26"/>
        <v>527.5</v>
      </c>
      <c r="W18" s="233">
        <v>227.5</v>
      </c>
      <c r="X18" s="233">
        <v>260</v>
      </c>
      <c r="Y18" s="133">
        <v>-272.5</v>
      </c>
      <c r="Z18" s="133"/>
      <c r="AA18" s="134">
        <f t="shared" si="27"/>
        <v>260</v>
      </c>
      <c r="AB18" s="135">
        <f t="shared" si="28"/>
        <v>787.5</v>
      </c>
      <c r="AC18" s="136">
        <f t="shared" si="29"/>
        <v>483.643125</v>
      </c>
      <c r="AD18" s="136">
        <f>IF(OR(AB18=0,D18="",AND(D18&lt;40,D18&gt;22)),0,VLOOKUP($D18,DATA!$A$2:$B$53,2,TRUE)*AC18)</f>
        <v>0</v>
      </c>
      <c r="AE18" s="197">
        <f ca="1">IF(E18="","",OFFSET(Setup!$Q$1,MATCH(E18,Setup!O:O,0)-1,0))</f>
        <v>1</v>
      </c>
      <c r="AF18" s="134" t="str">
        <f t="shared" ca="1" si="30"/>
        <v>1-M-O-198</v>
      </c>
      <c r="AG18" s="42">
        <f ca="1">IF(OR(AB18=0),0,VLOOKUP(AV18,Setup!$S$6:$T$15,2,TRUE))</f>
        <v>7</v>
      </c>
      <c r="AH18" s="137"/>
      <c r="AI18" s="132" t="s">
        <v>216</v>
      </c>
      <c r="AJ18" s="124">
        <f t="shared" si="31"/>
        <v>1</v>
      </c>
      <c r="AK18" s="42">
        <f t="shared" si="32"/>
        <v>0</v>
      </c>
      <c r="AL18" s="29">
        <f t="shared" si="33"/>
        <v>89.4</v>
      </c>
      <c r="AM18" s="29">
        <f t="shared" si="34"/>
        <v>787.5</v>
      </c>
      <c r="AN18" s="29">
        <f t="shared" si="35"/>
        <v>482.5</v>
      </c>
      <c r="AO18" s="41" t="str">
        <f t="shared" si="36"/>
        <v>M</v>
      </c>
      <c r="AP18" s="41"/>
      <c r="AQ18" s="31">
        <f t="shared" si="37"/>
        <v>1</v>
      </c>
      <c r="AR18" s="217">
        <f t="shared" ca="1" si="38"/>
        <v>3809062024</v>
      </c>
      <c r="AS18" s="41">
        <f t="shared" ca="1" si="39"/>
        <v>13</v>
      </c>
      <c r="AT18" s="177">
        <f t="shared" ca="1" si="40"/>
        <v>3809</v>
      </c>
      <c r="AU18" s="115">
        <f t="shared" ca="1" si="41"/>
        <v>13</v>
      </c>
      <c r="AV18" s="198">
        <f t="shared" ca="1" si="42"/>
        <v>1</v>
      </c>
      <c r="AW18" s="181">
        <f t="shared" si="43"/>
        <v>197.2</v>
      </c>
      <c r="AX18" s="29">
        <f t="shared" si="44"/>
        <v>24</v>
      </c>
      <c r="AY18" s="217">
        <f ca="1">IF(OR(E18="",F18="",ISERROR(AE18)),0,(100000000*MATCH(E18,INDIRECT($AI$1),0)+IF(AE18=1,(16-IF(AO18="M",MATCH(G18,Setup!$K$9:$K$23,0),MATCH(G18,Setup!$M$9:$M$23)))*1000000,0)+IF(AB18&gt;0,IF(AE18=1,RANK(AB18,AB:AB,-1)*1000+AX18,IF(AE18=2,AC18,AD18)),0)))</f>
        <v>3809062024</v>
      </c>
      <c r="AZ18" s="42"/>
      <c r="BA18" s="42"/>
      <c r="BB18" s="42"/>
      <c r="BC18" s="42"/>
      <c r="BD18" s="42"/>
      <c r="BE18" s="42"/>
      <c r="BF18" s="42"/>
      <c r="BG18" s="42"/>
      <c r="BH18" s="96"/>
      <c r="BI18" s="96"/>
      <c r="BJ18" s="96"/>
      <c r="BK18" s="96"/>
      <c r="BL18" s="96"/>
      <c r="BM18" s="96"/>
      <c r="BN18" s="33"/>
      <c r="CJ18" s="31">
        <v>0</v>
      </c>
      <c r="CK18" s="31">
        <v>1</v>
      </c>
      <c r="CL18" s="31">
        <v>-1</v>
      </c>
      <c r="CM18" s="31">
        <v>1</v>
      </c>
      <c r="CN18" s="31">
        <v>0</v>
      </c>
      <c r="CO18" s="31">
        <v>0</v>
      </c>
      <c r="CP18" s="31">
        <v>0</v>
      </c>
      <c r="CQ18" s="31">
        <v>-1</v>
      </c>
      <c r="CR18" s="31">
        <v>1</v>
      </c>
      <c r="CS18" s="31">
        <v>-1</v>
      </c>
      <c r="CT18" s="31">
        <v>0</v>
      </c>
      <c r="CU18" s="31">
        <v>0</v>
      </c>
      <c r="CV18" s="31">
        <v>0</v>
      </c>
      <c r="CW18" s="31">
        <v>1</v>
      </c>
      <c r="CX18" s="31">
        <v>1</v>
      </c>
      <c r="CY18" s="31">
        <v>-1</v>
      </c>
      <c r="CZ18" s="31">
        <v>0</v>
      </c>
    </row>
    <row r="19" spans="1:104" s="31" customFormat="1" x14ac:dyDescent="0.2">
      <c r="A19" s="31">
        <f t="shared" si="23"/>
        <v>275</v>
      </c>
      <c r="B19" s="19" t="s">
        <v>35</v>
      </c>
      <c r="C19" s="219" t="s">
        <v>552</v>
      </c>
      <c r="D19" s="19">
        <v>16</v>
      </c>
      <c r="E19" s="19" t="s">
        <v>214</v>
      </c>
      <c r="F19" s="19">
        <v>208.5</v>
      </c>
      <c r="G19" s="42">
        <f>IF(OR(E19="",F19=""),"",IF(LEFT(E19,1)="M",VLOOKUP(F19,Setup!$J$9:$K$23,2,TRUE),VLOOKUP(F19,Setup!$L$9:$M$23,2,TRUE)))</f>
        <v>220</v>
      </c>
      <c r="H19" s="42">
        <f>IF(F19="",0,VLOOKUP(AL19,DATA!$L$2:$N$1910,IF(LEFT(E19,1)="F",3,2)))</f>
        <v>0.59614999999999996</v>
      </c>
      <c r="I19" s="19"/>
      <c r="J19" s="19" t="s">
        <v>493</v>
      </c>
      <c r="K19" s="233">
        <v>227.5</v>
      </c>
      <c r="L19" s="233">
        <v>245</v>
      </c>
      <c r="M19" s="133">
        <v>-260</v>
      </c>
      <c r="N19" s="133"/>
      <c r="O19" s="134">
        <f t="shared" si="24"/>
        <v>245</v>
      </c>
      <c r="P19" s="224"/>
      <c r="Q19" s="233">
        <v>155</v>
      </c>
      <c r="R19" s="133">
        <v>-160</v>
      </c>
      <c r="S19" s="233">
        <v>160</v>
      </c>
      <c r="T19" s="133"/>
      <c r="U19" s="134">
        <f t="shared" si="25"/>
        <v>160</v>
      </c>
      <c r="V19" s="135">
        <f t="shared" si="26"/>
        <v>405</v>
      </c>
      <c r="W19" s="233">
        <v>242.5</v>
      </c>
      <c r="X19" s="233">
        <v>260</v>
      </c>
      <c r="Y19" s="233">
        <v>275</v>
      </c>
      <c r="Z19" s="133"/>
      <c r="AA19" s="134">
        <f t="shared" si="27"/>
        <v>275</v>
      </c>
      <c r="AB19" s="135">
        <f t="shared" si="28"/>
        <v>680</v>
      </c>
      <c r="AC19" s="136">
        <f t="shared" si="29"/>
        <v>405.38199999999995</v>
      </c>
      <c r="AD19" s="136">
        <f>IF(OR(AB19=0,D19="",AND(D19&lt;40,D19&gt;22)),0,VLOOKUP($D19,DATA!$A$2:$B$53,2,TRUE)*AC19)</f>
        <v>458.08165999999989</v>
      </c>
      <c r="AE19" s="197">
        <f ca="1">IF(E19="","",OFFSET(Setup!$Q$1,MATCH(E19,Setup!O:O,0)-1,0))</f>
        <v>1</v>
      </c>
      <c r="AF19" s="134" t="str">
        <f t="shared" ca="1" si="30"/>
        <v>1-M-T2-220</v>
      </c>
      <c r="AG19" s="42">
        <f ca="1">IF(OR(AB19=0),0,VLOOKUP(AV19,Setup!$S$6:$T$15,2,TRUE))</f>
        <v>7</v>
      </c>
      <c r="AH19" s="137"/>
      <c r="AI19" s="132" t="s">
        <v>216</v>
      </c>
      <c r="AJ19" s="124">
        <f t="shared" si="31"/>
        <v>1</v>
      </c>
      <c r="AK19" s="42">
        <f t="shared" si="32"/>
        <v>0</v>
      </c>
      <c r="AL19" s="29">
        <f t="shared" si="33"/>
        <v>94.6</v>
      </c>
      <c r="AM19" s="29">
        <f t="shared" si="34"/>
        <v>680</v>
      </c>
      <c r="AN19" s="29">
        <f t="shared" si="35"/>
        <v>435</v>
      </c>
      <c r="AO19" s="41" t="str">
        <f t="shared" si="36"/>
        <v>M</v>
      </c>
      <c r="AP19" s="41"/>
      <c r="AQ19" s="31">
        <f t="shared" si="37"/>
        <v>1</v>
      </c>
      <c r="AR19" s="217">
        <f t="shared" ca="1" si="38"/>
        <v>3508057023</v>
      </c>
      <c r="AS19" s="41">
        <f t="shared" ca="1" si="39"/>
        <v>21</v>
      </c>
      <c r="AT19" s="177">
        <f t="shared" ca="1" si="40"/>
        <v>3508</v>
      </c>
      <c r="AU19" s="115">
        <f t="shared" ca="1" si="41"/>
        <v>21</v>
      </c>
      <c r="AV19" s="198">
        <f t="shared" ca="1" si="42"/>
        <v>1</v>
      </c>
      <c r="AW19" s="181">
        <f t="shared" si="43"/>
        <v>208.5</v>
      </c>
      <c r="AX19" s="29">
        <f t="shared" si="44"/>
        <v>23</v>
      </c>
      <c r="AY19" s="217">
        <f ca="1">IF(OR(E19="",F19="",ISERROR(AE19)),0,(100000000*MATCH(E19,INDIRECT($AI$1),0)+IF(AE19=1,(16-IF(AO19="M",MATCH(G19,Setup!$K$9:$K$23,0),MATCH(G19,Setup!$M$9:$M$23)))*1000000,0)+IF(AB19&gt;0,IF(AE19=1,RANK(AB19,AB:AB,-1)*1000+AX19,IF(AE19=2,AC19,AD19)),0)))</f>
        <v>3508057023</v>
      </c>
      <c r="AZ19" s="42"/>
      <c r="BA19" s="42"/>
      <c r="BB19" s="42"/>
      <c r="BC19" s="42"/>
      <c r="BD19" s="42"/>
      <c r="BE19" s="42"/>
      <c r="BF19" s="42"/>
      <c r="BG19" s="42"/>
      <c r="BH19" s="96"/>
      <c r="BI19" s="96"/>
      <c r="BJ19" s="96"/>
      <c r="BK19" s="96"/>
      <c r="BL19" s="96"/>
      <c r="BM19" s="96"/>
      <c r="BN19" s="33"/>
      <c r="CJ19" s="31">
        <v>0</v>
      </c>
      <c r="CK19" s="31">
        <v>1</v>
      </c>
      <c r="CL19" s="31">
        <v>1</v>
      </c>
      <c r="CM19" s="31">
        <v>-1</v>
      </c>
      <c r="CN19" s="31">
        <v>0</v>
      </c>
      <c r="CO19" s="31">
        <v>0</v>
      </c>
      <c r="CP19" s="31">
        <v>0</v>
      </c>
      <c r="CQ19" s="31">
        <v>1</v>
      </c>
      <c r="CR19" s="31">
        <v>-1</v>
      </c>
      <c r="CS19" s="31">
        <v>1</v>
      </c>
      <c r="CT19" s="31">
        <v>0</v>
      </c>
      <c r="CU19" s="31">
        <v>0</v>
      </c>
      <c r="CV19" s="31">
        <v>0</v>
      </c>
      <c r="CW19" s="31">
        <v>1</v>
      </c>
      <c r="CX19" s="31">
        <v>1</v>
      </c>
      <c r="CY19" s="31">
        <v>1</v>
      </c>
      <c r="CZ19" s="31">
        <v>0</v>
      </c>
    </row>
    <row r="20" spans="1:104" s="31" customFormat="1" x14ac:dyDescent="0.2">
      <c r="A20" s="31">
        <f t="shared" si="23"/>
        <v>330</v>
      </c>
      <c r="B20" s="19" t="s">
        <v>35</v>
      </c>
      <c r="C20" s="219" t="s">
        <v>562</v>
      </c>
      <c r="D20" s="19">
        <v>22</v>
      </c>
      <c r="E20" s="19" t="s">
        <v>251</v>
      </c>
      <c r="F20" s="19">
        <v>272</v>
      </c>
      <c r="G20" s="42">
        <f>IF(OR(E20="",F20=""),"",IF(LEFT(E20,1)="M",VLOOKUP(F20,Setup!$J$9:$K$23,2,TRUE),VLOOKUP(F20,Setup!$L$9:$M$23,2,TRUE)))</f>
        <v>275</v>
      </c>
      <c r="H20" s="42">
        <f>IF(F20="",0,VLOOKUP(AL20,DATA!$L$2:$N$1910,IF(LEFT(E20,1)="F",3,2)))</f>
        <v>0.54730000000000001</v>
      </c>
      <c r="I20" s="19"/>
      <c r="J20" s="19" t="s">
        <v>502</v>
      </c>
      <c r="K20" s="233">
        <v>365</v>
      </c>
      <c r="L20" s="133">
        <v>-385</v>
      </c>
      <c r="M20" s="133">
        <v>-385</v>
      </c>
      <c r="N20" s="133"/>
      <c r="O20" s="134">
        <f t="shared" si="24"/>
        <v>365</v>
      </c>
      <c r="P20" s="224"/>
      <c r="Q20" s="233">
        <v>240</v>
      </c>
      <c r="R20" s="133">
        <v>-252.5</v>
      </c>
      <c r="S20" s="233">
        <v>260</v>
      </c>
      <c r="T20" s="133"/>
      <c r="U20" s="134">
        <f t="shared" si="25"/>
        <v>260</v>
      </c>
      <c r="V20" s="135">
        <f t="shared" si="26"/>
        <v>625</v>
      </c>
      <c r="W20" s="133">
        <v>-305</v>
      </c>
      <c r="X20" s="233">
        <v>322.5</v>
      </c>
      <c r="Y20" s="233">
        <v>330</v>
      </c>
      <c r="Z20" s="133"/>
      <c r="AA20" s="134">
        <f t="shared" si="27"/>
        <v>330</v>
      </c>
      <c r="AB20" s="135">
        <f t="shared" si="28"/>
        <v>955</v>
      </c>
      <c r="AC20" s="136">
        <f t="shared" si="29"/>
        <v>522.67150000000004</v>
      </c>
      <c r="AD20" s="136">
        <f>IF(OR(AB20=0,D20="",AND(D20&lt;40,D20&gt;22)),0,VLOOKUP($D20,DATA!$A$2:$B$53,2,TRUE)*AC20)</f>
        <v>527.89821500000005</v>
      </c>
      <c r="AE20" s="197">
        <f ca="1">IF(E20="","",OFFSET(Setup!$Q$1,MATCH(E20,Setup!O:O,0)-1,0))</f>
        <v>1</v>
      </c>
      <c r="AF20" s="134" t="str">
        <f t="shared" ca="1" si="30"/>
        <v>1-M-O-275</v>
      </c>
      <c r="AG20" s="42">
        <f ca="1">IF(OR(AB20=0),0,VLOOKUP(AV20,Setup!$S$6:$T$15,2,TRUE))</f>
        <v>7</v>
      </c>
      <c r="AH20" s="137"/>
      <c r="AI20" s="132" t="s">
        <v>216</v>
      </c>
      <c r="AJ20" s="124">
        <f t="shared" si="31"/>
        <v>1</v>
      </c>
      <c r="AK20" s="42">
        <f t="shared" si="32"/>
        <v>0</v>
      </c>
      <c r="AL20" s="29">
        <f t="shared" si="33"/>
        <v>123.4</v>
      </c>
      <c r="AM20" s="29">
        <f t="shared" si="34"/>
        <v>955</v>
      </c>
      <c r="AN20" s="29">
        <f t="shared" si="35"/>
        <v>590</v>
      </c>
      <c r="AO20" s="41" t="str">
        <f t="shared" si="36"/>
        <v>M</v>
      </c>
      <c r="AP20" s="41"/>
      <c r="AQ20" s="31">
        <f t="shared" si="37"/>
        <v>1</v>
      </c>
      <c r="AR20" s="217">
        <f t="shared" ca="1" si="38"/>
        <v>3806064004</v>
      </c>
      <c r="AS20" s="41">
        <f t="shared" ca="1" si="39"/>
        <v>17</v>
      </c>
      <c r="AT20" s="177">
        <f t="shared" ca="1" si="40"/>
        <v>3806</v>
      </c>
      <c r="AU20" s="115">
        <f t="shared" ca="1" si="41"/>
        <v>17</v>
      </c>
      <c r="AV20" s="198">
        <f t="shared" ca="1" si="42"/>
        <v>1</v>
      </c>
      <c r="AW20" s="181">
        <f t="shared" si="43"/>
        <v>272</v>
      </c>
      <c r="AX20" s="29">
        <f t="shared" si="44"/>
        <v>4</v>
      </c>
      <c r="AY20" s="217">
        <f ca="1">IF(OR(E20="",F20="",ISERROR(AE20)),0,(100000000*MATCH(E20,INDIRECT($AI$1),0)+IF(AE20=1,(16-IF(AO20="M",MATCH(G20,Setup!$K$9:$K$23,0),MATCH(G20,Setup!$M$9:$M$23)))*1000000,0)+IF(AB20&gt;0,IF(AE20=1,RANK(AB20,AB:AB,-1)*1000+AX20,IF(AE20=2,AC20,AD20)),0)))</f>
        <v>3806064004</v>
      </c>
      <c r="AZ20" s="42"/>
      <c r="BA20" s="42"/>
      <c r="BB20" s="42"/>
      <c r="BC20" s="42"/>
      <c r="BD20" s="42"/>
      <c r="BE20" s="42"/>
      <c r="BF20" s="42"/>
      <c r="BG20" s="42"/>
      <c r="BH20" s="96"/>
      <c r="BI20" s="96"/>
      <c r="BJ20" s="96"/>
      <c r="BK20" s="96"/>
      <c r="BL20" s="96"/>
      <c r="BM20" s="96"/>
      <c r="BN20" s="33"/>
      <c r="CJ20" s="31">
        <v>0</v>
      </c>
      <c r="CK20" s="31">
        <v>1</v>
      </c>
      <c r="CL20" s="31">
        <v>-1</v>
      </c>
      <c r="CM20" s="31">
        <v>-1</v>
      </c>
      <c r="CN20" s="31">
        <v>0</v>
      </c>
      <c r="CO20" s="31">
        <v>0</v>
      </c>
      <c r="CP20" s="31">
        <v>0</v>
      </c>
      <c r="CQ20" s="31">
        <v>1</v>
      </c>
      <c r="CR20" s="31">
        <v>-1</v>
      </c>
      <c r="CS20" s="31">
        <v>1</v>
      </c>
      <c r="CT20" s="31">
        <v>0</v>
      </c>
      <c r="CU20" s="31">
        <v>0</v>
      </c>
      <c r="CV20" s="31">
        <v>0</v>
      </c>
      <c r="CW20" s="31">
        <v>-1</v>
      </c>
      <c r="CX20" s="31">
        <v>1</v>
      </c>
      <c r="CY20" s="31">
        <v>1</v>
      </c>
      <c r="CZ20" s="31">
        <v>0</v>
      </c>
    </row>
    <row r="21" spans="1:104" s="31" customFormat="1" x14ac:dyDescent="0.2">
      <c r="A21" s="31">
        <f t="shared" si="23"/>
        <v>340</v>
      </c>
      <c r="B21" s="19" t="s">
        <v>35</v>
      </c>
      <c r="C21" s="219" t="s">
        <v>561</v>
      </c>
      <c r="D21" s="19">
        <v>21</v>
      </c>
      <c r="E21" s="19" t="s">
        <v>212</v>
      </c>
      <c r="F21" s="19">
        <v>210.5</v>
      </c>
      <c r="G21" s="42">
        <f>IF(OR(E21="",F21=""),"",IF(LEFT(E21,1)="M",VLOOKUP(F21,Setup!$J$9:$K$23,2,TRUE),VLOOKUP(F21,Setup!$L$9:$M$23,2,TRUE)))</f>
        <v>220</v>
      </c>
      <c r="H21" s="42">
        <f>IF(F21="",0,VLOOKUP(AL21,DATA!$L$2:$N$1910,IF(LEFT(E21,1)="F",3,2)))</f>
        <v>0.59345000000000003</v>
      </c>
      <c r="I21" s="19"/>
      <c r="J21" s="19" t="s">
        <v>573</v>
      </c>
      <c r="K21" s="233">
        <v>335</v>
      </c>
      <c r="L21" s="233">
        <v>355</v>
      </c>
      <c r="M21" s="233">
        <v>367.5</v>
      </c>
      <c r="N21" s="133"/>
      <c r="O21" s="134">
        <f t="shared" si="24"/>
        <v>367.5</v>
      </c>
      <c r="P21" s="224"/>
      <c r="Q21" s="233">
        <v>227.5</v>
      </c>
      <c r="R21" s="133">
        <v>-242.5</v>
      </c>
      <c r="S21" s="233">
        <v>250</v>
      </c>
      <c r="T21" s="133"/>
      <c r="U21" s="134">
        <f t="shared" si="25"/>
        <v>250</v>
      </c>
      <c r="V21" s="135">
        <f t="shared" si="26"/>
        <v>617.5</v>
      </c>
      <c r="W21" s="233">
        <v>320</v>
      </c>
      <c r="X21" s="133">
        <v>-340</v>
      </c>
      <c r="Y21" s="133">
        <v>-340</v>
      </c>
      <c r="Z21" s="133"/>
      <c r="AA21" s="134">
        <f t="shared" si="27"/>
        <v>320</v>
      </c>
      <c r="AB21" s="135">
        <f t="shared" si="28"/>
        <v>937.5</v>
      </c>
      <c r="AC21" s="136">
        <f t="shared" si="29"/>
        <v>556.359375</v>
      </c>
      <c r="AD21" s="136">
        <f>IF(OR(AB21=0,D21="",AND(D21&lt;40,D21&gt;22)),0,VLOOKUP($D21,DATA!$A$2:$B$53,2,TRUE)*AC21)</f>
        <v>567.48656249999999</v>
      </c>
      <c r="AE21" s="197">
        <f ca="1">IF(E21="","",OFFSET(Setup!$Q$1,MATCH(E21,Setup!O:O,0)-1,0))</f>
        <v>1</v>
      </c>
      <c r="AF21" s="134" t="str">
        <f t="shared" ca="1" si="30"/>
        <v>1-M-J-220</v>
      </c>
      <c r="AG21" s="42">
        <f ca="1">IF(OR(AB21=0),0,VLOOKUP(AV21,Setup!$S$6:$T$15,2,TRUE))</f>
        <v>7</v>
      </c>
      <c r="AH21" s="137"/>
      <c r="AI21" s="132" t="s">
        <v>216</v>
      </c>
      <c r="AJ21" s="124">
        <f t="shared" si="31"/>
        <v>1</v>
      </c>
      <c r="AK21" s="42">
        <f t="shared" si="32"/>
        <v>0</v>
      </c>
      <c r="AL21" s="29">
        <f t="shared" si="33"/>
        <v>95.5</v>
      </c>
      <c r="AM21" s="29">
        <f t="shared" si="34"/>
        <v>937.5</v>
      </c>
      <c r="AN21" s="29">
        <f t="shared" si="35"/>
        <v>570</v>
      </c>
      <c r="AO21" s="41" t="str">
        <f t="shared" si="36"/>
        <v>M</v>
      </c>
      <c r="AP21" s="41"/>
      <c r="AQ21" s="31">
        <f t="shared" si="37"/>
        <v>1</v>
      </c>
      <c r="AR21" s="217">
        <f t="shared" ca="1" si="38"/>
        <v>3708063022</v>
      </c>
      <c r="AS21" s="41">
        <f t="shared" ca="1" si="39"/>
        <v>19</v>
      </c>
      <c r="AT21" s="177">
        <f t="shared" ca="1" si="40"/>
        <v>3708</v>
      </c>
      <c r="AU21" s="115">
        <f t="shared" ca="1" si="41"/>
        <v>19</v>
      </c>
      <c r="AV21" s="198">
        <f t="shared" ca="1" si="42"/>
        <v>1</v>
      </c>
      <c r="AW21" s="181">
        <f t="shared" si="43"/>
        <v>210.5</v>
      </c>
      <c r="AX21" s="29">
        <f t="shared" si="44"/>
        <v>22</v>
      </c>
      <c r="AY21" s="217">
        <f ca="1">IF(OR(E21="",F21="",ISERROR(AE21)),0,(100000000*MATCH(E21,INDIRECT($AI$1),0)+IF(AE21=1,(16-IF(AO21="M",MATCH(G21,Setup!$K$9:$K$23,0),MATCH(G21,Setup!$M$9:$M$23)))*1000000,0)+IF(AB21&gt;0,IF(AE21=1,RANK(AB21,AB:AB,-1)*1000+AX21,IF(AE21=2,AC21,AD21)),0)))</f>
        <v>3708063022</v>
      </c>
      <c r="AZ21" s="42"/>
      <c r="BA21" s="42"/>
      <c r="BB21" s="42"/>
      <c r="BC21" s="42"/>
      <c r="BD21" s="42"/>
      <c r="BE21" s="42"/>
      <c r="BF21" s="42"/>
      <c r="BG21" s="42"/>
      <c r="BH21" s="96"/>
      <c r="BI21" s="96"/>
      <c r="BJ21" s="96"/>
      <c r="BK21" s="96"/>
      <c r="BL21" s="96"/>
      <c r="BM21" s="96"/>
      <c r="BN21" s="33"/>
      <c r="CJ21" s="31">
        <v>0</v>
      </c>
      <c r="CK21" s="31">
        <v>1</v>
      </c>
      <c r="CL21" s="31">
        <v>1</v>
      </c>
      <c r="CM21" s="31">
        <v>1</v>
      </c>
      <c r="CN21" s="31">
        <v>0</v>
      </c>
      <c r="CO21" s="31">
        <v>0</v>
      </c>
      <c r="CP21" s="31">
        <v>0</v>
      </c>
      <c r="CQ21" s="31">
        <v>1</v>
      </c>
      <c r="CR21" s="31">
        <v>-1</v>
      </c>
      <c r="CS21" s="31">
        <v>1</v>
      </c>
      <c r="CT21" s="31">
        <v>0</v>
      </c>
      <c r="CU21" s="31">
        <v>0</v>
      </c>
      <c r="CV21" s="31">
        <v>0</v>
      </c>
      <c r="CW21" s="31">
        <v>1</v>
      </c>
      <c r="CX21" s="31">
        <v>-1</v>
      </c>
      <c r="CY21" s="31">
        <v>-1</v>
      </c>
      <c r="CZ21" s="31">
        <v>0</v>
      </c>
    </row>
    <row r="22" spans="1:104" s="31" customFormat="1" x14ac:dyDescent="0.2">
      <c r="A22" s="31" t="str">
        <f t="shared" si="23"/>
        <v/>
      </c>
      <c r="B22" s="19" t="s">
        <v>35</v>
      </c>
      <c r="C22" s="219" t="s">
        <v>564</v>
      </c>
      <c r="D22" s="19">
        <v>72</v>
      </c>
      <c r="E22" s="19" t="s">
        <v>256</v>
      </c>
      <c r="F22" s="19">
        <v>211.5</v>
      </c>
      <c r="G22" s="42">
        <f>IF(OR(E22="",F22=""),"",IF(LEFT(E22,1)="M",VLOOKUP(F22,Setup!$J$9:$K$23,2,TRUE),VLOOKUP(F22,Setup!$L$9:$M$23,2,TRUE)))</f>
        <v>220</v>
      </c>
      <c r="H22" s="42">
        <f>IF(F22="",0,VLOOKUP(AL22,DATA!$L$2:$N$1910,IF(LEFT(E22,1)="F",3,2)))</f>
        <v>0.59375</v>
      </c>
      <c r="I22" s="19"/>
      <c r="J22" s="19"/>
      <c r="K22" s="133"/>
      <c r="L22" s="133"/>
      <c r="M22" s="133"/>
      <c r="N22" s="133"/>
      <c r="O22" s="134">
        <f t="shared" si="24"/>
        <v>0</v>
      </c>
      <c r="P22" s="224"/>
      <c r="Q22" s="233">
        <v>145</v>
      </c>
      <c r="R22" s="233">
        <v>155</v>
      </c>
      <c r="S22" s="133">
        <v>-160</v>
      </c>
      <c r="T22" s="133"/>
      <c r="U22" s="134">
        <f t="shared" si="25"/>
        <v>155</v>
      </c>
      <c r="V22" s="135">
        <f t="shared" si="26"/>
        <v>0</v>
      </c>
      <c r="W22" s="133"/>
      <c r="X22" s="133"/>
      <c r="Y22" s="133"/>
      <c r="Z22" s="133"/>
      <c r="AA22" s="134">
        <f t="shared" si="27"/>
        <v>0</v>
      </c>
      <c r="AB22" s="135">
        <f t="shared" si="28"/>
        <v>0</v>
      </c>
      <c r="AC22" s="136">
        <f t="shared" si="29"/>
        <v>0</v>
      </c>
      <c r="AD22" s="136">
        <f>IF(OR(AB22=0,D22="",AND(D22&lt;40,D22&gt;22)),0,VLOOKUP($D22,DATA!$A$2:$B$53,2,TRUE)*AC22)</f>
        <v>0</v>
      </c>
      <c r="AE22" s="197">
        <f ca="1">IF(E22="","",OFFSET(Setup!$Q$1,MATCH(E22,Setup!O:O,0)-1,0))</f>
        <v>1</v>
      </c>
      <c r="AF22" s="134">
        <f t="shared" ca="1" si="30"/>
        <v>0</v>
      </c>
      <c r="AG22" s="42">
        <f>IF(OR(AB22=0),0,VLOOKUP(AV22,Setup!$S$6:$T$15,2,TRUE))</f>
        <v>0</v>
      </c>
      <c r="AH22" s="137"/>
      <c r="AI22" s="132" t="s">
        <v>339</v>
      </c>
      <c r="AJ22" s="124">
        <f t="shared" si="31"/>
        <v>0</v>
      </c>
      <c r="AK22" s="42">
        <f t="shared" si="32"/>
        <v>0</v>
      </c>
      <c r="AL22" s="29">
        <f t="shared" si="33"/>
        <v>95.9</v>
      </c>
      <c r="AM22" s="29">
        <f t="shared" si="34"/>
        <v>0</v>
      </c>
      <c r="AN22" s="29">
        <f t="shared" si="35"/>
        <v>0</v>
      </c>
      <c r="AO22" s="41" t="str">
        <f t="shared" si="36"/>
        <v>M</v>
      </c>
      <c r="AP22" s="41"/>
      <c r="AQ22" s="31">
        <f t="shared" si="37"/>
        <v>0</v>
      </c>
      <c r="AR22" s="217">
        <f t="shared" ca="1" si="38"/>
        <v>4608000000</v>
      </c>
      <c r="AS22" s="41">
        <f t="shared" ca="1" si="39"/>
        <v>10</v>
      </c>
      <c r="AT22" s="177">
        <f t="shared" ca="1" si="40"/>
        <v>4608</v>
      </c>
      <c r="AU22" s="115">
        <f t="shared" ca="1" si="41"/>
        <v>10</v>
      </c>
      <c r="AV22" s="198">
        <f t="shared" ca="1" si="42"/>
        <v>1</v>
      </c>
      <c r="AW22" s="181">
        <f t="shared" si="43"/>
        <v>211.5</v>
      </c>
      <c r="AX22" s="29">
        <f t="shared" si="44"/>
        <v>20</v>
      </c>
      <c r="AY22" s="217">
        <f ca="1">IF(OR(E22="",F22="",ISERROR(AE22)),0,(100000000*MATCH(E22,INDIRECT($AI$1),0)+IF(AE22=1,(16-IF(AO22="M",MATCH(G22,Setup!$K$9:$K$23,0),MATCH(G22,Setup!$M$9:$M$23)))*1000000,0)+IF(AB22&gt;0,IF(AE22=1,RANK(AB22,AB:AB,-1)*1000+AX22,IF(AE22=2,AC22,AD22)),0)))</f>
        <v>4608000000</v>
      </c>
      <c r="AZ22" s="42"/>
      <c r="BA22" s="42"/>
      <c r="BB22" s="42"/>
      <c r="BC22" s="42"/>
      <c r="BD22" s="42"/>
      <c r="BE22" s="42"/>
      <c r="BF22" s="42"/>
      <c r="BG22" s="42"/>
      <c r="BH22" s="96"/>
      <c r="BI22" s="96"/>
      <c r="BJ22" s="96"/>
      <c r="BK22" s="96"/>
      <c r="BL22" s="96"/>
      <c r="BM22" s="96"/>
      <c r="BN22" s="33"/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Q22" s="31">
        <v>1</v>
      </c>
      <c r="CR22" s="31">
        <v>1</v>
      </c>
      <c r="CS22" s="31">
        <v>-1</v>
      </c>
      <c r="CT22" s="31">
        <v>0</v>
      </c>
      <c r="CU22" s="31">
        <v>0</v>
      </c>
      <c r="CV22" s="31">
        <v>0</v>
      </c>
      <c r="CW22" s="31">
        <v>0</v>
      </c>
      <c r="CX22" s="31">
        <v>0</v>
      </c>
      <c r="CY22" s="31">
        <v>0</v>
      </c>
      <c r="CZ22" s="31">
        <v>0</v>
      </c>
    </row>
    <row r="23" spans="1:104" s="31" customFormat="1" x14ac:dyDescent="0.2">
      <c r="A23" s="31" t="str">
        <f t="shared" si="23"/>
        <v/>
      </c>
      <c r="B23" s="19" t="s">
        <v>35</v>
      </c>
      <c r="C23" s="219" t="s">
        <v>563</v>
      </c>
      <c r="D23" s="19">
        <v>28</v>
      </c>
      <c r="E23" s="19" t="s">
        <v>251</v>
      </c>
      <c r="F23" s="19">
        <v>212.8</v>
      </c>
      <c r="G23" s="42">
        <f>IF(OR(E23="",F23=""),"",IF(LEFT(E23,1)="M",VLOOKUP(F23,Setup!$J$9:$K$23,2,TRUE),VLOOKUP(F23,Setup!$L$9:$M$23,2,TRUE)))</f>
        <v>220</v>
      </c>
      <c r="H23" s="42">
        <f>IF(F23="",0,VLOOKUP(AL23,DATA!$L$2:$N$1910,IF(LEFT(E23,1)="F",3,2)))</f>
        <v>0.59050000000000002</v>
      </c>
      <c r="I23" s="19"/>
      <c r="J23" s="19"/>
      <c r="K23" s="133"/>
      <c r="L23" s="133"/>
      <c r="M23" s="133"/>
      <c r="N23" s="133"/>
      <c r="O23" s="134">
        <f t="shared" si="24"/>
        <v>0</v>
      </c>
      <c r="P23" s="224"/>
      <c r="Q23" s="233">
        <v>220</v>
      </c>
      <c r="R23" s="133">
        <v>-227.5</v>
      </c>
      <c r="S23" s="233">
        <v>245</v>
      </c>
      <c r="T23" s="133"/>
      <c r="U23" s="134">
        <f t="shared" si="25"/>
        <v>245</v>
      </c>
      <c r="V23" s="135">
        <f t="shared" si="26"/>
        <v>0</v>
      </c>
      <c r="W23" s="133"/>
      <c r="X23" s="133"/>
      <c r="Y23" s="133"/>
      <c r="Z23" s="133"/>
      <c r="AA23" s="134">
        <f t="shared" si="27"/>
        <v>0</v>
      </c>
      <c r="AB23" s="135">
        <f t="shared" si="28"/>
        <v>0</v>
      </c>
      <c r="AC23" s="136">
        <f t="shared" si="29"/>
        <v>0</v>
      </c>
      <c r="AD23" s="136">
        <f>IF(OR(AB23=0,D23="",AND(D23&lt;40,D23&gt;22)),0,VLOOKUP($D23,DATA!$A$2:$B$53,2,TRUE)*AC23)</f>
        <v>0</v>
      </c>
      <c r="AE23" s="197">
        <f ca="1">IF(E23="","",OFFSET(Setup!$Q$1,MATCH(E23,Setup!O:O,0)-1,0))</f>
        <v>1</v>
      </c>
      <c r="AF23" s="134">
        <f t="shared" ca="1" si="30"/>
        <v>0</v>
      </c>
      <c r="AG23" s="42">
        <f>IF(OR(AB23=0),0,VLOOKUP(AV23,Setup!$S$6:$T$15,2,TRUE))</f>
        <v>0</v>
      </c>
      <c r="AH23" s="137"/>
      <c r="AI23" s="132" t="s">
        <v>339</v>
      </c>
      <c r="AJ23" s="124">
        <f t="shared" si="31"/>
        <v>0</v>
      </c>
      <c r="AK23" s="42">
        <f t="shared" si="32"/>
        <v>0</v>
      </c>
      <c r="AL23" s="29">
        <f t="shared" si="33"/>
        <v>96.5</v>
      </c>
      <c r="AM23" s="29">
        <f t="shared" si="34"/>
        <v>0</v>
      </c>
      <c r="AN23" s="29">
        <f t="shared" si="35"/>
        <v>0</v>
      </c>
      <c r="AO23" s="41" t="str">
        <f t="shared" si="36"/>
        <v>M</v>
      </c>
      <c r="AP23" s="41"/>
      <c r="AQ23" s="31">
        <f t="shared" si="37"/>
        <v>0</v>
      </c>
      <c r="AR23" s="217">
        <f t="shared" ca="1" si="38"/>
        <v>3808000000</v>
      </c>
      <c r="AS23" s="41">
        <f t="shared" ca="1" si="39"/>
        <v>15</v>
      </c>
      <c r="AT23" s="177">
        <f t="shared" ca="1" si="40"/>
        <v>3808</v>
      </c>
      <c r="AU23" s="115">
        <f t="shared" ca="1" si="41"/>
        <v>14</v>
      </c>
      <c r="AV23" s="198">
        <f t="shared" ca="1" si="42"/>
        <v>2</v>
      </c>
      <c r="AW23" s="181">
        <f t="shared" si="43"/>
        <v>212.8</v>
      </c>
      <c r="AX23" s="29">
        <f t="shared" si="44"/>
        <v>18</v>
      </c>
      <c r="AY23" s="217">
        <f ca="1">IF(OR(E23="",F23="",ISERROR(AE23)),0,(100000000*MATCH(E23,INDIRECT($AI$1),0)+IF(AE23=1,(16-IF(AO23="M",MATCH(G23,Setup!$K$9:$K$23,0),MATCH(G23,Setup!$M$9:$M$23)))*1000000,0)+IF(AB23&gt;0,IF(AE23=1,RANK(AB23,AB:AB,-1)*1000+AX23,IF(AE23=2,AC23,AD23)),0)))</f>
        <v>3808000000</v>
      </c>
      <c r="AZ23" s="42"/>
      <c r="BA23" s="42"/>
      <c r="BB23" s="42"/>
      <c r="BC23" s="42"/>
      <c r="BD23" s="42"/>
      <c r="BE23" s="42"/>
      <c r="BF23" s="42"/>
      <c r="BG23" s="42"/>
      <c r="BH23" s="96"/>
      <c r="BI23" s="96"/>
      <c r="BJ23" s="96"/>
      <c r="BK23" s="96"/>
      <c r="BL23" s="96"/>
      <c r="BM23" s="96"/>
      <c r="BN23" s="33"/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1</v>
      </c>
      <c r="CR23" s="31">
        <v>-1</v>
      </c>
      <c r="CS23" s="31">
        <v>1</v>
      </c>
      <c r="CT23" s="31">
        <v>0</v>
      </c>
      <c r="CU23" s="31">
        <v>0</v>
      </c>
      <c r="CV23" s="31">
        <v>0</v>
      </c>
      <c r="CW23" s="31">
        <v>0</v>
      </c>
      <c r="CX23" s="31">
        <v>0</v>
      </c>
      <c r="CY23" s="31">
        <v>0</v>
      </c>
      <c r="CZ23" s="31">
        <v>0</v>
      </c>
    </row>
    <row r="24" spans="1:104" s="31" customFormat="1" x14ac:dyDescent="0.2">
      <c r="A24" s="31" t="str">
        <f t="shared" si="23"/>
        <v/>
      </c>
      <c r="B24" s="19" t="s">
        <v>35</v>
      </c>
      <c r="C24" s="219" t="s">
        <v>566</v>
      </c>
      <c r="D24" s="19">
        <v>27</v>
      </c>
      <c r="E24" s="19" t="s">
        <v>251</v>
      </c>
      <c r="F24" s="19">
        <v>301.2</v>
      </c>
      <c r="G24" s="42">
        <f>IF(OR(E24="",F24=""),"",IF(LEFT(E24,1)="M",VLOOKUP(F24,Setup!$J$9:$K$23,2,TRUE),VLOOKUP(F24,Setup!$L$9:$M$23,2,TRUE)))</f>
        <v>308</v>
      </c>
      <c r="H24" s="42">
        <f>IF(F24="",0,VLOOKUP(AL24,DATA!$L$2:$N$1910,IF(LEFT(E24,1)="F",3,2)))</f>
        <v>0.53400000000000003</v>
      </c>
      <c r="I24" s="19"/>
      <c r="J24" s="19"/>
      <c r="K24" s="133"/>
      <c r="L24" s="133"/>
      <c r="M24" s="133"/>
      <c r="N24" s="133"/>
      <c r="O24" s="134">
        <f t="shared" si="24"/>
        <v>0</v>
      </c>
      <c r="P24" s="224"/>
      <c r="Q24" s="133">
        <v>-227.5</v>
      </c>
      <c r="R24" s="233">
        <v>227.5</v>
      </c>
      <c r="S24" s="133">
        <v>-245</v>
      </c>
      <c r="T24" s="133"/>
      <c r="U24" s="134">
        <f t="shared" si="25"/>
        <v>227.5</v>
      </c>
      <c r="V24" s="135">
        <f t="shared" si="26"/>
        <v>0</v>
      </c>
      <c r="W24" s="133"/>
      <c r="X24" s="133"/>
      <c r="Y24" s="133"/>
      <c r="Z24" s="133"/>
      <c r="AA24" s="134">
        <f t="shared" si="27"/>
        <v>0</v>
      </c>
      <c r="AB24" s="135">
        <f t="shared" si="28"/>
        <v>0</v>
      </c>
      <c r="AC24" s="136">
        <f t="shared" si="29"/>
        <v>0</v>
      </c>
      <c r="AD24" s="136">
        <f>IF(OR(AB24=0,D24="",AND(D24&lt;40,D24&gt;22)),0,VLOOKUP($D24,DATA!$A$2:$B$53,2,TRUE)*AC24)</f>
        <v>0</v>
      </c>
      <c r="AE24" s="197">
        <f ca="1">IF(E24="","",OFFSET(Setup!$Q$1,MATCH(E24,Setup!O:O,0)-1,0))</f>
        <v>1</v>
      </c>
      <c r="AF24" s="134">
        <f t="shared" ca="1" si="30"/>
        <v>0</v>
      </c>
      <c r="AG24" s="42">
        <f>IF(OR(AB24=0),0,VLOOKUP(AV24,Setup!$S$6:$T$15,2,TRUE))</f>
        <v>0</v>
      </c>
      <c r="AH24" s="137"/>
      <c r="AI24" s="132" t="s">
        <v>339</v>
      </c>
      <c r="AJ24" s="124">
        <f t="shared" si="31"/>
        <v>0</v>
      </c>
      <c r="AK24" s="42">
        <f t="shared" si="32"/>
        <v>0</v>
      </c>
      <c r="AL24" s="29">
        <f t="shared" si="33"/>
        <v>136.6</v>
      </c>
      <c r="AM24" s="29">
        <f t="shared" si="34"/>
        <v>0</v>
      </c>
      <c r="AN24" s="29">
        <f t="shared" si="35"/>
        <v>0</v>
      </c>
      <c r="AO24" s="41" t="str">
        <f t="shared" si="36"/>
        <v>M</v>
      </c>
      <c r="AP24" s="41"/>
      <c r="AQ24" s="31">
        <f t="shared" si="37"/>
        <v>0</v>
      </c>
      <c r="AR24" s="217">
        <f t="shared" ca="1" si="38"/>
        <v>3805000000</v>
      </c>
      <c r="AS24" s="41">
        <f t="shared" ca="1" si="39"/>
        <v>18</v>
      </c>
      <c r="AT24" s="177">
        <f t="shared" ca="1" si="40"/>
        <v>3805</v>
      </c>
      <c r="AU24" s="115">
        <f t="shared" ca="1" si="41"/>
        <v>18</v>
      </c>
      <c r="AV24" s="198">
        <f t="shared" ca="1" si="42"/>
        <v>1</v>
      </c>
      <c r="AW24" s="181">
        <f t="shared" si="43"/>
        <v>301.2</v>
      </c>
      <c r="AX24" s="29">
        <f t="shared" si="44"/>
        <v>1</v>
      </c>
      <c r="AY24" s="217">
        <f ca="1">IF(OR(E24="",F24="",ISERROR(AE24)),0,(100000000*MATCH(E24,INDIRECT($AI$1),0)+IF(AE24=1,(16-IF(AO24="M",MATCH(G24,Setup!$K$9:$K$23,0),MATCH(G24,Setup!$M$9:$M$23)))*1000000,0)+IF(AB24&gt;0,IF(AE24=1,RANK(AB24,AB:AB,-1)*1000+AX24,IF(AE24=2,AC24,AD24)),0)))</f>
        <v>3805000000</v>
      </c>
      <c r="AZ24" s="42"/>
      <c r="BA24" s="42"/>
      <c r="BB24" s="42"/>
      <c r="BC24" s="42"/>
      <c r="BD24" s="42"/>
      <c r="BE24" s="42"/>
      <c r="BF24" s="42"/>
      <c r="BG24" s="42"/>
      <c r="BH24" s="96"/>
      <c r="BI24" s="96"/>
      <c r="BJ24" s="96"/>
      <c r="BK24" s="96"/>
      <c r="BL24" s="96"/>
      <c r="BM24" s="96"/>
      <c r="BN24" s="33"/>
      <c r="CJ24" s="31">
        <v>0</v>
      </c>
      <c r="CK24" s="31">
        <v>0</v>
      </c>
      <c r="CL24" s="31">
        <v>0</v>
      </c>
      <c r="CM24" s="31">
        <v>0</v>
      </c>
      <c r="CN24" s="31">
        <v>0</v>
      </c>
      <c r="CO24" s="31">
        <v>0</v>
      </c>
      <c r="CP24" s="31">
        <v>0</v>
      </c>
      <c r="CQ24" s="31">
        <v>-1</v>
      </c>
      <c r="CR24" s="31">
        <v>1</v>
      </c>
      <c r="CS24" s="31">
        <v>-1</v>
      </c>
      <c r="CT24" s="31">
        <v>0</v>
      </c>
      <c r="CU24" s="31">
        <v>0</v>
      </c>
      <c r="CV24" s="31">
        <v>0</v>
      </c>
      <c r="CW24" s="31">
        <v>0</v>
      </c>
      <c r="CX24" s="31">
        <v>0</v>
      </c>
      <c r="CY24" s="31">
        <v>0</v>
      </c>
      <c r="CZ24" s="31">
        <v>0</v>
      </c>
    </row>
    <row r="25" spans="1:104" s="31" customFormat="1" x14ac:dyDescent="0.2">
      <c r="A25" s="31">
        <f t="shared" ref="A25:A72" si="45">IF(W25,ABS(W25+0.0001*I25),"")</f>
        <v>102.5</v>
      </c>
      <c r="B25" s="19" t="s">
        <v>33</v>
      </c>
      <c r="C25" s="219" t="s">
        <v>574</v>
      </c>
      <c r="D25" s="19">
        <v>30</v>
      </c>
      <c r="E25" s="19" t="s">
        <v>471</v>
      </c>
      <c r="F25" s="19">
        <v>159.6</v>
      </c>
      <c r="G25" s="42">
        <f>IF(OR(E25="",F25=""),"",IF(LEFT(E25,1)="M",VLOOKUP(F25,Setup!$J$9:$K$23,2,TRUE),VLOOKUP(F25,Setup!$L$9:$M$23,2,TRUE)))</f>
        <v>165</v>
      </c>
      <c r="H25" s="42">
        <f>IF(F25="",0,VLOOKUP(AL25,DATA!$L$2:$N$1910,IF(LEFT(E25,1)="F",3,2)))</f>
        <v>0.85629999999999995</v>
      </c>
      <c r="I25" s="19"/>
      <c r="J25" s="19" t="s">
        <v>472</v>
      </c>
      <c r="K25" s="234">
        <v>82.5</v>
      </c>
      <c r="L25" s="234">
        <v>97.5</v>
      </c>
      <c r="M25" s="235">
        <v>-102.5</v>
      </c>
      <c r="N25" s="133"/>
      <c r="O25" s="134">
        <f t="shared" si="24"/>
        <v>97.5</v>
      </c>
      <c r="P25" s="224"/>
      <c r="Q25" s="233">
        <v>50</v>
      </c>
      <c r="R25" s="233">
        <v>55</v>
      </c>
      <c r="S25" s="133">
        <v>-60</v>
      </c>
      <c r="T25" s="133"/>
      <c r="U25" s="134">
        <f t="shared" si="25"/>
        <v>55</v>
      </c>
      <c r="V25" s="135">
        <f t="shared" si="26"/>
        <v>152.5</v>
      </c>
      <c r="W25" s="233">
        <v>102.5</v>
      </c>
      <c r="X25" s="233">
        <v>112.5</v>
      </c>
      <c r="Y25" s="233">
        <v>120</v>
      </c>
      <c r="Z25" s="133"/>
      <c r="AA25" s="134">
        <f t="shared" si="27"/>
        <v>120</v>
      </c>
      <c r="AB25" s="135">
        <f t="shared" si="28"/>
        <v>272.5</v>
      </c>
      <c r="AC25" s="136">
        <f t="shared" si="29"/>
        <v>233.34174999999999</v>
      </c>
      <c r="AD25" s="136">
        <f>IF(OR(AB25=0,D25="",AND(D25&lt;40,D25&gt;22)),0,VLOOKUP($D25,DATA!$A$2:$B$53,2,TRUE)*AC25)</f>
        <v>0</v>
      </c>
      <c r="AE25" s="197" t="e">
        <f ca="1">IF(E25="","",OFFSET(Setup!$Q$1,MATCH(E25,Setup!O:O,0)-1,0))</f>
        <v>#N/A</v>
      </c>
      <c r="AF25" s="134">
        <f t="shared" ca="1" si="30"/>
        <v>0</v>
      </c>
      <c r="AG25" s="42">
        <f ca="1">IF(OR(AB25=0),0,VLOOKUP(AV25,Setup!$S$6:$T$15,2,TRUE))</f>
        <v>7</v>
      </c>
      <c r="AH25" s="137"/>
      <c r="AI25" s="132" t="s">
        <v>216</v>
      </c>
      <c r="AJ25" s="124">
        <f t="shared" si="31"/>
        <v>1</v>
      </c>
      <c r="AK25" s="42">
        <f t="shared" si="32"/>
        <v>6</v>
      </c>
      <c r="AL25" s="29">
        <f t="shared" si="33"/>
        <v>72.400000000000006</v>
      </c>
      <c r="AM25" s="29">
        <f t="shared" si="34"/>
        <v>272.5</v>
      </c>
      <c r="AN25" s="29">
        <f t="shared" si="35"/>
        <v>175</v>
      </c>
      <c r="AO25" s="41" t="str">
        <f t="shared" si="36"/>
        <v>F</v>
      </c>
      <c r="AP25" s="41"/>
      <c r="AQ25" s="31">
        <f t="shared" si="37"/>
        <v>1</v>
      </c>
      <c r="AR25" s="217">
        <f t="shared" ca="1" si="38"/>
        <v>0</v>
      </c>
      <c r="AS25" s="41">
        <f t="shared" ca="1" si="39"/>
        <v>50</v>
      </c>
      <c r="AT25" s="177">
        <f t="shared" ca="1" si="40"/>
        <v>0</v>
      </c>
      <c r="AU25" s="115">
        <f t="shared" ca="1" si="41"/>
        <v>50</v>
      </c>
      <c r="AV25" s="198">
        <f t="shared" ca="1" si="42"/>
        <v>1</v>
      </c>
      <c r="AW25" s="181">
        <f t="shared" si="43"/>
        <v>159.6</v>
      </c>
      <c r="AX25" s="29">
        <f t="shared" si="44"/>
        <v>37</v>
      </c>
      <c r="AY25" s="217">
        <f ca="1">IF(OR(E25="",F25="",ISERROR(AE25)),0,(100000000*MATCH(E25,INDIRECT($AI$1),0)+IF(AE25=1,(16-IF(AO25="M",MATCH(G25,Setup!$K$9:$K$23,0),MATCH(G25,Setup!$M$9:$M$23)))*1000000,0)+IF(AB25&gt;0,IF(AE25=1,RANK(AB25,AB:AB,-1)*1000+AX25,IF(AE25=2,AC25,AD25)),0)))</f>
        <v>0</v>
      </c>
      <c r="AZ25" s="42"/>
      <c r="BA25" s="42"/>
      <c r="BB25" s="42"/>
      <c r="BC25" s="42"/>
      <c r="BD25" s="42"/>
      <c r="BE25" s="42"/>
      <c r="BF25" s="42"/>
      <c r="BG25" s="42"/>
      <c r="BH25" s="96"/>
      <c r="BI25" s="96"/>
      <c r="BJ25" s="96"/>
      <c r="BK25" s="96"/>
      <c r="BL25" s="96"/>
      <c r="BM25" s="96"/>
      <c r="BN25" s="33"/>
      <c r="CJ25" s="31">
        <v>0</v>
      </c>
      <c r="CK25" s="31">
        <v>1</v>
      </c>
      <c r="CL25" s="31">
        <v>1</v>
      </c>
      <c r="CM25" s="31">
        <v>-1</v>
      </c>
      <c r="CN25" s="31">
        <v>0</v>
      </c>
      <c r="CO25" s="31">
        <v>0</v>
      </c>
      <c r="CP25" s="31">
        <v>0</v>
      </c>
      <c r="CQ25" s="31">
        <v>1</v>
      </c>
      <c r="CR25" s="31">
        <v>1</v>
      </c>
      <c r="CS25" s="31">
        <v>-1</v>
      </c>
      <c r="CT25" s="31">
        <v>0</v>
      </c>
      <c r="CU25" s="31">
        <v>0</v>
      </c>
      <c r="CV25" s="31">
        <v>0</v>
      </c>
      <c r="CW25" s="31">
        <v>1</v>
      </c>
      <c r="CX25" s="31">
        <v>1</v>
      </c>
      <c r="CY25" s="31">
        <v>1</v>
      </c>
      <c r="CZ25" s="31">
        <v>0</v>
      </c>
    </row>
    <row r="26" spans="1:104" s="31" customFormat="1" x14ac:dyDescent="0.2">
      <c r="A26" s="31">
        <f t="shared" si="45"/>
        <v>115</v>
      </c>
      <c r="B26" s="19" t="s">
        <v>33</v>
      </c>
      <c r="C26" s="219" t="s">
        <v>473</v>
      </c>
      <c r="D26" s="19">
        <v>61</v>
      </c>
      <c r="E26" s="19" t="s">
        <v>474</v>
      </c>
      <c r="F26" s="19">
        <v>223</v>
      </c>
      <c r="G26" s="42" t="str">
        <f>IF(OR(E26="",F26=""),"",IF(LEFT(E26,1)="M",VLOOKUP(F26,Setup!$J$9:$K$23,2,TRUE),VLOOKUP(F26,Setup!$L$9:$M$23,2,TRUE)))</f>
        <v>SHW</v>
      </c>
      <c r="H26" s="42">
        <f>IF(F26="",0,VLOOKUP(AL26,DATA!$L$2:$N$1910,IF(LEFT(E26,1)="F",3,2)))</f>
        <v>0.71235000000000004</v>
      </c>
      <c r="I26" s="19"/>
      <c r="J26" s="19" t="s">
        <v>475</v>
      </c>
      <c r="K26" s="235">
        <v>-100</v>
      </c>
      <c r="L26" s="235">
        <v>-100</v>
      </c>
      <c r="M26" s="234">
        <v>100</v>
      </c>
      <c r="N26" s="133"/>
      <c r="O26" s="134">
        <f t="shared" si="24"/>
        <v>100</v>
      </c>
      <c r="P26" s="224"/>
      <c r="Q26" s="233">
        <v>52.5</v>
      </c>
      <c r="R26" s="233">
        <v>57.5</v>
      </c>
      <c r="S26" s="133">
        <v>-62.5</v>
      </c>
      <c r="T26" s="133"/>
      <c r="U26" s="134">
        <f t="shared" si="25"/>
        <v>57.5</v>
      </c>
      <c r="V26" s="135">
        <f t="shared" si="26"/>
        <v>157.5</v>
      </c>
      <c r="W26" s="233">
        <v>115</v>
      </c>
      <c r="X26" s="233">
        <v>127.5</v>
      </c>
      <c r="Y26" s="233">
        <v>137.5</v>
      </c>
      <c r="Z26" s="133"/>
      <c r="AA26" s="134">
        <f t="shared" si="27"/>
        <v>137.5</v>
      </c>
      <c r="AB26" s="135">
        <f t="shared" si="28"/>
        <v>295</v>
      </c>
      <c r="AC26" s="136">
        <f t="shared" si="29"/>
        <v>210.14325000000002</v>
      </c>
      <c r="AD26" s="136">
        <f>IF(OR(AB26=0,D26="",AND(D26&lt;40,D26&gt;22)),0,VLOOKUP($D26,DATA!$A$2:$B$53,2,TRUE)*AC26)</f>
        <v>287.05567950000005</v>
      </c>
      <c r="AE26" s="197" t="e">
        <f ca="1">IF(E26="","",OFFSET(Setup!$Q$1,MATCH(E26,Setup!O:O,0)-1,0))</f>
        <v>#N/A</v>
      </c>
      <c r="AF26" s="134">
        <f t="shared" ca="1" si="30"/>
        <v>0</v>
      </c>
      <c r="AG26" s="42">
        <f ca="1">IF(OR(AB26=0),0,VLOOKUP(AV26,Setup!$S$6:$T$15,2,TRUE))</f>
        <v>7</v>
      </c>
      <c r="AH26" s="137"/>
      <c r="AI26" s="132" t="s">
        <v>216</v>
      </c>
      <c r="AJ26" s="124">
        <f t="shared" si="31"/>
        <v>1</v>
      </c>
      <c r="AK26" s="42">
        <f t="shared" si="32"/>
        <v>6</v>
      </c>
      <c r="AL26" s="29">
        <f t="shared" si="33"/>
        <v>101.2</v>
      </c>
      <c r="AM26" s="29">
        <f t="shared" si="34"/>
        <v>295</v>
      </c>
      <c r="AN26" s="29">
        <f t="shared" si="35"/>
        <v>195</v>
      </c>
      <c r="AO26" s="41" t="str">
        <f t="shared" si="36"/>
        <v>F</v>
      </c>
      <c r="AP26" s="41"/>
      <c r="AQ26" s="31">
        <f t="shared" si="37"/>
        <v>1</v>
      </c>
      <c r="AR26" s="217">
        <f t="shared" ca="1" si="38"/>
        <v>0</v>
      </c>
      <c r="AS26" s="41">
        <f t="shared" ca="1" si="39"/>
        <v>50</v>
      </c>
      <c r="AT26" s="177">
        <f t="shared" ca="1" si="40"/>
        <v>0</v>
      </c>
      <c r="AU26" s="115">
        <f t="shared" ca="1" si="41"/>
        <v>50</v>
      </c>
      <c r="AV26" s="198">
        <f t="shared" ca="1" si="42"/>
        <v>1</v>
      </c>
      <c r="AW26" s="181">
        <f t="shared" si="43"/>
        <v>223</v>
      </c>
      <c r="AX26" s="29">
        <f t="shared" si="44"/>
        <v>14</v>
      </c>
      <c r="AY26" s="217">
        <f ca="1">IF(OR(E26="",F26="",ISERROR(AE26)),0,(100000000*MATCH(E26,INDIRECT($AI$1),0)+IF(AE26=1,(16-IF(AO26="M",MATCH(G26,Setup!$K$9:$K$23,0),MATCH(G26,Setup!$M$9:$M$23)))*1000000,0)+IF(AB26&gt;0,IF(AE26=1,RANK(AB26,AB:AB,-1)*1000+AX26,IF(AE26=2,AC26,AD26)),0)))</f>
        <v>0</v>
      </c>
      <c r="AZ26" s="42"/>
      <c r="BA26" s="42"/>
      <c r="BB26" s="42"/>
      <c r="BC26" s="42"/>
      <c r="BD26" s="42"/>
      <c r="BE26" s="42"/>
      <c r="BF26" s="42"/>
      <c r="BG26" s="42"/>
      <c r="BH26" s="96"/>
      <c r="BI26" s="96"/>
      <c r="BJ26" s="96"/>
      <c r="BK26" s="96"/>
      <c r="BL26" s="96"/>
      <c r="BM26" s="96"/>
      <c r="BN26" s="33"/>
      <c r="CJ26" s="31">
        <v>0</v>
      </c>
      <c r="CK26" s="31">
        <v>-1</v>
      </c>
      <c r="CL26" s="31">
        <v>-1</v>
      </c>
      <c r="CM26" s="31">
        <v>1</v>
      </c>
      <c r="CN26" s="31">
        <v>0</v>
      </c>
      <c r="CO26" s="31">
        <v>0</v>
      </c>
      <c r="CP26" s="31">
        <v>0</v>
      </c>
      <c r="CQ26" s="31">
        <v>1</v>
      </c>
      <c r="CR26" s="31">
        <v>1</v>
      </c>
      <c r="CS26" s="31">
        <v>-1</v>
      </c>
      <c r="CT26" s="31">
        <v>0</v>
      </c>
      <c r="CU26" s="31">
        <v>0</v>
      </c>
      <c r="CV26" s="31">
        <v>0</v>
      </c>
      <c r="CW26" s="31">
        <v>1</v>
      </c>
      <c r="CX26" s="31">
        <v>1</v>
      </c>
      <c r="CY26" s="31">
        <v>1</v>
      </c>
      <c r="CZ26" s="31">
        <v>0</v>
      </c>
    </row>
    <row r="27" spans="1:104" s="31" customFormat="1" x14ac:dyDescent="0.2">
      <c r="A27" s="31">
        <f t="shared" si="45"/>
        <v>122.5</v>
      </c>
      <c r="B27" s="19" t="s">
        <v>33</v>
      </c>
      <c r="C27" s="219" t="s">
        <v>476</v>
      </c>
      <c r="D27" s="19">
        <v>26</v>
      </c>
      <c r="E27" s="19" t="s">
        <v>239</v>
      </c>
      <c r="F27" s="19">
        <v>129.6</v>
      </c>
      <c r="G27" s="42">
        <f>IF(OR(E27="",F27=""),"",IF(LEFT(E27,1)="M",VLOOKUP(F27,Setup!$J$9:$K$23,2,TRUE),VLOOKUP(F27,Setup!$L$9:$M$23,2,TRUE)))</f>
        <v>132</v>
      </c>
      <c r="H27" s="42">
        <f>IF(F27="",0,VLOOKUP(AL27,DATA!$L$2:$N$1910,IF(LEFT(E27,1)="F",3,2)))</f>
        <v>1.0037</v>
      </c>
      <c r="I27" s="19"/>
      <c r="J27" s="19" t="s">
        <v>477</v>
      </c>
      <c r="K27" s="234">
        <v>105</v>
      </c>
      <c r="L27" s="234">
        <v>110</v>
      </c>
      <c r="M27" s="234">
        <v>117.5</v>
      </c>
      <c r="N27" s="133"/>
      <c r="O27" s="134">
        <f t="shared" si="24"/>
        <v>117.5</v>
      </c>
      <c r="P27" s="224"/>
      <c r="Q27" s="233">
        <v>60</v>
      </c>
      <c r="R27" s="233">
        <v>65</v>
      </c>
      <c r="S27" s="233">
        <v>72.5</v>
      </c>
      <c r="T27" s="133"/>
      <c r="U27" s="134">
        <f t="shared" si="25"/>
        <v>72.5</v>
      </c>
      <c r="V27" s="135">
        <f t="shared" si="26"/>
        <v>190</v>
      </c>
      <c r="W27" s="233">
        <v>122.5</v>
      </c>
      <c r="X27" s="233">
        <v>132.5</v>
      </c>
      <c r="Y27" s="133">
        <v>-137.5</v>
      </c>
      <c r="Z27" s="133"/>
      <c r="AA27" s="134">
        <f t="shared" si="27"/>
        <v>132.5</v>
      </c>
      <c r="AB27" s="135">
        <f t="shared" si="28"/>
        <v>322.5</v>
      </c>
      <c r="AC27" s="136">
        <f t="shared" si="29"/>
        <v>323.69325000000003</v>
      </c>
      <c r="AD27" s="136">
        <f>IF(OR(AB27=0,D27="",AND(D27&lt;40,D27&gt;22)),0,VLOOKUP($D27,DATA!$A$2:$B$53,2,TRUE)*AC27)</f>
        <v>0</v>
      </c>
      <c r="AE27" s="197">
        <f ca="1">IF(E27="","",OFFSET(Setup!$Q$1,MATCH(E27,Setup!O:O,0)-1,0))</f>
        <v>1</v>
      </c>
      <c r="AF27" s="134" t="str">
        <f t="shared" ca="1" si="30"/>
        <v>1-F-OR-132</v>
      </c>
      <c r="AG27" s="42">
        <f ca="1">IF(OR(AB27=0),0,VLOOKUP(AV27,Setup!$S$6:$T$15,2,TRUE))</f>
        <v>7</v>
      </c>
      <c r="AH27" s="137"/>
      <c r="AI27" s="132" t="s">
        <v>216</v>
      </c>
      <c r="AJ27" s="124">
        <f t="shared" si="31"/>
        <v>1</v>
      </c>
      <c r="AK27" s="42">
        <f t="shared" si="32"/>
        <v>6</v>
      </c>
      <c r="AL27" s="29">
        <f t="shared" si="33"/>
        <v>58.8</v>
      </c>
      <c r="AM27" s="29">
        <f t="shared" si="34"/>
        <v>322.5</v>
      </c>
      <c r="AN27" s="29">
        <f t="shared" si="35"/>
        <v>205</v>
      </c>
      <c r="AO27" s="41" t="str">
        <f t="shared" si="36"/>
        <v>F</v>
      </c>
      <c r="AP27" s="41"/>
      <c r="AQ27" s="31">
        <f t="shared" si="37"/>
        <v>1</v>
      </c>
      <c r="AR27" s="217">
        <f t="shared" ca="1" si="38"/>
        <v>2211026048</v>
      </c>
      <c r="AS27" s="41">
        <f t="shared" ca="1" si="39"/>
        <v>27</v>
      </c>
      <c r="AT27" s="177">
        <f t="shared" ca="1" si="40"/>
        <v>2211</v>
      </c>
      <c r="AU27" s="115">
        <f t="shared" ca="1" si="41"/>
        <v>27</v>
      </c>
      <c r="AV27" s="198">
        <f t="shared" ca="1" si="42"/>
        <v>1</v>
      </c>
      <c r="AW27" s="181">
        <f t="shared" si="43"/>
        <v>129.6</v>
      </c>
      <c r="AX27" s="29">
        <f t="shared" si="44"/>
        <v>48</v>
      </c>
      <c r="AY27" s="217">
        <f ca="1">IF(OR(E27="",F27="",ISERROR(AE27)),0,(100000000*MATCH(E27,INDIRECT($AI$1),0)+IF(AE27=1,(16-IF(AO27="M",MATCH(G27,Setup!$K$9:$K$23,0),MATCH(G27,Setup!$M$9:$M$23)))*1000000,0)+IF(AB27&gt;0,IF(AE27=1,RANK(AB27,AB:AB,-1)*1000+AX27,IF(AE27=2,AC27,AD27)),0)))</f>
        <v>2211026048</v>
      </c>
      <c r="AZ27" s="42"/>
      <c r="BA27" s="42"/>
      <c r="BB27" s="42"/>
      <c r="BC27" s="42"/>
      <c r="BD27" s="42"/>
      <c r="BE27" s="42"/>
      <c r="BF27" s="42"/>
      <c r="BG27" s="42"/>
      <c r="BH27" s="96"/>
      <c r="BI27" s="96"/>
      <c r="BJ27" s="96"/>
      <c r="BK27" s="96"/>
      <c r="BL27" s="96"/>
      <c r="BM27" s="96"/>
      <c r="BN27" s="33"/>
      <c r="CJ27" s="31">
        <v>0</v>
      </c>
      <c r="CK27" s="31">
        <v>1</v>
      </c>
      <c r="CL27" s="31">
        <v>1</v>
      </c>
      <c r="CM27" s="31">
        <v>1</v>
      </c>
      <c r="CN27" s="31">
        <v>0</v>
      </c>
      <c r="CO27" s="31">
        <v>0</v>
      </c>
      <c r="CP27" s="31">
        <v>0</v>
      </c>
      <c r="CQ27" s="31">
        <v>1</v>
      </c>
      <c r="CR27" s="31">
        <v>1</v>
      </c>
      <c r="CS27" s="31">
        <v>1</v>
      </c>
      <c r="CT27" s="31">
        <v>0</v>
      </c>
      <c r="CU27" s="31">
        <v>0</v>
      </c>
      <c r="CV27" s="31">
        <v>0</v>
      </c>
      <c r="CW27" s="31">
        <v>1</v>
      </c>
      <c r="CX27" s="31">
        <v>1</v>
      </c>
      <c r="CY27" s="31">
        <v>-1</v>
      </c>
      <c r="CZ27" s="31">
        <v>0</v>
      </c>
    </row>
    <row r="28" spans="1:104" s="31" customFormat="1" x14ac:dyDescent="0.2">
      <c r="A28" s="31">
        <f t="shared" si="45"/>
        <v>122.5</v>
      </c>
      <c r="B28" s="19" t="s">
        <v>33</v>
      </c>
      <c r="C28" s="219" t="s">
        <v>518</v>
      </c>
      <c r="D28" s="19">
        <v>25</v>
      </c>
      <c r="E28" s="19" t="s">
        <v>251</v>
      </c>
      <c r="F28" s="19">
        <v>242</v>
      </c>
      <c r="G28" s="42">
        <f>IF(OR(E28="",F28=""),"",IF(LEFT(E28,1)="M",VLOOKUP(F28,Setup!$J$9:$K$23,2,TRUE),VLOOKUP(F28,Setup!$L$9:$M$23,2,TRUE)))</f>
        <v>242</v>
      </c>
      <c r="H28" s="42">
        <f>IF(F28="",0,VLOOKUP(AL28,DATA!$L$2:$N$1910,IF(LEFT(E28,1)="F",3,2)))</f>
        <v>0.56274999999999997</v>
      </c>
      <c r="I28" s="19"/>
      <c r="J28" s="19"/>
      <c r="K28" s="233">
        <v>0</v>
      </c>
      <c r="L28" s="133"/>
      <c r="M28" s="133"/>
      <c r="N28" s="133"/>
      <c r="O28" s="134">
        <f t="shared" si="24"/>
        <v>0</v>
      </c>
      <c r="P28" s="224"/>
      <c r="Q28" s="133"/>
      <c r="R28" s="133"/>
      <c r="S28" s="133"/>
      <c r="T28" s="133"/>
      <c r="U28" s="134">
        <f t="shared" si="25"/>
        <v>0</v>
      </c>
      <c r="V28" s="135">
        <f t="shared" si="26"/>
        <v>0</v>
      </c>
      <c r="W28" s="233">
        <v>122.5</v>
      </c>
      <c r="X28" s="233">
        <v>137.5</v>
      </c>
      <c r="Y28" s="233">
        <v>142.5</v>
      </c>
      <c r="Z28" s="133"/>
      <c r="AA28" s="134">
        <f t="shared" si="27"/>
        <v>142.5</v>
      </c>
      <c r="AB28" s="135">
        <f t="shared" si="28"/>
        <v>0</v>
      </c>
      <c r="AC28" s="136">
        <f t="shared" si="29"/>
        <v>0</v>
      </c>
      <c r="AD28" s="136">
        <f>IF(OR(AB28=0,D28="",AND(D28&lt;40,D28&gt;22)),0,VLOOKUP($D28,DATA!$A$2:$B$53,2,TRUE)*AC28)</f>
        <v>0</v>
      </c>
      <c r="AE28" s="197">
        <f ca="1">IF(E28="","",OFFSET(Setup!$Q$1,MATCH(E28,Setup!O:O,0)-1,0))</f>
        <v>1</v>
      </c>
      <c r="AF28" s="134">
        <f t="shared" ca="1" si="30"/>
        <v>0</v>
      </c>
      <c r="AG28" s="42">
        <f>IF(OR(AB28=0),0,VLOOKUP(AV28,Setup!$S$6:$T$15,2,TRUE))</f>
        <v>0</v>
      </c>
      <c r="AH28" s="137" t="s">
        <v>487</v>
      </c>
      <c r="AI28" s="132" t="s">
        <v>468</v>
      </c>
      <c r="AJ28" s="124">
        <f t="shared" si="31"/>
        <v>0</v>
      </c>
      <c r="AK28" s="42">
        <f t="shared" si="32"/>
        <v>6</v>
      </c>
      <c r="AL28" s="29">
        <f t="shared" si="33"/>
        <v>109.8</v>
      </c>
      <c r="AM28" s="29">
        <f t="shared" si="34"/>
        <v>0</v>
      </c>
      <c r="AN28" s="29">
        <f t="shared" si="35"/>
        <v>0</v>
      </c>
      <c r="AO28" s="41" t="str">
        <f t="shared" si="36"/>
        <v>M</v>
      </c>
      <c r="AP28" s="41"/>
      <c r="AQ28" s="31">
        <f t="shared" si="37"/>
        <v>0</v>
      </c>
      <c r="AR28" s="217">
        <f t="shared" ca="1" si="38"/>
        <v>3807000000</v>
      </c>
      <c r="AS28" s="41">
        <f t="shared" ca="1" si="39"/>
        <v>16</v>
      </c>
      <c r="AT28" s="177">
        <f t="shared" ca="1" si="40"/>
        <v>3807</v>
      </c>
      <c r="AU28" s="115">
        <f t="shared" ca="1" si="41"/>
        <v>16</v>
      </c>
      <c r="AV28" s="198">
        <f t="shared" ca="1" si="42"/>
        <v>1</v>
      </c>
      <c r="AW28" s="181">
        <f t="shared" si="43"/>
        <v>242</v>
      </c>
      <c r="AX28" s="29">
        <f t="shared" si="44"/>
        <v>8</v>
      </c>
      <c r="AY28" s="217">
        <f ca="1">IF(OR(E28="",F28="",ISERROR(AE28)),0,(100000000*MATCH(E28,INDIRECT($AI$1),0)+IF(AE28=1,(16-IF(AO28="M",MATCH(G28,Setup!$K$9:$K$23,0),MATCH(G28,Setup!$M$9:$M$23)))*1000000,0)+IF(AB28&gt;0,IF(AE28=1,RANK(AB28,AB:AB,-1)*1000+AX28,IF(AE28=2,AC28,AD28)),0)))</f>
        <v>3807000000</v>
      </c>
      <c r="AZ28" s="42"/>
      <c r="BA28" s="42"/>
      <c r="BB28" s="42"/>
      <c r="BC28" s="42"/>
      <c r="BD28" s="42"/>
      <c r="BE28" s="42"/>
      <c r="BF28" s="42"/>
      <c r="BG28" s="42"/>
      <c r="BH28" s="96"/>
      <c r="BI28" s="96"/>
      <c r="BJ28" s="96"/>
      <c r="BK28" s="96"/>
      <c r="BL28" s="96"/>
      <c r="BM28" s="96"/>
      <c r="BN28" s="33"/>
      <c r="CJ28" s="31">
        <v>0</v>
      </c>
      <c r="CK28" s="31">
        <v>1</v>
      </c>
      <c r="CL28" s="31">
        <v>0</v>
      </c>
      <c r="CM28" s="31">
        <v>0</v>
      </c>
      <c r="CN28" s="31">
        <v>0</v>
      </c>
      <c r="CO28" s="31">
        <v>0</v>
      </c>
      <c r="CP28" s="31">
        <v>0</v>
      </c>
      <c r="CQ28" s="31">
        <v>0</v>
      </c>
      <c r="CR28" s="31">
        <v>0</v>
      </c>
      <c r="CS28" s="31">
        <v>0</v>
      </c>
      <c r="CT28" s="31">
        <v>0</v>
      </c>
      <c r="CU28" s="31">
        <v>0</v>
      </c>
      <c r="CV28" s="31">
        <v>0</v>
      </c>
      <c r="CW28" s="31">
        <v>1</v>
      </c>
      <c r="CX28" s="31">
        <v>1</v>
      </c>
      <c r="CY28" s="31">
        <v>1</v>
      </c>
      <c r="CZ28" s="31">
        <v>0</v>
      </c>
    </row>
    <row r="29" spans="1:104" s="31" customFormat="1" x14ac:dyDescent="0.2">
      <c r="A29" s="31">
        <f t="shared" si="45"/>
        <v>125</v>
      </c>
      <c r="B29" s="19" t="s">
        <v>33</v>
      </c>
      <c r="C29" s="219" t="s">
        <v>480</v>
      </c>
      <c r="D29" s="19">
        <v>35</v>
      </c>
      <c r="E29" s="19" t="s">
        <v>481</v>
      </c>
      <c r="F29" s="19">
        <v>146.6</v>
      </c>
      <c r="G29" s="42">
        <f>IF(OR(E29="",F29=""),"",IF(LEFT(E29,1)="M",VLOOKUP(F29,Setup!$J$9:$K$23,2,TRUE),VLOOKUP(F29,Setup!$L$9:$M$23,2,TRUE)))</f>
        <v>148</v>
      </c>
      <c r="H29" s="42">
        <f>IF(F29="",0,VLOOKUP(AL29,DATA!$L$2:$N$1910,IF(LEFT(E29,1)="F",3,2)))</f>
        <v>0.91020000000000001</v>
      </c>
      <c r="I29" s="19"/>
      <c r="J29" s="19" t="s">
        <v>482</v>
      </c>
      <c r="K29" s="234">
        <v>112.5</v>
      </c>
      <c r="L29" s="234">
        <v>125</v>
      </c>
      <c r="M29" s="234">
        <v>130</v>
      </c>
      <c r="N29" s="133"/>
      <c r="O29" s="134">
        <f t="shared" si="24"/>
        <v>130</v>
      </c>
      <c r="P29" s="224"/>
      <c r="Q29" s="233">
        <v>57.5</v>
      </c>
      <c r="R29" s="233">
        <v>62.5</v>
      </c>
      <c r="S29" s="233">
        <v>65</v>
      </c>
      <c r="T29" s="133"/>
      <c r="U29" s="134">
        <f t="shared" si="25"/>
        <v>65</v>
      </c>
      <c r="V29" s="135">
        <f t="shared" si="26"/>
        <v>195</v>
      </c>
      <c r="W29" s="233">
        <v>125</v>
      </c>
      <c r="X29" s="233">
        <v>137.5</v>
      </c>
      <c r="Y29" s="233">
        <v>142.5</v>
      </c>
      <c r="Z29" s="133"/>
      <c r="AA29" s="134">
        <f t="shared" si="27"/>
        <v>142.5</v>
      </c>
      <c r="AB29" s="135">
        <f t="shared" si="28"/>
        <v>337.5</v>
      </c>
      <c r="AC29" s="136">
        <f t="shared" si="29"/>
        <v>307.1925</v>
      </c>
      <c r="AD29" s="136">
        <f>IF(OR(AB29=0,D29="",AND(D29&lt;40,D29&gt;22)),0,VLOOKUP($D29,DATA!$A$2:$B$53,2,TRUE)*AC29)</f>
        <v>0</v>
      </c>
      <c r="AE29" s="197" t="e">
        <f ca="1">IF(E29="","",OFFSET(Setup!$Q$1,MATCH(E29,Setup!O:O,0)-1,0))</f>
        <v>#N/A</v>
      </c>
      <c r="AF29" s="134">
        <f t="shared" ca="1" si="30"/>
        <v>0</v>
      </c>
      <c r="AG29" s="42">
        <f ca="1">IF(OR(AB29=0),0,VLOOKUP(AV29,Setup!$S$6:$T$15,2,TRUE))</f>
        <v>7</v>
      </c>
      <c r="AH29" s="137"/>
      <c r="AI29" s="132" t="s">
        <v>216</v>
      </c>
      <c r="AJ29" s="124">
        <f t="shared" si="31"/>
        <v>1</v>
      </c>
      <c r="AK29" s="42">
        <f t="shared" si="32"/>
        <v>6</v>
      </c>
      <c r="AL29" s="29">
        <f t="shared" si="33"/>
        <v>66.5</v>
      </c>
      <c r="AM29" s="29">
        <f t="shared" si="34"/>
        <v>337.5</v>
      </c>
      <c r="AN29" s="29">
        <f t="shared" si="35"/>
        <v>207.5</v>
      </c>
      <c r="AO29" s="41" t="str">
        <f t="shared" si="36"/>
        <v>F</v>
      </c>
      <c r="AP29" s="41"/>
      <c r="AQ29" s="31">
        <f t="shared" si="37"/>
        <v>1</v>
      </c>
      <c r="AR29" s="217">
        <f t="shared" ca="1" si="38"/>
        <v>0</v>
      </c>
      <c r="AS29" s="41">
        <f t="shared" ca="1" si="39"/>
        <v>50</v>
      </c>
      <c r="AT29" s="177">
        <f t="shared" ca="1" si="40"/>
        <v>0</v>
      </c>
      <c r="AU29" s="115">
        <f t="shared" ca="1" si="41"/>
        <v>50</v>
      </c>
      <c r="AV29" s="198">
        <f t="shared" ca="1" si="42"/>
        <v>1</v>
      </c>
      <c r="AW29" s="181">
        <f t="shared" si="43"/>
        <v>146.6</v>
      </c>
      <c r="AX29" s="29">
        <f t="shared" si="44"/>
        <v>42</v>
      </c>
      <c r="AY29" s="217">
        <f ca="1">IF(OR(E29="",F29="",ISERROR(AE29)),0,(100000000*MATCH(E29,INDIRECT($AI$1),0)+IF(AE29=1,(16-IF(AO29="M",MATCH(G29,Setup!$K$9:$K$23,0),MATCH(G29,Setup!$M$9:$M$23)))*1000000,0)+IF(AB29&gt;0,IF(AE29=1,RANK(AB29,AB:AB,-1)*1000+AX29,IF(AE29=2,AC29,AD29)),0)))</f>
        <v>0</v>
      </c>
      <c r="AZ29" s="42"/>
      <c r="BA29" s="42"/>
      <c r="BB29" s="42"/>
      <c r="BC29" s="42"/>
      <c r="BD29" s="42"/>
      <c r="BE29" s="42"/>
      <c r="BF29" s="42"/>
      <c r="BG29" s="42"/>
      <c r="BH29" s="96"/>
      <c r="BI29" s="96"/>
      <c r="BJ29" s="96"/>
      <c r="BK29" s="96"/>
      <c r="BL29" s="96"/>
      <c r="BM29" s="96"/>
      <c r="BN29" s="33"/>
      <c r="CJ29" s="31">
        <v>0</v>
      </c>
      <c r="CK29" s="31">
        <v>1</v>
      </c>
      <c r="CL29" s="31">
        <v>1</v>
      </c>
      <c r="CM29" s="31">
        <v>1</v>
      </c>
      <c r="CN29" s="31">
        <v>0</v>
      </c>
      <c r="CO29" s="31">
        <v>0</v>
      </c>
      <c r="CP29" s="31">
        <v>0</v>
      </c>
      <c r="CQ29" s="31">
        <v>1</v>
      </c>
      <c r="CR29" s="31">
        <v>1</v>
      </c>
      <c r="CS29" s="31">
        <v>1</v>
      </c>
      <c r="CT29" s="31">
        <v>0</v>
      </c>
      <c r="CU29" s="31">
        <v>0</v>
      </c>
      <c r="CV29" s="31">
        <v>0</v>
      </c>
      <c r="CW29" s="31">
        <v>1</v>
      </c>
      <c r="CX29" s="31">
        <v>1</v>
      </c>
      <c r="CY29" s="31">
        <v>1</v>
      </c>
      <c r="CZ29" s="31">
        <v>0</v>
      </c>
    </row>
    <row r="30" spans="1:104" s="31" customFormat="1" x14ac:dyDescent="0.2">
      <c r="A30" s="31">
        <f t="shared" si="45"/>
        <v>137.5</v>
      </c>
      <c r="B30" s="19" t="s">
        <v>33</v>
      </c>
      <c r="C30" s="219" t="s">
        <v>520</v>
      </c>
      <c r="D30" s="19">
        <v>19</v>
      </c>
      <c r="E30" s="19" t="s">
        <v>262</v>
      </c>
      <c r="F30" s="19">
        <v>131</v>
      </c>
      <c r="G30" s="42">
        <f>IF(OR(E30="",F30=""),"",IF(LEFT(E30,1)="M",VLOOKUP(F30,Setup!$J$9:$K$23,2,TRUE),VLOOKUP(F30,Setup!$L$9:$M$23,2,TRUE)))</f>
        <v>132</v>
      </c>
      <c r="H30" s="42">
        <f>IF(F30="",0,VLOOKUP(AL30,DATA!$L$2:$N$1910,IF(LEFT(E30,1)="F",3,2)))</f>
        <v>0.84105000000000008</v>
      </c>
      <c r="I30" s="19"/>
      <c r="J30" s="19"/>
      <c r="K30" s="233">
        <v>0</v>
      </c>
      <c r="L30" s="133"/>
      <c r="M30" s="133"/>
      <c r="N30" s="133"/>
      <c r="O30" s="134">
        <f t="shared" si="24"/>
        <v>0</v>
      </c>
      <c r="P30" s="224"/>
      <c r="Q30" s="133"/>
      <c r="R30" s="133"/>
      <c r="S30" s="133"/>
      <c r="T30" s="133"/>
      <c r="U30" s="134">
        <f t="shared" si="25"/>
        <v>0</v>
      </c>
      <c r="V30" s="135">
        <f t="shared" si="26"/>
        <v>0</v>
      </c>
      <c r="W30" s="233">
        <v>137.5</v>
      </c>
      <c r="X30" s="233">
        <v>152.5</v>
      </c>
      <c r="Y30" s="233">
        <v>170</v>
      </c>
      <c r="Z30" s="133"/>
      <c r="AA30" s="134">
        <f t="shared" si="27"/>
        <v>170</v>
      </c>
      <c r="AB30" s="135">
        <f t="shared" si="28"/>
        <v>0</v>
      </c>
      <c r="AC30" s="136">
        <f t="shared" si="29"/>
        <v>0</v>
      </c>
      <c r="AD30" s="136">
        <f>IF(OR(AB30=0,D30="",AND(D30&lt;40,D30&gt;22)),0,VLOOKUP($D30,DATA!$A$2:$B$53,2,TRUE)*AC30)</f>
        <v>0</v>
      </c>
      <c r="AE30" s="197">
        <f ca="1">IF(E30="","",OFFSET(Setup!$Q$1,MATCH(E30,Setup!O:O,0)-1,0))</f>
        <v>1</v>
      </c>
      <c r="AF30" s="134">
        <f t="shared" ca="1" si="30"/>
        <v>0</v>
      </c>
      <c r="AG30" s="42">
        <f>IF(OR(AB30=0),0,VLOOKUP(AV30,Setup!$S$6:$T$15,2,TRUE))</f>
        <v>0</v>
      </c>
      <c r="AH30" s="137"/>
      <c r="AI30" s="132" t="s">
        <v>468</v>
      </c>
      <c r="AJ30" s="124">
        <f t="shared" si="31"/>
        <v>0</v>
      </c>
      <c r="AK30" s="42">
        <f t="shared" si="32"/>
        <v>6</v>
      </c>
      <c r="AL30" s="29">
        <f t="shared" si="33"/>
        <v>59.4</v>
      </c>
      <c r="AM30" s="29">
        <f t="shared" si="34"/>
        <v>0</v>
      </c>
      <c r="AN30" s="29">
        <f t="shared" si="35"/>
        <v>0</v>
      </c>
      <c r="AO30" s="41" t="str">
        <f t="shared" si="36"/>
        <v>M</v>
      </c>
      <c r="AP30" s="41"/>
      <c r="AQ30" s="31">
        <f t="shared" si="37"/>
        <v>0</v>
      </c>
      <c r="AR30" s="217">
        <f t="shared" ca="1" si="38"/>
        <v>5213000000</v>
      </c>
      <c r="AS30" s="41">
        <f t="shared" ca="1" si="39"/>
        <v>8</v>
      </c>
      <c r="AT30" s="177">
        <f t="shared" ca="1" si="40"/>
        <v>5213</v>
      </c>
      <c r="AU30" s="115">
        <f t="shared" ca="1" si="41"/>
        <v>8</v>
      </c>
      <c r="AV30" s="198">
        <f t="shared" ca="1" si="42"/>
        <v>1</v>
      </c>
      <c r="AW30" s="181">
        <f t="shared" si="43"/>
        <v>131</v>
      </c>
      <c r="AX30" s="29">
        <f t="shared" si="44"/>
        <v>47</v>
      </c>
      <c r="AY30" s="217">
        <f ca="1">IF(OR(E30="",F30="",ISERROR(AE30)),0,(100000000*MATCH(E30,INDIRECT($AI$1),0)+IF(AE30=1,(16-IF(AO30="M",MATCH(G30,Setup!$K$9:$K$23,0),MATCH(G30,Setup!$M$9:$M$23)))*1000000,0)+IF(AB30&gt;0,IF(AE30=1,RANK(AB30,AB:AB,-1)*1000+AX30,IF(AE30=2,AC30,AD30)),0)))</f>
        <v>5213000000</v>
      </c>
      <c r="AZ30" s="42"/>
      <c r="BA30" s="42"/>
      <c r="BB30" s="42"/>
      <c r="BC30" s="42"/>
      <c r="BD30" s="42"/>
      <c r="BE30" s="42"/>
      <c r="BF30" s="42"/>
      <c r="BG30" s="42"/>
      <c r="BH30" s="96"/>
      <c r="BI30" s="96"/>
      <c r="BJ30" s="96"/>
      <c r="BK30" s="96"/>
      <c r="BL30" s="96"/>
      <c r="BM30" s="96"/>
      <c r="BN30" s="33"/>
      <c r="CJ30" s="31">
        <v>0</v>
      </c>
      <c r="CK30" s="31">
        <v>1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</v>
      </c>
      <c r="CR30" s="31">
        <v>0</v>
      </c>
      <c r="CS30" s="31">
        <v>0</v>
      </c>
      <c r="CT30" s="31">
        <v>0</v>
      </c>
      <c r="CU30" s="31">
        <v>0</v>
      </c>
      <c r="CV30" s="31">
        <v>0</v>
      </c>
      <c r="CW30" s="31">
        <v>1</v>
      </c>
      <c r="CX30" s="31">
        <v>1</v>
      </c>
      <c r="CY30" s="31">
        <v>1</v>
      </c>
      <c r="CZ30" s="31">
        <v>0</v>
      </c>
    </row>
    <row r="31" spans="1:104" s="31" customFormat="1" x14ac:dyDescent="0.2">
      <c r="A31" s="31">
        <f t="shared" si="45"/>
        <v>142.5</v>
      </c>
      <c r="B31" s="19" t="s">
        <v>33</v>
      </c>
      <c r="C31" s="219" t="s">
        <v>478</v>
      </c>
      <c r="D31" s="19">
        <v>62</v>
      </c>
      <c r="E31" s="19" t="s">
        <v>245</v>
      </c>
      <c r="F31" s="19">
        <v>161.4</v>
      </c>
      <c r="G31" s="42">
        <f>IF(OR(E31="",F31=""),"",IF(LEFT(E31,1)="M",VLOOKUP(F31,Setup!$J$9:$K$23,2,TRUE),VLOOKUP(F31,Setup!$L$9:$M$23,2,TRUE)))</f>
        <v>165</v>
      </c>
      <c r="H31" s="42">
        <f>IF(F31="",0,VLOOKUP(AL31,DATA!$L$2:$N$1910,IF(LEFT(E31,1)="F",3,2)))</f>
        <v>0.84989999999999999</v>
      </c>
      <c r="I31" s="19"/>
      <c r="J31" s="19" t="s">
        <v>479</v>
      </c>
      <c r="K31" s="234">
        <v>107.5</v>
      </c>
      <c r="L31" s="234">
        <v>115</v>
      </c>
      <c r="M31" s="234">
        <v>122.5</v>
      </c>
      <c r="N31" s="133"/>
      <c r="O31" s="134">
        <f t="shared" si="24"/>
        <v>122.5</v>
      </c>
      <c r="P31" s="224"/>
      <c r="Q31" s="233">
        <v>57.5</v>
      </c>
      <c r="R31" s="233">
        <v>62.5</v>
      </c>
      <c r="S31" s="233">
        <v>65</v>
      </c>
      <c r="T31" s="133"/>
      <c r="U31" s="134">
        <f t="shared" si="25"/>
        <v>65</v>
      </c>
      <c r="V31" s="135">
        <f t="shared" si="26"/>
        <v>187.5</v>
      </c>
      <c r="W31" s="233">
        <v>142.5</v>
      </c>
      <c r="X31" s="233">
        <v>152.5</v>
      </c>
      <c r="Y31" s="133">
        <v>-155</v>
      </c>
      <c r="Z31" s="133"/>
      <c r="AA31" s="134">
        <f t="shared" si="27"/>
        <v>152.5</v>
      </c>
      <c r="AB31" s="135">
        <f t="shared" si="28"/>
        <v>340</v>
      </c>
      <c r="AC31" s="136">
        <f t="shared" si="29"/>
        <v>288.96600000000001</v>
      </c>
      <c r="AD31" s="136">
        <f>IF(OR(AB31=0,D31="",AND(D31&lt;40,D31&gt;22)),0,VLOOKUP($D31,DATA!$A$2:$B$53,2,TRUE)*AC31)</f>
        <v>402.52963800000003</v>
      </c>
      <c r="AE31" s="197">
        <f ca="1">IF(E31="","",OFFSET(Setup!$Q$1,MATCH(E31,Setup!O:O,0)-1,0))</f>
        <v>1</v>
      </c>
      <c r="AF31" s="134" t="str">
        <f t="shared" ca="1" si="30"/>
        <v>1-F-M5R-165</v>
      </c>
      <c r="AG31" s="42">
        <f ca="1">IF(OR(AB31=0),0,VLOOKUP(AV31,Setup!$S$6:$T$15,2,TRUE))</f>
        <v>7</v>
      </c>
      <c r="AH31" s="137"/>
      <c r="AI31" s="132" t="s">
        <v>216</v>
      </c>
      <c r="AJ31" s="124">
        <f t="shared" si="31"/>
        <v>1</v>
      </c>
      <c r="AK31" s="42">
        <f t="shared" si="32"/>
        <v>6</v>
      </c>
      <c r="AL31" s="29">
        <f t="shared" si="33"/>
        <v>73.2</v>
      </c>
      <c r="AM31" s="29">
        <f t="shared" si="34"/>
        <v>340</v>
      </c>
      <c r="AN31" s="29">
        <f t="shared" si="35"/>
        <v>217.5</v>
      </c>
      <c r="AO31" s="41" t="str">
        <f t="shared" si="36"/>
        <v>F</v>
      </c>
      <c r="AP31" s="41"/>
      <c r="AQ31" s="31">
        <f t="shared" si="37"/>
        <v>1</v>
      </c>
      <c r="AR31" s="217">
        <f t="shared" ca="1" si="38"/>
        <v>2809029036</v>
      </c>
      <c r="AS31" s="41">
        <f t="shared" ca="1" si="39"/>
        <v>26</v>
      </c>
      <c r="AT31" s="177">
        <f t="shared" ca="1" si="40"/>
        <v>2809</v>
      </c>
      <c r="AU31" s="115">
        <f t="shared" ca="1" si="41"/>
        <v>26</v>
      </c>
      <c r="AV31" s="198">
        <f t="shared" ca="1" si="42"/>
        <v>1</v>
      </c>
      <c r="AW31" s="181">
        <f t="shared" si="43"/>
        <v>161.4</v>
      </c>
      <c r="AX31" s="29">
        <f t="shared" si="44"/>
        <v>36</v>
      </c>
      <c r="AY31" s="217">
        <f ca="1">IF(OR(E31="",F31="",ISERROR(AE31)),0,(100000000*MATCH(E31,INDIRECT($AI$1),0)+IF(AE31=1,(16-IF(AO31="M",MATCH(G31,Setup!$K$9:$K$23,0),MATCH(G31,Setup!$M$9:$M$23)))*1000000,0)+IF(AB31&gt;0,IF(AE31=1,RANK(AB31,AB:AB,-1)*1000+AX31,IF(AE31=2,AC31,AD31)),0)))</f>
        <v>2809029036</v>
      </c>
      <c r="AZ31" s="42"/>
      <c r="BA31" s="42"/>
      <c r="BB31" s="42"/>
      <c r="BC31" s="42"/>
      <c r="BD31" s="42"/>
      <c r="BE31" s="42"/>
      <c r="BF31" s="42"/>
      <c r="BG31" s="42"/>
      <c r="BH31" s="96"/>
      <c r="BI31" s="96"/>
      <c r="BJ31" s="96"/>
      <c r="BK31" s="96"/>
      <c r="BL31" s="96"/>
      <c r="BM31" s="96"/>
      <c r="BN31" s="33"/>
      <c r="CJ31" s="31">
        <v>0</v>
      </c>
      <c r="CK31" s="31">
        <v>1</v>
      </c>
      <c r="CL31" s="31">
        <v>1</v>
      </c>
      <c r="CM31" s="31">
        <v>1</v>
      </c>
      <c r="CN31" s="31">
        <v>0</v>
      </c>
      <c r="CO31" s="31">
        <v>0</v>
      </c>
      <c r="CP31" s="31">
        <v>0</v>
      </c>
      <c r="CQ31" s="31">
        <v>1</v>
      </c>
      <c r="CR31" s="31">
        <v>1</v>
      </c>
      <c r="CS31" s="31">
        <v>1</v>
      </c>
      <c r="CT31" s="31">
        <v>0</v>
      </c>
      <c r="CU31" s="31">
        <v>0</v>
      </c>
      <c r="CV31" s="31">
        <v>0</v>
      </c>
      <c r="CW31" s="31">
        <v>1</v>
      </c>
      <c r="CX31" s="31">
        <v>1</v>
      </c>
      <c r="CY31" s="31">
        <v>-1</v>
      </c>
      <c r="CZ31" s="31">
        <v>0</v>
      </c>
    </row>
    <row r="32" spans="1:104" s="31" customFormat="1" x14ac:dyDescent="0.2">
      <c r="A32" s="31">
        <f t="shared" si="45"/>
        <v>147.5</v>
      </c>
      <c r="B32" s="19" t="s">
        <v>33</v>
      </c>
      <c r="C32" s="219" t="s">
        <v>485</v>
      </c>
      <c r="D32" s="19">
        <v>18</v>
      </c>
      <c r="E32" s="19" t="s">
        <v>264</v>
      </c>
      <c r="F32" s="19">
        <v>175</v>
      </c>
      <c r="G32" s="42">
        <f>IF(OR(E32="",F32=""),"",IF(LEFT(E32,1)="M",VLOOKUP(F32,Setup!$J$9:$K$23,2,TRUE),VLOOKUP(F32,Setup!$L$9:$M$23,2,TRUE)))</f>
        <v>181</v>
      </c>
      <c r="H32" s="42">
        <f>IF(F32="",0,VLOOKUP(AL32,DATA!$L$2:$N$1910,IF(LEFT(E32,1)="F",3,2)))</f>
        <v>0.66120000000000001</v>
      </c>
      <c r="I32" s="19"/>
      <c r="J32" s="19" t="s">
        <v>486</v>
      </c>
      <c r="K32" s="234">
        <v>130</v>
      </c>
      <c r="L32" s="234">
        <v>145</v>
      </c>
      <c r="M32" s="234">
        <v>147.5</v>
      </c>
      <c r="N32" s="133"/>
      <c r="O32" s="134">
        <f t="shared" si="24"/>
        <v>147.5</v>
      </c>
      <c r="P32" s="224"/>
      <c r="Q32" s="233">
        <v>77.5</v>
      </c>
      <c r="R32" s="233">
        <v>82.5</v>
      </c>
      <c r="S32" s="233">
        <v>85</v>
      </c>
      <c r="T32" s="133"/>
      <c r="U32" s="134">
        <f t="shared" si="25"/>
        <v>85</v>
      </c>
      <c r="V32" s="135">
        <f t="shared" si="26"/>
        <v>232.5</v>
      </c>
      <c r="W32" s="233">
        <v>147.5</v>
      </c>
      <c r="X32" s="233">
        <v>170</v>
      </c>
      <c r="Y32" s="233">
        <v>177.5</v>
      </c>
      <c r="Z32" s="133"/>
      <c r="AA32" s="134">
        <f t="shared" si="27"/>
        <v>177.5</v>
      </c>
      <c r="AB32" s="135">
        <f t="shared" si="28"/>
        <v>410</v>
      </c>
      <c r="AC32" s="136">
        <f t="shared" si="29"/>
        <v>271.09199999999998</v>
      </c>
      <c r="AD32" s="136">
        <f>IF(OR(AB32=0,D32="",AND(D32&lt;40,D32&gt;22)),0,VLOOKUP($D32,DATA!$A$2:$B$53,2,TRUE)*AC32)</f>
        <v>287.35752000000002</v>
      </c>
      <c r="AE32" s="197">
        <f ca="1">IF(E32="","",OFFSET(Setup!$Q$1,MATCH(E32,Setup!O:O,0)-1,0))</f>
        <v>1</v>
      </c>
      <c r="AF32" s="134" t="str">
        <f t="shared" ca="1" si="30"/>
        <v>2-M-OR-181</v>
      </c>
      <c r="AG32" s="42">
        <f ca="1">IF(OR(AB32=0),0,VLOOKUP(AV32,Setup!$S$6:$T$15,2,TRUE))</f>
        <v>5</v>
      </c>
      <c r="AH32" s="137" t="s">
        <v>487</v>
      </c>
      <c r="AI32" s="132" t="s">
        <v>216</v>
      </c>
      <c r="AJ32" s="124">
        <f t="shared" si="31"/>
        <v>1</v>
      </c>
      <c r="AK32" s="42">
        <f t="shared" si="32"/>
        <v>6</v>
      </c>
      <c r="AL32" s="29">
        <f t="shared" si="33"/>
        <v>79.400000000000006</v>
      </c>
      <c r="AM32" s="29">
        <f t="shared" si="34"/>
        <v>410</v>
      </c>
      <c r="AN32" s="29">
        <f t="shared" si="35"/>
        <v>262.5</v>
      </c>
      <c r="AO32" s="41" t="str">
        <f t="shared" si="36"/>
        <v>M</v>
      </c>
      <c r="AP32" s="41"/>
      <c r="AQ32" s="31">
        <f t="shared" si="37"/>
        <v>1</v>
      </c>
      <c r="AR32" s="217">
        <f t="shared" ca="1" si="38"/>
        <v>5410037033</v>
      </c>
      <c r="AS32" s="41">
        <f t="shared" ca="1" si="39"/>
        <v>5</v>
      </c>
      <c r="AT32" s="177">
        <f t="shared" ca="1" si="40"/>
        <v>5410</v>
      </c>
      <c r="AU32" s="115">
        <f t="shared" ca="1" si="41"/>
        <v>4</v>
      </c>
      <c r="AV32" s="198">
        <f t="shared" ca="1" si="42"/>
        <v>2</v>
      </c>
      <c r="AW32" s="181">
        <f t="shared" si="43"/>
        <v>175</v>
      </c>
      <c r="AX32" s="29">
        <f t="shared" si="44"/>
        <v>33</v>
      </c>
      <c r="AY32" s="217">
        <f ca="1">IF(OR(E32="",F32="",ISERROR(AE32)),0,(100000000*MATCH(E32,INDIRECT($AI$1),0)+IF(AE32=1,(16-IF(AO32="M",MATCH(G32,Setup!$K$9:$K$23,0),MATCH(G32,Setup!$M$9:$M$23)))*1000000,0)+IF(AB32&gt;0,IF(AE32=1,RANK(AB32,AB:AB,-1)*1000+AX32,IF(AE32=2,AC32,AD32)),0)))</f>
        <v>5410037033</v>
      </c>
      <c r="AZ32" s="42"/>
      <c r="BA32" s="42"/>
      <c r="BB32" s="42"/>
      <c r="BC32" s="42"/>
      <c r="BD32" s="42"/>
      <c r="BE32" s="42"/>
      <c r="BF32" s="42"/>
      <c r="BG32" s="42"/>
      <c r="BH32" s="96"/>
      <c r="BI32" s="96"/>
      <c r="BJ32" s="96"/>
      <c r="BK32" s="96"/>
      <c r="BL32" s="96"/>
      <c r="BM32" s="96"/>
      <c r="BN32" s="33"/>
      <c r="CJ32" s="31">
        <v>0</v>
      </c>
      <c r="CK32" s="31">
        <v>1</v>
      </c>
      <c r="CL32" s="31">
        <v>1</v>
      </c>
      <c r="CM32" s="31">
        <v>1</v>
      </c>
      <c r="CN32" s="31">
        <v>0</v>
      </c>
      <c r="CO32" s="31">
        <v>0</v>
      </c>
      <c r="CP32" s="31">
        <v>0</v>
      </c>
      <c r="CQ32" s="31">
        <v>1</v>
      </c>
      <c r="CR32" s="31">
        <v>1</v>
      </c>
      <c r="CS32" s="31">
        <v>1</v>
      </c>
      <c r="CT32" s="31">
        <v>0</v>
      </c>
      <c r="CU32" s="31">
        <v>0</v>
      </c>
      <c r="CV32" s="31">
        <v>0</v>
      </c>
      <c r="CW32" s="31">
        <v>1</v>
      </c>
      <c r="CX32" s="31">
        <v>1</v>
      </c>
      <c r="CY32" s="31">
        <v>1</v>
      </c>
      <c r="CZ32" s="31">
        <v>0</v>
      </c>
    </row>
    <row r="33" spans="1:104" s="31" customFormat="1" x14ac:dyDescent="0.2">
      <c r="A33" s="31">
        <f t="shared" si="45"/>
        <v>147.5</v>
      </c>
      <c r="B33" s="19" t="s">
        <v>33</v>
      </c>
      <c r="C33" s="219" t="s">
        <v>488</v>
      </c>
      <c r="D33" s="19">
        <v>18</v>
      </c>
      <c r="E33" s="19" t="s">
        <v>262</v>
      </c>
      <c r="F33" s="19">
        <v>175</v>
      </c>
      <c r="G33" s="42">
        <f>IF(OR(E33="",F33=""),"",IF(LEFT(E33,1)="M",VLOOKUP(F33,Setup!$J$9:$K$23,2,TRUE),VLOOKUP(F33,Setup!$L$9:$M$23,2,TRUE)))</f>
        <v>181</v>
      </c>
      <c r="H33" s="42">
        <f>IF(F33="",0,VLOOKUP(AL33,DATA!$L$2:$N$1910,IF(LEFT(E33,1)="F",3,2)))</f>
        <v>0.66120000000000001</v>
      </c>
      <c r="I33" s="19"/>
      <c r="J33" s="19" t="s">
        <v>486</v>
      </c>
      <c r="K33" s="234">
        <v>130</v>
      </c>
      <c r="L33" s="234">
        <v>145</v>
      </c>
      <c r="M33" s="234">
        <v>147.5</v>
      </c>
      <c r="N33" s="133"/>
      <c r="O33" s="134">
        <f t="shared" si="24"/>
        <v>147.5</v>
      </c>
      <c r="P33" s="224"/>
      <c r="Q33" s="233">
        <v>77.5</v>
      </c>
      <c r="R33" s="233">
        <v>82.5</v>
      </c>
      <c r="S33" s="233">
        <v>85</v>
      </c>
      <c r="T33" s="133"/>
      <c r="U33" s="134">
        <f t="shared" si="25"/>
        <v>85</v>
      </c>
      <c r="V33" s="135">
        <f t="shared" si="26"/>
        <v>232.5</v>
      </c>
      <c r="W33" s="233">
        <v>147.5</v>
      </c>
      <c r="X33" s="233">
        <v>170</v>
      </c>
      <c r="Y33" s="233">
        <v>177.5</v>
      </c>
      <c r="Z33" s="133"/>
      <c r="AA33" s="134">
        <f t="shared" si="27"/>
        <v>177.5</v>
      </c>
      <c r="AB33" s="135">
        <f t="shared" si="28"/>
        <v>410</v>
      </c>
      <c r="AC33" s="136">
        <f t="shared" si="29"/>
        <v>271.09199999999998</v>
      </c>
      <c r="AD33" s="136">
        <f>IF(OR(AB33=0,D33="",AND(D33&lt;40,D33&gt;22)),0,VLOOKUP($D33,DATA!$A$2:$B$53,2,TRUE)*AC33)</f>
        <v>287.35752000000002</v>
      </c>
      <c r="AE33" s="197">
        <f ca="1">IF(E33="","",OFFSET(Setup!$Q$1,MATCH(E33,Setup!O:O,0)-1,0))</f>
        <v>1</v>
      </c>
      <c r="AF33" s="134" t="str">
        <f t="shared" ca="1" si="30"/>
        <v>1-M-T3R-181</v>
      </c>
      <c r="AG33" s="42">
        <f ca="1">IF(OR(AB33=0),0,VLOOKUP(AV33,Setup!$S$6:$T$15,2,TRUE))</f>
        <v>7</v>
      </c>
      <c r="AH33" s="137" t="s">
        <v>487</v>
      </c>
      <c r="AI33" s="132" t="s">
        <v>216</v>
      </c>
      <c r="AJ33" s="124">
        <f t="shared" si="31"/>
        <v>1</v>
      </c>
      <c r="AK33" s="42">
        <f t="shared" si="32"/>
        <v>6</v>
      </c>
      <c r="AL33" s="29">
        <f t="shared" si="33"/>
        <v>79.400000000000006</v>
      </c>
      <c r="AM33" s="29">
        <f t="shared" si="34"/>
        <v>410</v>
      </c>
      <c r="AN33" s="29">
        <f t="shared" si="35"/>
        <v>262.5</v>
      </c>
      <c r="AO33" s="41" t="str">
        <f t="shared" si="36"/>
        <v>M</v>
      </c>
      <c r="AP33" s="41"/>
      <c r="AQ33" s="31">
        <f t="shared" si="37"/>
        <v>1</v>
      </c>
      <c r="AR33" s="217">
        <f t="shared" ca="1" si="38"/>
        <v>5210037033</v>
      </c>
      <c r="AS33" s="41">
        <f t="shared" ca="1" si="39"/>
        <v>9</v>
      </c>
      <c r="AT33" s="177">
        <f t="shared" ca="1" si="40"/>
        <v>5210</v>
      </c>
      <c r="AU33" s="115">
        <f t="shared" ca="1" si="41"/>
        <v>9</v>
      </c>
      <c r="AV33" s="198">
        <f t="shared" ca="1" si="42"/>
        <v>1</v>
      </c>
      <c r="AW33" s="181">
        <f t="shared" si="43"/>
        <v>175</v>
      </c>
      <c r="AX33" s="29">
        <f t="shared" si="44"/>
        <v>33</v>
      </c>
      <c r="AY33" s="217">
        <f ca="1">IF(OR(E33="",F33="",ISERROR(AE33)),0,(100000000*MATCH(E33,INDIRECT($AI$1),0)+IF(AE33=1,(16-IF(AO33="M",MATCH(G33,Setup!$K$9:$K$23,0),MATCH(G33,Setup!$M$9:$M$23)))*1000000,0)+IF(AB33&gt;0,IF(AE33=1,RANK(AB33,AB:AB,-1)*1000+AX33,IF(AE33=2,AC33,AD33)),0)))</f>
        <v>5210037033</v>
      </c>
      <c r="AZ33" s="42"/>
      <c r="BA33" s="42"/>
      <c r="BB33" s="42"/>
      <c r="BC33" s="42"/>
      <c r="BD33" s="42"/>
      <c r="BE33" s="42"/>
      <c r="BF33" s="42"/>
      <c r="BG33" s="42"/>
      <c r="BH33" s="96"/>
      <c r="BI33" s="96"/>
      <c r="BJ33" s="96"/>
      <c r="BK33" s="96"/>
      <c r="BL33" s="96"/>
      <c r="BM33" s="96"/>
      <c r="BN33" s="33"/>
      <c r="CJ33" s="31">
        <v>0</v>
      </c>
      <c r="CK33" s="31">
        <v>1</v>
      </c>
      <c r="CL33" s="31">
        <v>1</v>
      </c>
      <c r="CM33" s="31">
        <v>1</v>
      </c>
      <c r="CN33" s="31">
        <v>0</v>
      </c>
      <c r="CO33" s="31">
        <v>0</v>
      </c>
      <c r="CP33" s="31">
        <v>0</v>
      </c>
      <c r="CQ33" s="31">
        <v>1</v>
      </c>
      <c r="CR33" s="31">
        <v>1</v>
      </c>
      <c r="CS33" s="31">
        <v>1</v>
      </c>
      <c r="CT33" s="31">
        <v>0</v>
      </c>
      <c r="CU33" s="31">
        <v>0</v>
      </c>
      <c r="CV33" s="31">
        <v>0</v>
      </c>
      <c r="CW33" s="31">
        <v>1</v>
      </c>
      <c r="CX33" s="31">
        <v>1</v>
      </c>
      <c r="CY33" s="31">
        <v>1</v>
      </c>
      <c r="CZ33" s="31">
        <v>0</v>
      </c>
    </row>
    <row r="34" spans="1:104" s="31" customFormat="1" x14ac:dyDescent="0.2">
      <c r="A34" s="31">
        <f t="shared" si="45"/>
        <v>150</v>
      </c>
      <c r="B34" s="19" t="s">
        <v>33</v>
      </c>
      <c r="C34" s="219" t="s">
        <v>516</v>
      </c>
      <c r="D34" s="19">
        <v>41</v>
      </c>
      <c r="E34" s="19" t="s">
        <v>517</v>
      </c>
      <c r="F34" s="19">
        <v>254.5</v>
      </c>
      <c r="G34" s="42">
        <f>IF(OR(E34="",F34=""),"",IF(LEFT(E34,1)="M",VLOOKUP(F34,Setup!$J$9:$K$23,2,TRUE),VLOOKUP(F34,Setup!$L$9:$M$23,2,TRUE)))</f>
        <v>275</v>
      </c>
      <c r="H34" s="42">
        <f>IF(F34="",0,VLOOKUP(AL34,DATA!$L$2:$N$1910,IF(LEFT(E34,1)="F",3,2)))</f>
        <v>0.55574999999999997</v>
      </c>
      <c r="I34" s="19"/>
      <c r="J34" s="19" t="s">
        <v>484</v>
      </c>
      <c r="K34" s="235">
        <v>250</v>
      </c>
      <c r="L34" s="234">
        <v>275</v>
      </c>
      <c r="M34" s="235">
        <v>-290</v>
      </c>
      <c r="N34" s="133"/>
      <c r="O34" s="134">
        <f t="shared" si="24"/>
        <v>275</v>
      </c>
      <c r="P34" s="224"/>
      <c r="Q34" s="233">
        <v>185</v>
      </c>
      <c r="R34" s="233">
        <v>195</v>
      </c>
      <c r="S34" s="233">
        <v>212.5</v>
      </c>
      <c r="T34" s="133"/>
      <c r="U34" s="134">
        <f t="shared" si="25"/>
        <v>212.5</v>
      </c>
      <c r="V34" s="135">
        <f t="shared" si="26"/>
        <v>487.5</v>
      </c>
      <c r="W34" s="233">
        <v>150</v>
      </c>
      <c r="X34" s="233">
        <v>160</v>
      </c>
      <c r="Y34" s="233">
        <v>185</v>
      </c>
      <c r="Z34" s="133"/>
      <c r="AA34" s="134">
        <f t="shared" si="27"/>
        <v>185</v>
      </c>
      <c r="AB34" s="135">
        <f t="shared" si="28"/>
        <v>672.5</v>
      </c>
      <c r="AC34" s="136">
        <f t="shared" si="29"/>
        <v>373.74187499999999</v>
      </c>
      <c r="AD34" s="136">
        <f>IF(OR(AB34=0,D34="",AND(D34&lt;40,D34&gt;22)),0,VLOOKUP($D34,DATA!$A$2:$B$53,2,TRUE)*AC34)</f>
        <v>377.47929375000001</v>
      </c>
      <c r="AE34" s="197" t="e">
        <f ca="1">IF(E34="","",OFFSET(Setup!$Q$1,MATCH(E34,Setup!O:O,0)-1,0))</f>
        <v>#N/A</v>
      </c>
      <c r="AF34" s="134">
        <f t="shared" ca="1" si="30"/>
        <v>0</v>
      </c>
      <c r="AG34" s="42">
        <f ca="1">IF(OR(AB34=0),0,VLOOKUP(AV34,Setup!$S$6:$T$15,2,TRUE))</f>
        <v>7</v>
      </c>
      <c r="AH34" s="137"/>
      <c r="AI34" s="132" t="s">
        <v>216</v>
      </c>
      <c r="AJ34" s="124">
        <f t="shared" si="31"/>
        <v>1</v>
      </c>
      <c r="AK34" s="42">
        <f t="shared" si="32"/>
        <v>6</v>
      </c>
      <c r="AL34" s="29">
        <f t="shared" si="33"/>
        <v>115.4</v>
      </c>
      <c r="AM34" s="29">
        <f t="shared" si="34"/>
        <v>672.5</v>
      </c>
      <c r="AN34" s="29">
        <f t="shared" si="35"/>
        <v>397.5</v>
      </c>
      <c r="AO34" s="41" t="str">
        <f t="shared" si="36"/>
        <v>M</v>
      </c>
      <c r="AP34" s="41"/>
      <c r="AQ34" s="31">
        <f t="shared" si="37"/>
        <v>1</v>
      </c>
      <c r="AR34" s="217">
        <f t="shared" ca="1" si="38"/>
        <v>0</v>
      </c>
      <c r="AS34" s="41">
        <f t="shared" ca="1" si="39"/>
        <v>50</v>
      </c>
      <c r="AT34" s="177">
        <f t="shared" ca="1" si="40"/>
        <v>0</v>
      </c>
      <c r="AU34" s="115">
        <f t="shared" ca="1" si="41"/>
        <v>50</v>
      </c>
      <c r="AV34" s="198">
        <f t="shared" ca="1" si="42"/>
        <v>1</v>
      </c>
      <c r="AW34" s="181">
        <f t="shared" si="43"/>
        <v>254.5</v>
      </c>
      <c r="AX34" s="29">
        <f t="shared" si="44"/>
        <v>6</v>
      </c>
      <c r="AY34" s="217">
        <f ca="1">IF(OR(E34="",F34="",ISERROR(AE34)),0,(100000000*MATCH(E34,INDIRECT($AI$1),0)+IF(AE34=1,(16-IF(AO34="M",MATCH(G34,Setup!$K$9:$K$23,0),MATCH(G34,Setup!$M$9:$M$23)))*1000000,0)+IF(AB34&gt;0,IF(AE34=1,RANK(AB34,AB:AB,-1)*1000+AX34,IF(AE34=2,AC34,AD34)),0)))</f>
        <v>0</v>
      </c>
      <c r="AZ34" s="42"/>
      <c r="BA34" s="42"/>
      <c r="BB34" s="42"/>
      <c r="BC34" s="42"/>
      <c r="BD34" s="42"/>
      <c r="BE34" s="42"/>
      <c r="BF34" s="42"/>
      <c r="BG34" s="42"/>
      <c r="BH34" s="96"/>
      <c r="BI34" s="96"/>
      <c r="BJ34" s="96"/>
      <c r="BK34" s="96"/>
      <c r="BL34" s="96"/>
      <c r="BM34" s="96"/>
      <c r="BN34" s="33"/>
      <c r="CJ34" s="31">
        <v>0</v>
      </c>
      <c r="CK34" s="31">
        <v>1</v>
      </c>
      <c r="CL34" s="31">
        <v>1</v>
      </c>
      <c r="CM34" s="31">
        <v>-1</v>
      </c>
      <c r="CN34" s="31">
        <v>0</v>
      </c>
      <c r="CO34" s="31">
        <v>0</v>
      </c>
      <c r="CP34" s="31">
        <v>0</v>
      </c>
      <c r="CQ34" s="31">
        <v>1</v>
      </c>
      <c r="CR34" s="31">
        <v>1</v>
      </c>
      <c r="CS34" s="31">
        <v>1</v>
      </c>
      <c r="CT34" s="31">
        <v>0</v>
      </c>
      <c r="CU34" s="31">
        <v>0</v>
      </c>
      <c r="CV34" s="31">
        <v>0</v>
      </c>
      <c r="CW34" s="31">
        <v>1</v>
      </c>
      <c r="CX34" s="31">
        <v>1</v>
      </c>
      <c r="CY34" s="31">
        <v>1</v>
      </c>
      <c r="CZ34" s="31">
        <v>0</v>
      </c>
    </row>
    <row r="35" spans="1:104" s="31" customFormat="1" x14ac:dyDescent="0.2">
      <c r="A35" s="31">
        <f t="shared" si="45"/>
        <v>150</v>
      </c>
      <c r="B35" s="19" t="s">
        <v>33</v>
      </c>
      <c r="C35" s="219" t="s">
        <v>515</v>
      </c>
      <c r="D35" s="19">
        <v>41</v>
      </c>
      <c r="E35" s="19" t="s">
        <v>505</v>
      </c>
      <c r="F35" s="19">
        <v>254.4</v>
      </c>
      <c r="G35" s="42">
        <f>IF(OR(E35="",F35=""),"",IF(LEFT(E35,1)="M",VLOOKUP(F35,Setup!$J$9:$K$23,2,TRUE),VLOOKUP(F35,Setup!$L$9:$M$23,2,TRUE)))</f>
        <v>275</v>
      </c>
      <c r="H35" s="42">
        <f>IF(F35="",0,VLOOKUP(AL35,DATA!$L$2:$N$1910,IF(LEFT(E35,1)="F",3,2)))</f>
        <v>0.55574999999999997</v>
      </c>
      <c r="I35" s="19"/>
      <c r="J35" s="19" t="s">
        <v>484</v>
      </c>
      <c r="K35" s="235">
        <v>250</v>
      </c>
      <c r="L35" s="234">
        <v>275</v>
      </c>
      <c r="M35" s="235">
        <v>-290</v>
      </c>
      <c r="N35" s="133"/>
      <c r="O35" s="134">
        <f t="shared" si="24"/>
        <v>275</v>
      </c>
      <c r="P35" s="224"/>
      <c r="Q35" s="233">
        <v>185</v>
      </c>
      <c r="R35" s="233">
        <v>195</v>
      </c>
      <c r="S35" s="233">
        <v>212.5</v>
      </c>
      <c r="T35" s="133"/>
      <c r="U35" s="134">
        <f t="shared" si="25"/>
        <v>212.5</v>
      </c>
      <c r="V35" s="135">
        <f t="shared" si="26"/>
        <v>487.5</v>
      </c>
      <c r="W35" s="233">
        <v>150</v>
      </c>
      <c r="X35" s="233">
        <v>160</v>
      </c>
      <c r="Y35" s="233">
        <v>185</v>
      </c>
      <c r="Z35" s="133"/>
      <c r="AA35" s="134">
        <f t="shared" si="27"/>
        <v>185</v>
      </c>
      <c r="AB35" s="135">
        <f t="shared" si="28"/>
        <v>672.5</v>
      </c>
      <c r="AC35" s="136">
        <f t="shared" si="29"/>
        <v>373.74187499999999</v>
      </c>
      <c r="AD35" s="136">
        <f>IF(OR(AB35=0,D35="",AND(D35&lt;40,D35&gt;22)),0,VLOOKUP($D35,DATA!$A$2:$B$53,2,TRUE)*AC35)</f>
        <v>377.47929375000001</v>
      </c>
      <c r="AE35" s="197" t="e">
        <f ca="1">IF(E35="","",OFFSET(Setup!$Q$1,MATCH(E35,Setup!O:O,0)-1,0))</f>
        <v>#N/A</v>
      </c>
      <c r="AF35" s="134">
        <f t="shared" ca="1" si="30"/>
        <v>0</v>
      </c>
      <c r="AG35" s="42">
        <f ca="1">IF(OR(AB35=0),0,VLOOKUP(AV35,Setup!$S$6:$T$15,2,TRUE))</f>
        <v>7</v>
      </c>
      <c r="AH35" s="137"/>
      <c r="AI35" s="132" t="s">
        <v>216</v>
      </c>
      <c r="AJ35" s="124">
        <f t="shared" si="31"/>
        <v>1</v>
      </c>
      <c r="AK35" s="42">
        <f t="shared" si="32"/>
        <v>6</v>
      </c>
      <c r="AL35" s="29">
        <f t="shared" si="33"/>
        <v>115.4</v>
      </c>
      <c r="AM35" s="29">
        <f t="shared" si="34"/>
        <v>672.5</v>
      </c>
      <c r="AN35" s="29">
        <f t="shared" si="35"/>
        <v>397.5</v>
      </c>
      <c r="AO35" s="41" t="str">
        <f t="shared" si="36"/>
        <v>M</v>
      </c>
      <c r="AP35" s="41"/>
      <c r="AQ35" s="31">
        <f t="shared" si="37"/>
        <v>1</v>
      </c>
      <c r="AR35" s="217">
        <f t="shared" ca="1" si="38"/>
        <v>0</v>
      </c>
      <c r="AS35" s="41">
        <f t="shared" ca="1" si="39"/>
        <v>50</v>
      </c>
      <c r="AT35" s="177">
        <f t="shared" ca="1" si="40"/>
        <v>0</v>
      </c>
      <c r="AU35" s="115">
        <f t="shared" ca="1" si="41"/>
        <v>50</v>
      </c>
      <c r="AV35" s="198">
        <f t="shared" ca="1" si="42"/>
        <v>1</v>
      </c>
      <c r="AW35" s="181">
        <f t="shared" si="43"/>
        <v>254.4</v>
      </c>
      <c r="AX35" s="29">
        <f t="shared" si="44"/>
        <v>7</v>
      </c>
      <c r="AY35" s="217">
        <f ca="1">IF(OR(E35="",F35="",ISERROR(AE35)),0,(100000000*MATCH(E35,INDIRECT($AI$1),0)+IF(AE35=1,(16-IF(AO35="M",MATCH(G35,Setup!$K$9:$K$23,0),MATCH(G35,Setup!$M$9:$M$23)))*1000000,0)+IF(AB35&gt;0,IF(AE35=1,RANK(AB35,AB:AB,-1)*1000+AX35,IF(AE35=2,AC35,AD35)),0)))</f>
        <v>0</v>
      </c>
      <c r="AZ35" s="42"/>
      <c r="BA35" s="42"/>
      <c r="BB35" s="42"/>
      <c r="BC35" s="42"/>
      <c r="BD35" s="42"/>
      <c r="BE35" s="42"/>
      <c r="BF35" s="42"/>
      <c r="BG35" s="42"/>
      <c r="BH35" s="96"/>
      <c r="BI35" s="96"/>
      <c r="BJ35" s="96"/>
      <c r="BK35" s="96"/>
      <c r="BL35" s="96"/>
      <c r="BM35" s="96"/>
      <c r="BN35" s="33"/>
      <c r="CJ35" s="31">
        <v>0</v>
      </c>
      <c r="CK35" s="31">
        <v>1</v>
      </c>
      <c r="CL35" s="31">
        <v>1</v>
      </c>
      <c r="CM35" s="31">
        <v>-1</v>
      </c>
      <c r="CN35" s="31">
        <v>0</v>
      </c>
      <c r="CO35" s="31">
        <v>0</v>
      </c>
      <c r="CP35" s="31">
        <v>0</v>
      </c>
      <c r="CQ35" s="31">
        <v>1</v>
      </c>
      <c r="CR35" s="31">
        <v>1</v>
      </c>
      <c r="CS35" s="31">
        <v>1</v>
      </c>
      <c r="CT35" s="31">
        <v>0</v>
      </c>
      <c r="CU35" s="31">
        <v>0</v>
      </c>
      <c r="CV35" s="31">
        <v>0</v>
      </c>
      <c r="CW35" s="31">
        <v>1</v>
      </c>
      <c r="CX35" s="31">
        <v>1</v>
      </c>
      <c r="CY35" s="31">
        <v>1</v>
      </c>
      <c r="CZ35" s="31">
        <v>0</v>
      </c>
    </row>
    <row r="36" spans="1:104" s="31" customFormat="1" x14ac:dyDescent="0.2">
      <c r="A36" s="31">
        <f t="shared" si="45"/>
        <v>152.5</v>
      </c>
      <c r="B36" s="19" t="s">
        <v>33</v>
      </c>
      <c r="C36" s="219" t="s">
        <v>483</v>
      </c>
      <c r="D36" s="19">
        <v>30</v>
      </c>
      <c r="E36" s="19" t="s">
        <v>264</v>
      </c>
      <c r="F36" s="19">
        <v>181</v>
      </c>
      <c r="G36" s="42">
        <f>IF(OR(E36="",F36=""),"",IF(LEFT(E36,1)="M",VLOOKUP(F36,Setup!$J$9:$K$23,2,TRUE),VLOOKUP(F36,Setup!$L$9:$M$23,2,TRUE)))</f>
        <v>181</v>
      </c>
      <c r="H36" s="42">
        <f>IF(F36="",0,VLOOKUP(AL36,DATA!$L$2:$N$1910,IF(LEFT(E36,1)="F",3,2)))</f>
        <v>0.64664999999999995</v>
      </c>
      <c r="I36" s="19"/>
      <c r="J36" s="19" t="s">
        <v>484</v>
      </c>
      <c r="K36" s="234">
        <v>125</v>
      </c>
      <c r="L36" s="234">
        <v>132.5</v>
      </c>
      <c r="M36" s="234">
        <v>140</v>
      </c>
      <c r="N36" s="133"/>
      <c r="O36" s="134">
        <f t="shared" si="24"/>
        <v>140</v>
      </c>
      <c r="P36" s="224"/>
      <c r="Q36" s="233">
        <v>85</v>
      </c>
      <c r="R36" s="233">
        <v>97.5</v>
      </c>
      <c r="S36" s="233">
        <v>102.5</v>
      </c>
      <c r="T36" s="133"/>
      <c r="U36" s="134">
        <f t="shared" si="25"/>
        <v>102.5</v>
      </c>
      <c r="V36" s="135">
        <f t="shared" si="26"/>
        <v>242.5</v>
      </c>
      <c r="W36" s="233">
        <v>152.5</v>
      </c>
      <c r="X36" s="233">
        <v>175</v>
      </c>
      <c r="Y36" s="233">
        <v>185</v>
      </c>
      <c r="Z36" s="133"/>
      <c r="AA36" s="134">
        <f t="shared" si="27"/>
        <v>185</v>
      </c>
      <c r="AB36" s="135">
        <f t="shared" si="28"/>
        <v>427.5</v>
      </c>
      <c r="AC36" s="136">
        <f t="shared" si="29"/>
        <v>276.44287499999996</v>
      </c>
      <c r="AD36" s="136">
        <f>IF(OR(AB36=0,D36="",AND(D36&lt;40,D36&gt;22)),0,VLOOKUP($D36,DATA!$A$2:$B$53,2,TRUE)*AC36)</f>
        <v>0</v>
      </c>
      <c r="AE36" s="197">
        <f ca="1">IF(E36="","",OFFSET(Setup!$Q$1,MATCH(E36,Setup!O:O,0)-1,0))</f>
        <v>1</v>
      </c>
      <c r="AF36" s="134" t="str">
        <f t="shared" ca="1" si="30"/>
        <v>1-M-OR-181</v>
      </c>
      <c r="AG36" s="42">
        <f ca="1">IF(OR(AB36=0),0,VLOOKUP(AV36,Setup!$S$6:$T$15,2,TRUE))</f>
        <v>7</v>
      </c>
      <c r="AH36" s="137"/>
      <c r="AI36" s="132" t="s">
        <v>216</v>
      </c>
      <c r="AJ36" s="124">
        <f t="shared" si="31"/>
        <v>1</v>
      </c>
      <c r="AK36" s="42">
        <f t="shared" si="32"/>
        <v>6</v>
      </c>
      <c r="AL36" s="29">
        <f t="shared" si="33"/>
        <v>82.1</v>
      </c>
      <c r="AM36" s="29">
        <f t="shared" si="34"/>
        <v>427.5</v>
      </c>
      <c r="AN36" s="29">
        <f t="shared" si="35"/>
        <v>287.5</v>
      </c>
      <c r="AO36" s="41" t="str">
        <f t="shared" si="36"/>
        <v>M</v>
      </c>
      <c r="AP36" s="41"/>
      <c r="AQ36" s="31">
        <f t="shared" si="37"/>
        <v>1</v>
      </c>
      <c r="AR36" s="217">
        <f t="shared" ca="1" si="38"/>
        <v>5410040028</v>
      </c>
      <c r="AS36" s="41">
        <f t="shared" ca="1" si="39"/>
        <v>4</v>
      </c>
      <c r="AT36" s="177">
        <f t="shared" ca="1" si="40"/>
        <v>5410</v>
      </c>
      <c r="AU36" s="115">
        <f t="shared" ca="1" si="41"/>
        <v>4</v>
      </c>
      <c r="AV36" s="198">
        <f t="shared" ca="1" si="42"/>
        <v>1</v>
      </c>
      <c r="AW36" s="181">
        <f t="shared" si="43"/>
        <v>181</v>
      </c>
      <c r="AX36" s="29">
        <f t="shared" si="44"/>
        <v>28</v>
      </c>
      <c r="AY36" s="217">
        <f ca="1">IF(OR(E36="",F36="",ISERROR(AE36)),0,(100000000*MATCH(E36,INDIRECT($AI$1),0)+IF(AE36=1,(16-IF(AO36="M",MATCH(G36,Setup!$K$9:$K$23,0),MATCH(G36,Setup!$M$9:$M$23)))*1000000,0)+IF(AB36&gt;0,IF(AE36=1,RANK(AB36,AB:AB,-1)*1000+AX36,IF(AE36=2,AC36,AD36)),0)))</f>
        <v>5410040028</v>
      </c>
      <c r="AZ36" s="42"/>
      <c r="BA36" s="42"/>
      <c r="BB36" s="42"/>
      <c r="BC36" s="42"/>
      <c r="BD36" s="42"/>
      <c r="BE36" s="42"/>
      <c r="BF36" s="42"/>
      <c r="BG36" s="42"/>
      <c r="BH36" s="96"/>
      <c r="BI36" s="96"/>
      <c r="BJ36" s="96"/>
      <c r="BK36" s="96"/>
      <c r="BL36" s="96"/>
      <c r="BM36" s="96"/>
      <c r="BN36" s="33"/>
      <c r="CJ36" s="31">
        <v>0</v>
      </c>
      <c r="CK36" s="31">
        <v>1</v>
      </c>
      <c r="CL36" s="31">
        <v>1</v>
      </c>
      <c r="CM36" s="31">
        <v>1</v>
      </c>
      <c r="CN36" s="31">
        <v>0</v>
      </c>
      <c r="CO36" s="31">
        <v>0</v>
      </c>
      <c r="CP36" s="31">
        <v>0</v>
      </c>
      <c r="CQ36" s="31">
        <v>1</v>
      </c>
      <c r="CR36" s="31">
        <v>1</v>
      </c>
      <c r="CS36" s="31">
        <v>1</v>
      </c>
      <c r="CT36" s="31">
        <v>0</v>
      </c>
      <c r="CU36" s="31">
        <v>0</v>
      </c>
      <c r="CV36" s="31">
        <v>0</v>
      </c>
      <c r="CW36" s="31">
        <v>1</v>
      </c>
      <c r="CX36" s="31">
        <v>1</v>
      </c>
      <c r="CY36" s="31">
        <v>1</v>
      </c>
      <c r="CZ36" s="31">
        <v>0</v>
      </c>
    </row>
    <row r="37" spans="1:104" s="31" customFormat="1" x14ac:dyDescent="0.2">
      <c r="A37" s="31">
        <f t="shared" si="45"/>
        <v>165</v>
      </c>
      <c r="B37" s="19" t="s">
        <v>33</v>
      </c>
      <c r="C37" s="219" t="s">
        <v>497</v>
      </c>
      <c r="D37" s="19">
        <v>38</v>
      </c>
      <c r="E37" s="19" t="s">
        <v>498</v>
      </c>
      <c r="F37" s="19">
        <v>213</v>
      </c>
      <c r="G37" s="42">
        <f>IF(OR(E37="",F37=""),"",IF(LEFT(E37,1)="M",VLOOKUP(F37,Setup!$J$9:$K$23,2,TRUE),VLOOKUP(F37,Setup!$L$9:$M$23,2,TRUE)))</f>
        <v>220</v>
      </c>
      <c r="H37" s="42">
        <f>IF(F37="",0,VLOOKUP(AL37,DATA!$L$2:$N$1910,IF(LEFT(E37,1)="F",3,2)))</f>
        <v>0.59019999999999995</v>
      </c>
      <c r="I37" s="19"/>
      <c r="J37" s="19" t="s">
        <v>499</v>
      </c>
      <c r="K37" s="234">
        <v>182.5</v>
      </c>
      <c r="L37" s="234">
        <v>200</v>
      </c>
      <c r="M37" s="235">
        <v>-215</v>
      </c>
      <c r="N37" s="133"/>
      <c r="O37" s="134">
        <f t="shared" si="24"/>
        <v>200</v>
      </c>
      <c r="P37" s="224"/>
      <c r="Q37" s="233">
        <v>102.5</v>
      </c>
      <c r="R37" s="233">
        <v>120</v>
      </c>
      <c r="S37" s="133">
        <v>-127.5</v>
      </c>
      <c r="T37" s="133"/>
      <c r="U37" s="134">
        <f t="shared" si="25"/>
        <v>120</v>
      </c>
      <c r="V37" s="135">
        <f t="shared" si="26"/>
        <v>320</v>
      </c>
      <c r="W37" s="233">
        <v>165</v>
      </c>
      <c r="X37" s="133">
        <v>-182.5</v>
      </c>
      <c r="Y37" s="233">
        <v>182.5</v>
      </c>
      <c r="Z37" s="133"/>
      <c r="AA37" s="134">
        <f t="shared" si="27"/>
        <v>182.5</v>
      </c>
      <c r="AB37" s="135">
        <f t="shared" si="28"/>
        <v>502.5</v>
      </c>
      <c r="AC37" s="136">
        <f t="shared" si="29"/>
        <v>296.57549999999998</v>
      </c>
      <c r="AD37" s="136">
        <f>IF(OR(AB37=0,D37="",AND(D37&lt;40,D37&gt;22)),0,VLOOKUP($D37,DATA!$A$2:$B$53,2,TRUE)*AC37)</f>
        <v>0</v>
      </c>
      <c r="AE37" s="197" t="e">
        <f ca="1">IF(E37="","",OFFSET(Setup!$Q$1,MATCH(E37,Setup!O:O,0)-1,0))</f>
        <v>#N/A</v>
      </c>
      <c r="AF37" s="134">
        <f t="shared" ca="1" si="30"/>
        <v>0</v>
      </c>
      <c r="AG37" s="42">
        <f ca="1">IF(OR(AB37=0),0,VLOOKUP(AV37,Setup!$S$6:$T$15,2,TRUE))</f>
        <v>7</v>
      </c>
      <c r="AH37" s="137"/>
      <c r="AI37" s="132" t="s">
        <v>216</v>
      </c>
      <c r="AJ37" s="124">
        <f t="shared" si="31"/>
        <v>1</v>
      </c>
      <c r="AK37" s="42">
        <f t="shared" si="32"/>
        <v>6</v>
      </c>
      <c r="AL37" s="29">
        <f t="shared" si="33"/>
        <v>96.6</v>
      </c>
      <c r="AM37" s="29">
        <f t="shared" si="34"/>
        <v>502.5</v>
      </c>
      <c r="AN37" s="29">
        <f t="shared" si="35"/>
        <v>302.5</v>
      </c>
      <c r="AO37" s="41" t="str">
        <f t="shared" si="36"/>
        <v>M</v>
      </c>
      <c r="AP37" s="41"/>
      <c r="AQ37" s="31">
        <f t="shared" si="37"/>
        <v>1</v>
      </c>
      <c r="AR37" s="217">
        <f t="shared" ca="1" si="38"/>
        <v>0</v>
      </c>
      <c r="AS37" s="41">
        <f t="shared" ca="1" si="39"/>
        <v>50</v>
      </c>
      <c r="AT37" s="177">
        <f t="shared" ca="1" si="40"/>
        <v>0</v>
      </c>
      <c r="AU37" s="115">
        <f t="shared" ca="1" si="41"/>
        <v>50</v>
      </c>
      <c r="AV37" s="198">
        <f t="shared" ca="1" si="42"/>
        <v>1</v>
      </c>
      <c r="AW37" s="181">
        <f t="shared" si="43"/>
        <v>213</v>
      </c>
      <c r="AX37" s="29">
        <f t="shared" si="44"/>
        <v>17</v>
      </c>
      <c r="AY37" s="217">
        <f ca="1">IF(OR(E37="",F37="",ISERROR(AE37)),0,(100000000*MATCH(E37,INDIRECT($AI$1),0)+IF(AE37=1,(16-IF(AO37="M",MATCH(G37,Setup!$K$9:$K$23,0),MATCH(G37,Setup!$M$9:$M$23)))*1000000,0)+IF(AB37&gt;0,IF(AE37=1,RANK(AB37,AB:AB,-1)*1000+AX37,IF(AE37=2,AC37,AD37)),0)))</f>
        <v>0</v>
      </c>
      <c r="AZ37" s="42"/>
      <c r="BA37" s="42"/>
      <c r="BB37" s="42"/>
      <c r="BC37" s="42"/>
      <c r="BD37" s="42"/>
      <c r="BE37" s="42"/>
      <c r="BF37" s="42"/>
      <c r="BG37" s="42"/>
      <c r="BH37" s="96"/>
      <c r="BI37" s="96"/>
      <c r="BJ37" s="96"/>
      <c r="BK37" s="96"/>
      <c r="BL37" s="96"/>
      <c r="BM37" s="96"/>
      <c r="BN37" s="33"/>
      <c r="CJ37" s="31">
        <v>0</v>
      </c>
      <c r="CK37" s="31">
        <v>1</v>
      </c>
      <c r="CL37" s="31">
        <v>1</v>
      </c>
      <c r="CM37" s="31">
        <v>-1</v>
      </c>
      <c r="CN37" s="31">
        <v>0</v>
      </c>
      <c r="CO37" s="31">
        <v>0</v>
      </c>
      <c r="CP37" s="31">
        <v>0</v>
      </c>
      <c r="CQ37" s="31">
        <v>1</v>
      </c>
      <c r="CR37" s="31">
        <v>1</v>
      </c>
      <c r="CS37" s="31">
        <v>-1</v>
      </c>
      <c r="CT37" s="31">
        <v>0</v>
      </c>
      <c r="CU37" s="31">
        <v>0</v>
      </c>
      <c r="CV37" s="31">
        <v>0</v>
      </c>
      <c r="CW37" s="31">
        <v>1</v>
      </c>
      <c r="CX37" s="31">
        <v>-1</v>
      </c>
      <c r="CY37" s="31">
        <v>1</v>
      </c>
      <c r="CZ37" s="31">
        <v>0</v>
      </c>
    </row>
    <row r="38" spans="1:104" s="31" customFormat="1" x14ac:dyDescent="0.2">
      <c r="A38" s="31">
        <f t="shared" si="45"/>
        <v>205</v>
      </c>
      <c r="B38" s="19" t="s">
        <v>33</v>
      </c>
      <c r="C38" s="219" t="s">
        <v>500</v>
      </c>
      <c r="D38" s="19">
        <v>59</v>
      </c>
      <c r="E38" s="19" t="s">
        <v>501</v>
      </c>
      <c r="F38" s="19">
        <v>214.2</v>
      </c>
      <c r="G38" s="42">
        <f>IF(OR(E38="",F38=""),"",IF(LEFT(E38,1)="M",VLOOKUP(F38,Setup!$J$9:$K$23,2,TRUE),VLOOKUP(F38,Setup!$L$9:$M$23,2,TRUE)))</f>
        <v>220</v>
      </c>
      <c r="H38" s="42">
        <f>IF(F38="",0,VLOOKUP(AL38,DATA!$L$2:$N$1910,IF(LEFT(E38,1)="F",3,2)))</f>
        <v>0.58855000000000002</v>
      </c>
      <c r="I38" s="19"/>
      <c r="J38" s="19" t="s">
        <v>502</v>
      </c>
      <c r="K38" s="234">
        <v>192.5</v>
      </c>
      <c r="L38" s="234">
        <v>205</v>
      </c>
      <c r="M38" s="234">
        <v>220</v>
      </c>
      <c r="N38" s="133"/>
      <c r="O38" s="134">
        <f t="shared" si="24"/>
        <v>220</v>
      </c>
      <c r="P38" s="224"/>
      <c r="Q38" s="233">
        <v>175</v>
      </c>
      <c r="R38" s="133">
        <v>-182.5</v>
      </c>
      <c r="S38" s="133"/>
      <c r="T38" s="133"/>
      <c r="U38" s="134">
        <f t="shared" si="25"/>
        <v>175</v>
      </c>
      <c r="V38" s="135">
        <f t="shared" si="26"/>
        <v>395</v>
      </c>
      <c r="W38" s="233">
        <v>205</v>
      </c>
      <c r="X38" s="233">
        <v>220</v>
      </c>
      <c r="Y38" s="133">
        <v>-227.5</v>
      </c>
      <c r="Z38" s="133"/>
      <c r="AA38" s="134">
        <f t="shared" si="27"/>
        <v>220</v>
      </c>
      <c r="AB38" s="135">
        <f t="shared" si="28"/>
        <v>615</v>
      </c>
      <c r="AC38" s="136">
        <f t="shared" si="29"/>
        <v>361.95825000000002</v>
      </c>
      <c r="AD38" s="136">
        <f>IF(OR(AB38=0,D38="",AND(D38&lt;40,D38&gt;22)),0,VLOOKUP($D38,DATA!$A$2:$B$53,2,TRUE)*AC38)</f>
        <v>475.97509875000003</v>
      </c>
      <c r="AE38" s="197" t="e">
        <f ca="1">IF(E38="","",OFFSET(Setup!$Q$1,MATCH(E38,Setup!O:O,0)-1,0))</f>
        <v>#N/A</v>
      </c>
      <c r="AF38" s="134">
        <f t="shared" ca="1" si="30"/>
        <v>0</v>
      </c>
      <c r="AG38" s="42">
        <f ca="1">IF(OR(AB38=0),0,VLOOKUP(AV38,Setup!$S$6:$T$15,2,TRUE))</f>
        <v>7</v>
      </c>
      <c r="AH38" s="137"/>
      <c r="AI38" s="132" t="s">
        <v>216</v>
      </c>
      <c r="AJ38" s="124">
        <f t="shared" si="31"/>
        <v>1</v>
      </c>
      <c r="AK38" s="42">
        <f t="shared" si="32"/>
        <v>6</v>
      </c>
      <c r="AL38" s="29">
        <f t="shared" si="33"/>
        <v>97.2</v>
      </c>
      <c r="AM38" s="29">
        <f t="shared" si="34"/>
        <v>615</v>
      </c>
      <c r="AN38" s="29">
        <f t="shared" si="35"/>
        <v>395</v>
      </c>
      <c r="AO38" s="41" t="str">
        <f t="shared" si="36"/>
        <v>M</v>
      </c>
      <c r="AP38" s="41"/>
      <c r="AQ38" s="31">
        <f t="shared" si="37"/>
        <v>1</v>
      </c>
      <c r="AR38" s="217">
        <f t="shared" ca="1" si="38"/>
        <v>0</v>
      </c>
      <c r="AS38" s="41">
        <f t="shared" ca="1" si="39"/>
        <v>50</v>
      </c>
      <c r="AT38" s="177">
        <f t="shared" ca="1" si="40"/>
        <v>0</v>
      </c>
      <c r="AU38" s="115">
        <f t="shared" ca="1" si="41"/>
        <v>50</v>
      </c>
      <c r="AV38" s="198">
        <f t="shared" ca="1" si="42"/>
        <v>1</v>
      </c>
      <c r="AW38" s="181">
        <f t="shared" si="43"/>
        <v>214.2</v>
      </c>
      <c r="AX38" s="29">
        <f t="shared" si="44"/>
        <v>15</v>
      </c>
      <c r="AY38" s="217">
        <f ca="1">IF(OR(E38="",F38="",ISERROR(AE38)),0,(100000000*MATCH(E38,INDIRECT($AI$1),0)+IF(AE38=1,(16-IF(AO38="M",MATCH(G38,Setup!$K$9:$K$23,0),MATCH(G38,Setup!$M$9:$M$23)))*1000000,0)+IF(AB38&gt;0,IF(AE38=1,RANK(AB38,AB:AB,-1)*1000+AX38,IF(AE38=2,AC38,AD38)),0)))</f>
        <v>0</v>
      </c>
      <c r="AZ38" s="42"/>
      <c r="BA38" s="42"/>
      <c r="BB38" s="42"/>
      <c r="BC38" s="42"/>
      <c r="BD38" s="42"/>
      <c r="BE38" s="42"/>
      <c r="BF38" s="42"/>
      <c r="BG38" s="42"/>
      <c r="BH38" s="96"/>
      <c r="BI38" s="96"/>
      <c r="BJ38" s="96"/>
      <c r="BK38" s="96"/>
      <c r="BL38" s="96"/>
      <c r="BM38" s="96"/>
      <c r="BN38" s="33"/>
      <c r="CJ38" s="31">
        <v>0</v>
      </c>
      <c r="CK38" s="31">
        <v>1</v>
      </c>
      <c r="CL38" s="31">
        <v>1</v>
      </c>
      <c r="CM38" s="31">
        <v>1</v>
      </c>
      <c r="CN38" s="31">
        <v>0</v>
      </c>
      <c r="CO38" s="31">
        <v>0</v>
      </c>
      <c r="CP38" s="31">
        <v>0</v>
      </c>
      <c r="CQ38" s="31">
        <v>1</v>
      </c>
      <c r="CR38" s="31">
        <v>-1</v>
      </c>
      <c r="CS38" s="31">
        <v>0</v>
      </c>
      <c r="CT38" s="31">
        <v>0</v>
      </c>
      <c r="CU38" s="31">
        <v>0</v>
      </c>
      <c r="CV38" s="31">
        <v>0</v>
      </c>
      <c r="CW38" s="31">
        <v>1</v>
      </c>
      <c r="CX38" s="31">
        <v>1</v>
      </c>
      <c r="CY38" s="31">
        <v>-1</v>
      </c>
      <c r="CZ38" s="31">
        <v>0</v>
      </c>
    </row>
    <row r="39" spans="1:104" s="31" customFormat="1" x14ac:dyDescent="0.2">
      <c r="A39" s="31">
        <f t="shared" si="45"/>
        <v>205</v>
      </c>
      <c r="B39" s="19" t="s">
        <v>33</v>
      </c>
      <c r="C39" s="219" t="s">
        <v>494</v>
      </c>
      <c r="D39" s="19">
        <v>20</v>
      </c>
      <c r="E39" s="19" t="s">
        <v>495</v>
      </c>
      <c r="F39" s="19">
        <v>235.5</v>
      </c>
      <c r="G39" s="42">
        <f>IF(OR(E39="",F39=""),"",IF(LEFT(E39,1)="M",VLOOKUP(F39,Setup!$J$9:$K$23,2,TRUE),VLOOKUP(F39,Setup!$L$9:$M$23,2,TRUE)))</f>
        <v>242</v>
      </c>
      <c r="H39" s="42">
        <f>IF(F39="",0,VLOOKUP(AL39,DATA!$L$2:$N$1910,IF(LEFT(E39,1)="F",3,2)))</f>
        <v>0.56745000000000001</v>
      </c>
      <c r="I39" s="19"/>
      <c r="J39" s="19" t="s">
        <v>496</v>
      </c>
      <c r="K39" s="234">
        <v>175</v>
      </c>
      <c r="L39" s="234">
        <v>185</v>
      </c>
      <c r="M39" s="234">
        <v>190</v>
      </c>
      <c r="N39" s="133"/>
      <c r="O39" s="134">
        <f t="shared" si="24"/>
        <v>190</v>
      </c>
      <c r="P39" s="224"/>
      <c r="Q39" s="233">
        <v>122.5</v>
      </c>
      <c r="R39" s="233">
        <v>132.5</v>
      </c>
      <c r="S39" s="133">
        <v>-140</v>
      </c>
      <c r="T39" s="133"/>
      <c r="U39" s="134">
        <f t="shared" si="25"/>
        <v>132.5</v>
      </c>
      <c r="V39" s="135">
        <f t="shared" si="26"/>
        <v>322.5</v>
      </c>
      <c r="W39" s="233">
        <v>205</v>
      </c>
      <c r="X39" s="233">
        <v>215</v>
      </c>
      <c r="Y39" s="233">
        <v>227.5</v>
      </c>
      <c r="Z39" s="133"/>
      <c r="AA39" s="134">
        <f t="shared" si="27"/>
        <v>227.5</v>
      </c>
      <c r="AB39" s="135">
        <f t="shared" si="28"/>
        <v>550</v>
      </c>
      <c r="AC39" s="136">
        <f t="shared" si="29"/>
        <v>312.09750000000003</v>
      </c>
      <c r="AD39" s="136">
        <f>IF(OR(AB39=0,D39="",AND(D39&lt;40,D39&gt;22)),0,VLOOKUP($D39,DATA!$A$2:$B$53,2,TRUE)*AC39)</f>
        <v>321.46042500000004</v>
      </c>
      <c r="AE39" s="197" t="e">
        <f ca="1">IF(E39="","",OFFSET(Setup!$Q$1,MATCH(E39,Setup!O:O,0)-1,0))</f>
        <v>#N/A</v>
      </c>
      <c r="AF39" s="134">
        <f t="shared" ca="1" si="30"/>
        <v>0</v>
      </c>
      <c r="AG39" s="42">
        <f ca="1">IF(OR(AB39=0),0,VLOOKUP(AV39,Setup!$S$6:$T$15,2,TRUE))</f>
        <v>7</v>
      </c>
      <c r="AH39" s="137"/>
      <c r="AI39" s="132" t="s">
        <v>216</v>
      </c>
      <c r="AJ39" s="124">
        <f t="shared" si="31"/>
        <v>1</v>
      </c>
      <c r="AK39" s="42">
        <f t="shared" si="32"/>
        <v>6</v>
      </c>
      <c r="AL39" s="29">
        <f t="shared" si="33"/>
        <v>106.8</v>
      </c>
      <c r="AM39" s="29">
        <f t="shared" si="34"/>
        <v>550</v>
      </c>
      <c r="AN39" s="29">
        <f t="shared" si="35"/>
        <v>360</v>
      </c>
      <c r="AO39" s="41" t="str">
        <f t="shared" si="36"/>
        <v>M</v>
      </c>
      <c r="AP39" s="41"/>
      <c r="AQ39" s="31">
        <f t="shared" si="37"/>
        <v>1</v>
      </c>
      <c r="AR39" s="217">
        <f t="shared" ca="1" si="38"/>
        <v>0</v>
      </c>
      <c r="AS39" s="41">
        <f t="shared" ca="1" si="39"/>
        <v>50</v>
      </c>
      <c r="AT39" s="177">
        <f t="shared" ca="1" si="40"/>
        <v>0</v>
      </c>
      <c r="AU39" s="115">
        <f t="shared" ca="1" si="41"/>
        <v>50</v>
      </c>
      <c r="AV39" s="198">
        <f t="shared" ca="1" si="42"/>
        <v>1</v>
      </c>
      <c r="AW39" s="181">
        <f t="shared" si="43"/>
        <v>235.5</v>
      </c>
      <c r="AX39" s="29">
        <f t="shared" si="44"/>
        <v>12</v>
      </c>
      <c r="AY39" s="217">
        <f ca="1">IF(OR(E39="",F39="",ISERROR(AE39)),0,(100000000*MATCH(E39,INDIRECT($AI$1),0)+IF(AE39=1,(16-IF(AO39="M",MATCH(G39,Setup!$K$9:$K$23,0),MATCH(G39,Setup!$M$9:$M$23)))*1000000,0)+IF(AB39&gt;0,IF(AE39=1,RANK(AB39,AB:AB,-1)*1000+AX39,IF(AE39=2,AC39,AD39)),0)))</f>
        <v>0</v>
      </c>
      <c r="AZ39" s="42"/>
      <c r="BA39" s="42"/>
      <c r="BB39" s="42"/>
      <c r="BC39" s="42"/>
      <c r="BD39" s="42"/>
      <c r="BE39" s="42"/>
      <c r="BF39" s="42"/>
      <c r="BG39" s="42"/>
      <c r="BH39" s="96"/>
      <c r="BI39" s="96"/>
      <c r="BJ39" s="96"/>
      <c r="BK39" s="96"/>
      <c r="BL39" s="96"/>
      <c r="BM39" s="96"/>
      <c r="BN39" s="33"/>
      <c r="CJ39" s="31">
        <v>0</v>
      </c>
      <c r="CK39" s="31">
        <v>1</v>
      </c>
      <c r="CL39" s="31">
        <v>1</v>
      </c>
      <c r="CM39" s="31">
        <v>1</v>
      </c>
      <c r="CN39" s="31">
        <v>0</v>
      </c>
      <c r="CO39" s="31">
        <v>0</v>
      </c>
      <c r="CP39" s="31">
        <v>0</v>
      </c>
      <c r="CQ39" s="31">
        <v>1</v>
      </c>
      <c r="CR39" s="31">
        <v>1</v>
      </c>
      <c r="CS39" s="31">
        <v>-1</v>
      </c>
      <c r="CT39" s="31">
        <v>0</v>
      </c>
      <c r="CU39" s="31">
        <v>0</v>
      </c>
      <c r="CV39" s="31">
        <v>0</v>
      </c>
      <c r="CW39" s="31">
        <v>1</v>
      </c>
      <c r="CX39" s="31">
        <v>1</v>
      </c>
      <c r="CY39" s="31">
        <v>1</v>
      </c>
      <c r="CZ39" s="31">
        <v>0</v>
      </c>
    </row>
    <row r="40" spans="1:104" s="31" customFormat="1" x14ac:dyDescent="0.2">
      <c r="A40" s="31">
        <f t="shared" si="45"/>
        <v>215</v>
      </c>
      <c r="B40" s="19" t="s">
        <v>33</v>
      </c>
      <c r="C40" s="219" t="s">
        <v>492</v>
      </c>
      <c r="D40" s="19">
        <v>45</v>
      </c>
      <c r="E40" s="19" t="s">
        <v>267</v>
      </c>
      <c r="F40" s="19">
        <v>178.5</v>
      </c>
      <c r="G40" s="42">
        <f>IF(OR(E40="",F40=""),"",IF(LEFT(E40,1)="M",VLOOKUP(F40,Setup!$J$9:$K$23,2,TRUE),VLOOKUP(F40,Setup!$L$9:$M$23,2,TRUE)))</f>
        <v>181</v>
      </c>
      <c r="H40" s="42">
        <f>IF(F40="",0,VLOOKUP(AL40,DATA!$L$2:$N$1910,IF(LEFT(E40,1)="F",3,2)))</f>
        <v>0.65234999999999999</v>
      </c>
      <c r="I40" s="19"/>
      <c r="J40" s="19" t="s">
        <v>493</v>
      </c>
      <c r="K40" s="234">
        <v>165</v>
      </c>
      <c r="L40" s="235">
        <v>-182.5</v>
      </c>
      <c r="M40" s="234">
        <v>182.5</v>
      </c>
      <c r="N40" s="133"/>
      <c r="O40" s="134">
        <f t="shared" si="24"/>
        <v>182.5</v>
      </c>
      <c r="P40" s="224"/>
      <c r="Q40" s="233">
        <v>125</v>
      </c>
      <c r="R40" s="233">
        <v>137.5</v>
      </c>
      <c r="S40" s="233">
        <v>142.5</v>
      </c>
      <c r="T40" s="133"/>
      <c r="U40" s="134">
        <f t="shared" si="25"/>
        <v>142.5</v>
      </c>
      <c r="V40" s="135">
        <f t="shared" si="26"/>
        <v>325</v>
      </c>
      <c r="W40" s="233">
        <v>215</v>
      </c>
      <c r="X40" s="233">
        <v>227.5</v>
      </c>
      <c r="Y40" s="233">
        <v>230</v>
      </c>
      <c r="Z40" s="133"/>
      <c r="AA40" s="134">
        <f t="shared" si="27"/>
        <v>230</v>
      </c>
      <c r="AB40" s="135">
        <f t="shared" si="28"/>
        <v>555</v>
      </c>
      <c r="AC40" s="136">
        <f t="shared" si="29"/>
        <v>362.05424999999997</v>
      </c>
      <c r="AD40" s="136">
        <f>IF(OR(AB40=0,D40="",AND(D40&lt;40,D40&gt;22)),0,VLOOKUP($D40,DATA!$A$2:$B$53,2,TRUE)*AC40)</f>
        <v>381.96723374999993</v>
      </c>
      <c r="AE40" s="197">
        <f ca="1">IF(E40="","",OFFSET(Setup!$Q$1,MATCH(E40,Setup!O:O,0)-1,0))</f>
        <v>1</v>
      </c>
      <c r="AF40" s="134" t="str">
        <f t="shared" ca="1" si="30"/>
        <v>1-M-M2R-181</v>
      </c>
      <c r="AG40" s="42">
        <f ca="1">IF(OR(AB40=0),0,VLOOKUP(AV40,Setup!$S$6:$T$15,2,TRUE))</f>
        <v>7</v>
      </c>
      <c r="AH40" s="137"/>
      <c r="AI40" s="132" t="s">
        <v>216</v>
      </c>
      <c r="AJ40" s="124">
        <f t="shared" si="31"/>
        <v>1</v>
      </c>
      <c r="AK40" s="42">
        <f t="shared" si="32"/>
        <v>6</v>
      </c>
      <c r="AL40" s="29">
        <f t="shared" si="33"/>
        <v>81</v>
      </c>
      <c r="AM40" s="29">
        <f t="shared" si="34"/>
        <v>555</v>
      </c>
      <c r="AN40" s="29">
        <f t="shared" si="35"/>
        <v>372.5</v>
      </c>
      <c r="AO40" s="41" t="str">
        <f t="shared" si="36"/>
        <v>M</v>
      </c>
      <c r="AP40" s="41"/>
      <c r="AQ40" s="31">
        <f t="shared" si="37"/>
        <v>1</v>
      </c>
      <c r="AR40" s="217">
        <f t="shared" ca="1" si="38"/>
        <v>5710046030</v>
      </c>
      <c r="AS40" s="41">
        <f t="shared" ca="1" si="39"/>
        <v>2</v>
      </c>
      <c r="AT40" s="177">
        <f t="shared" ca="1" si="40"/>
        <v>5710</v>
      </c>
      <c r="AU40" s="115">
        <f t="shared" ca="1" si="41"/>
        <v>2</v>
      </c>
      <c r="AV40" s="198">
        <f t="shared" ca="1" si="42"/>
        <v>1</v>
      </c>
      <c r="AW40" s="181">
        <f t="shared" si="43"/>
        <v>178.5</v>
      </c>
      <c r="AX40" s="29">
        <f t="shared" si="44"/>
        <v>30</v>
      </c>
      <c r="AY40" s="217">
        <f ca="1">IF(OR(E40="",F40="",ISERROR(AE40)),0,(100000000*MATCH(E40,INDIRECT($AI$1),0)+IF(AE40=1,(16-IF(AO40="M",MATCH(G40,Setup!$K$9:$K$23,0),MATCH(G40,Setup!$M$9:$M$23)))*1000000,0)+IF(AB40&gt;0,IF(AE40=1,RANK(AB40,AB:AB,-1)*1000+AX40,IF(AE40=2,AC40,AD40)),0)))</f>
        <v>5710046030</v>
      </c>
      <c r="AZ40" s="42"/>
      <c r="BA40" s="42"/>
      <c r="BB40" s="42"/>
      <c r="BC40" s="42"/>
      <c r="BD40" s="42"/>
      <c r="BE40" s="42"/>
      <c r="BF40" s="42"/>
      <c r="BG40" s="42"/>
      <c r="BH40" s="96"/>
      <c r="BI40" s="96"/>
      <c r="BJ40" s="96"/>
      <c r="BK40" s="96"/>
      <c r="BL40" s="96"/>
      <c r="BM40" s="96"/>
      <c r="BN40" s="33"/>
      <c r="CJ40" s="31">
        <v>0</v>
      </c>
      <c r="CK40" s="31">
        <v>1</v>
      </c>
      <c r="CL40" s="31">
        <v>-1</v>
      </c>
      <c r="CM40" s="31">
        <v>1</v>
      </c>
      <c r="CN40" s="31">
        <v>0</v>
      </c>
      <c r="CO40" s="31">
        <v>0</v>
      </c>
      <c r="CP40" s="31">
        <v>0</v>
      </c>
      <c r="CQ40" s="31">
        <v>1</v>
      </c>
      <c r="CR40" s="31">
        <v>1</v>
      </c>
      <c r="CS40" s="31">
        <v>1</v>
      </c>
      <c r="CT40" s="31">
        <v>0</v>
      </c>
      <c r="CU40" s="31">
        <v>0</v>
      </c>
      <c r="CV40" s="31">
        <v>0</v>
      </c>
      <c r="CW40" s="31">
        <v>1</v>
      </c>
      <c r="CX40" s="31">
        <v>1</v>
      </c>
      <c r="CY40" s="31">
        <v>1</v>
      </c>
      <c r="CZ40" s="31">
        <v>0</v>
      </c>
    </row>
    <row r="41" spans="1:104" s="31" customFormat="1" x14ac:dyDescent="0.2">
      <c r="A41" s="31">
        <f t="shared" si="45"/>
        <v>217.5</v>
      </c>
      <c r="B41" s="19" t="s">
        <v>33</v>
      </c>
      <c r="C41" s="219" t="s">
        <v>489</v>
      </c>
      <c r="D41" s="19">
        <v>37</v>
      </c>
      <c r="E41" s="19" t="s">
        <v>264</v>
      </c>
      <c r="F41" s="19">
        <v>192</v>
      </c>
      <c r="G41" s="42">
        <f>IF(OR(E41="",F41=""),"",IF(LEFT(E41,1)="M",VLOOKUP(F41,Setup!$J$9:$K$23,2,TRUE),VLOOKUP(F41,Setup!$L$9:$M$23,2,TRUE)))</f>
        <v>198</v>
      </c>
      <c r="H41" s="42">
        <f>IF(F41="",0,VLOOKUP(AL41,DATA!$L$2:$N$1910,IF(LEFT(E41,1)="F",3,2)))</f>
        <v>0.62339999999999995</v>
      </c>
      <c r="I41" s="19"/>
      <c r="J41" s="19" t="s">
        <v>490</v>
      </c>
      <c r="K41" s="234">
        <v>157.5</v>
      </c>
      <c r="L41" s="234">
        <v>170</v>
      </c>
      <c r="M41" s="235">
        <v>-182.5</v>
      </c>
      <c r="N41" s="133"/>
      <c r="O41" s="134">
        <f t="shared" si="24"/>
        <v>170</v>
      </c>
      <c r="P41" s="224"/>
      <c r="Q41" s="233">
        <v>125</v>
      </c>
      <c r="R41" s="133">
        <v>-140</v>
      </c>
      <c r="S41" s="133">
        <v>-140</v>
      </c>
      <c r="T41" s="133"/>
      <c r="U41" s="134">
        <f t="shared" si="25"/>
        <v>125</v>
      </c>
      <c r="V41" s="135">
        <f t="shared" si="26"/>
        <v>295</v>
      </c>
      <c r="W41" s="233">
        <v>217.5</v>
      </c>
      <c r="X41" s="233">
        <v>242.5</v>
      </c>
      <c r="Y41" s="133">
        <v>-250</v>
      </c>
      <c r="Z41" s="133"/>
      <c r="AA41" s="134">
        <f t="shared" si="27"/>
        <v>242.5</v>
      </c>
      <c r="AB41" s="135">
        <f t="shared" si="28"/>
        <v>537.5</v>
      </c>
      <c r="AC41" s="136">
        <f t="shared" si="29"/>
        <v>335.07749999999999</v>
      </c>
      <c r="AD41" s="136">
        <f>IF(OR(AB41=0,D41="",AND(D41&lt;40,D41&gt;22)),0,VLOOKUP($D41,DATA!$A$2:$B$53,2,TRUE)*AC41)</f>
        <v>0</v>
      </c>
      <c r="AE41" s="197">
        <f ca="1">IF(E41="","",OFFSET(Setup!$Q$1,MATCH(E41,Setup!O:O,0)-1,0))</f>
        <v>1</v>
      </c>
      <c r="AF41" s="134" t="str">
        <f t="shared" ca="1" si="30"/>
        <v>2-M-OR-198</v>
      </c>
      <c r="AG41" s="42">
        <f ca="1">IF(OR(AB41=0),0,VLOOKUP(AV41,Setup!$S$6:$T$15,2,TRUE))</f>
        <v>5</v>
      </c>
      <c r="AH41" s="137"/>
      <c r="AI41" s="132" t="s">
        <v>216</v>
      </c>
      <c r="AJ41" s="124">
        <f t="shared" si="31"/>
        <v>1</v>
      </c>
      <c r="AK41" s="42">
        <f t="shared" si="32"/>
        <v>6</v>
      </c>
      <c r="AL41" s="29">
        <f t="shared" si="33"/>
        <v>87.1</v>
      </c>
      <c r="AM41" s="29">
        <f t="shared" si="34"/>
        <v>537.5</v>
      </c>
      <c r="AN41" s="29">
        <f t="shared" si="35"/>
        <v>367.5</v>
      </c>
      <c r="AO41" s="41" t="str">
        <f t="shared" si="36"/>
        <v>M</v>
      </c>
      <c r="AP41" s="41"/>
      <c r="AQ41" s="31">
        <f t="shared" si="37"/>
        <v>1</v>
      </c>
      <c r="AR41" s="217">
        <f t="shared" ca="1" si="38"/>
        <v>5409043026</v>
      </c>
      <c r="AS41" s="41">
        <f t="shared" ca="1" si="39"/>
        <v>7</v>
      </c>
      <c r="AT41" s="177">
        <f t="shared" ca="1" si="40"/>
        <v>5409</v>
      </c>
      <c r="AU41" s="115">
        <f t="shared" ca="1" si="41"/>
        <v>6</v>
      </c>
      <c r="AV41" s="198">
        <f t="shared" ca="1" si="42"/>
        <v>2</v>
      </c>
      <c r="AW41" s="181">
        <f t="shared" si="43"/>
        <v>192</v>
      </c>
      <c r="AX41" s="29">
        <f t="shared" si="44"/>
        <v>26</v>
      </c>
      <c r="AY41" s="217">
        <f ca="1">IF(OR(E41="",F41="",ISERROR(AE41)),0,(100000000*MATCH(E41,INDIRECT($AI$1),0)+IF(AE41=1,(16-IF(AO41="M",MATCH(G41,Setup!$K$9:$K$23,0),MATCH(G41,Setup!$M$9:$M$23)))*1000000,0)+IF(AB41&gt;0,IF(AE41=1,RANK(AB41,AB:AB,-1)*1000+AX41,IF(AE41=2,AC41,AD41)),0)))</f>
        <v>5409043026</v>
      </c>
      <c r="AZ41" s="42"/>
      <c r="BA41" s="42"/>
      <c r="BB41" s="42"/>
      <c r="BC41" s="42"/>
      <c r="BD41" s="42"/>
      <c r="BE41" s="42"/>
      <c r="BF41" s="42"/>
      <c r="BG41" s="42"/>
      <c r="BH41" s="96"/>
      <c r="BI41" s="96"/>
      <c r="BJ41" s="96"/>
      <c r="BK41" s="96"/>
      <c r="BL41" s="96"/>
      <c r="BM41" s="96"/>
      <c r="BN41" s="33"/>
      <c r="CJ41" s="31">
        <v>0</v>
      </c>
      <c r="CK41" s="31">
        <v>1</v>
      </c>
      <c r="CL41" s="31">
        <v>1</v>
      </c>
      <c r="CM41" s="31">
        <v>-1</v>
      </c>
      <c r="CN41" s="31">
        <v>0</v>
      </c>
      <c r="CO41" s="31">
        <v>0</v>
      </c>
      <c r="CP41" s="31">
        <v>0</v>
      </c>
      <c r="CQ41" s="31">
        <v>1</v>
      </c>
      <c r="CR41" s="31">
        <v>-1</v>
      </c>
      <c r="CS41" s="31">
        <v>-1</v>
      </c>
      <c r="CT41" s="31">
        <v>0</v>
      </c>
      <c r="CU41" s="31">
        <v>0</v>
      </c>
      <c r="CV41" s="31">
        <v>0</v>
      </c>
      <c r="CW41" s="31">
        <v>1</v>
      </c>
      <c r="CX41" s="31">
        <v>1</v>
      </c>
      <c r="CY41" s="31">
        <v>-1</v>
      </c>
      <c r="CZ41" s="31">
        <v>0</v>
      </c>
    </row>
    <row r="42" spans="1:104" s="31" customFormat="1" x14ac:dyDescent="0.2">
      <c r="A42" s="31">
        <f t="shared" si="45"/>
        <v>217.5</v>
      </c>
      <c r="B42" s="19" t="s">
        <v>33</v>
      </c>
      <c r="C42" s="219" t="s">
        <v>491</v>
      </c>
      <c r="D42" s="19">
        <v>37</v>
      </c>
      <c r="E42" s="19" t="s">
        <v>265</v>
      </c>
      <c r="F42" s="19">
        <v>192</v>
      </c>
      <c r="G42" s="42">
        <f>IF(OR(E42="",F42=""),"",IF(LEFT(E42,1)="M",VLOOKUP(F42,Setup!$J$9:$K$23,2,TRUE),VLOOKUP(F42,Setup!$L$9:$M$23,2,TRUE)))</f>
        <v>198</v>
      </c>
      <c r="H42" s="42">
        <f>IF(F42="",0,VLOOKUP(AL42,DATA!$L$2:$N$1910,IF(LEFT(E42,1)="F",3,2)))</f>
        <v>0.62339999999999995</v>
      </c>
      <c r="I42" s="19"/>
      <c r="J42" s="19" t="s">
        <v>490</v>
      </c>
      <c r="K42" s="234">
        <v>157.5</v>
      </c>
      <c r="L42" s="234">
        <v>170</v>
      </c>
      <c r="M42" s="235">
        <v>-182.5</v>
      </c>
      <c r="N42" s="133"/>
      <c r="O42" s="134">
        <f t="shared" ref="O42:O72" si="46">IF(MAX(CK42:CM42)&gt;0,MAX(ABS(K42)*CK42,ABS(L42)*CL42,CM42*ABS(M42)),0)</f>
        <v>170</v>
      </c>
      <c r="P42" s="224"/>
      <c r="Q42" s="233">
        <v>125</v>
      </c>
      <c r="R42" s="133">
        <v>-140</v>
      </c>
      <c r="S42" s="133">
        <v>-140</v>
      </c>
      <c r="T42" s="133"/>
      <c r="U42" s="134">
        <f t="shared" ref="U42:U72" si="47">IF(MAX(CQ42:CS42)&gt;0,MAX(ABS(Q42)*CQ42,ABS(R42)*CR42,CS42*ABS(S42)),0)</f>
        <v>125</v>
      </c>
      <c r="V42" s="135">
        <f t="shared" ref="V42:V73" si="48">IF(OR(O42=0,U42=0),0,O42+U42)</f>
        <v>295</v>
      </c>
      <c r="W42" s="233">
        <v>217.5</v>
      </c>
      <c r="X42" s="233">
        <v>242.5</v>
      </c>
      <c r="Y42" s="133">
        <v>-250</v>
      </c>
      <c r="Z42" s="133"/>
      <c r="AA42" s="134">
        <f t="shared" ref="AA42:AA72" si="49">IF(MAX(CW42:CY42)&gt;0,MAX(ABS(W42)*CW42,ABS(X42)*CX42,CY42*ABS(Y42)),0)</f>
        <v>242.5</v>
      </c>
      <c r="AB42" s="135">
        <f t="shared" ref="AB42:AB73" si="50">AJ42*IF($AB$8="PL Total",AM42,IF($AB$8="Push Pull Total",AN42,IF($AB$8="Best Squat",O42,IF($AB$8="Best Bench",U42,AA42))))</f>
        <v>537.5</v>
      </c>
      <c r="AC42" s="136">
        <f t="shared" ref="AC42:AC73" si="51">IF(OR(F42="",AB42=0),0,H42*IF(AND($G$3="Lb",$H$8="Wilks"),AB42/2.2046,AB42))</f>
        <v>335.07749999999999</v>
      </c>
      <c r="AD42" s="136">
        <f>IF(OR(AB42=0,D42="",AND(D42&lt;40,D42&gt;22)),0,VLOOKUP($D42,DATA!$A$2:$B$53,2,TRUE)*AC42)</f>
        <v>0</v>
      </c>
      <c r="AE42" s="197">
        <f ca="1">IF(E42="","",OFFSET(Setup!$Q$1,MATCH(E42,Setup!O:O,0)-1,0))</f>
        <v>1</v>
      </c>
      <c r="AF42" s="134" t="str">
        <f t="shared" ref="AF42:AF73" ca="1" si="52">IF(OR(AB42=0,AR42=0),0,CONCATENATE(AV42,"-",E42,IF(AE42=1,"-",""),IF(AE42=1,IF(G42="SHW",G42,ROUND(G42,1)),"")))</f>
        <v>1-M-SR-198</v>
      </c>
      <c r="AG42" s="42">
        <f ca="1">IF(OR(AB42=0),0,VLOOKUP(AV42,Setup!$S$6:$T$15,2,TRUE))</f>
        <v>7</v>
      </c>
      <c r="AH42" s="137"/>
      <c r="AI42" s="132" t="s">
        <v>216</v>
      </c>
      <c r="AJ42" s="124">
        <f t="shared" ref="AJ42:AJ73" si="53">IF(ISERROR(FIND($AJ$7,AI42)),0,1)</f>
        <v>1</v>
      </c>
      <c r="AK42" s="42">
        <f t="shared" ref="AK42:AK72" si="54">IF(B42="","",VLOOKUP(B42,$BP$1:$BQ$8,2,FALSE))</f>
        <v>6</v>
      </c>
      <c r="AL42" s="29">
        <f t="shared" ref="AL42:AL72" si="55">ROUND(IF($F$8="BWt (Kg)",F42,F42/2.2046),1)</f>
        <v>87.1</v>
      </c>
      <c r="AM42" s="29">
        <f t="shared" ref="AM42:AM72" si="56">IF(OR(O42=0,U42=0,AA42=0),0,O42+U42+AA42)</f>
        <v>537.5</v>
      </c>
      <c r="AN42" s="29">
        <f t="shared" ref="AN42:AN72" si="57">IF(OR(U42=0,AA42=0),0,U42+AA42)</f>
        <v>367.5</v>
      </c>
      <c r="AO42" s="41" t="str">
        <f t="shared" ref="AO42:AO72" si="58">IF(E42="","",LEFT(E42,1))</f>
        <v>M</v>
      </c>
      <c r="AP42" s="41"/>
      <c r="AQ42" s="31">
        <f t="shared" ref="AQ42:AQ72" si="59">IF(OR(ISERROR(E42),F42="",ISERROR(G42),AB42=0),0,1)</f>
        <v>1</v>
      </c>
      <c r="AR42" s="217">
        <f t="shared" ref="AR42:AR72" ca="1" si="60">IF(OR(ISERROR(AY42),ISERROR(AX42)),0,AY42)</f>
        <v>5509043026</v>
      </c>
      <c r="AS42" s="41">
        <f t="shared" ref="AS42:AS73" ca="1" si="61">RANK(AR42,INDIRECT($AS$7))</f>
        <v>3</v>
      </c>
      <c r="AT42" s="177">
        <f t="shared" ref="AT42:AT72" ca="1" si="62">INT(AR42/1000000)</f>
        <v>5509</v>
      </c>
      <c r="AU42" s="115">
        <f t="shared" ref="AU42:AU73" ca="1" si="63">RANK(AT42,INDIRECT($AU$7))</f>
        <v>3</v>
      </c>
      <c r="AV42" s="198">
        <f t="shared" ref="AV42:AV73" ca="1" si="64">AS42-AU42+1</f>
        <v>1</v>
      </c>
      <c r="AW42" s="181">
        <f t="shared" ref="AW42:AW72" si="65">F42</f>
        <v>192</v>
      </c>
      <c r="AX42" s="29">
        <f t="shared" ref="AX42:AX73" si="66">RANK(AW42,AW:AW)</f>
        <v>26</v>
      </c>
      <c r="AY42" s="217">
        <f ca="1">IF(OR(E42="",F42="",ISERROR(AE42)),0,(100000000*MATCH(E42,INDIRECT($AI$1),0)+IF(AE42=1,(16-IF(AO42="M",MATCH(G42,Setup!$K$9:$K$23,0),MATCH(G42,Setup!$M$9:$M$23)))*1000000,0)+IF(AB42&gt;0,IF(AE42=1,RANK(AB42,AB:AB,-1)*1000+AX42,IF(AE42=2,AC42,AD42)),0)))</f>
        <v>5509043026</v>
      </c>
      <c r="AZ42" s="42"/>
      <c r="BA42" s="42"/>
      <c r="BB42" s="42"/>
      <c r="BC42" s="42"/>
      <c r="BD42" s="42"/>
      <c r="BE42" s="42"/>
      <c r="BF42" s="42"/>
      <c r="BG42" s="42"/>
      <c r="BH42" s="96"/>
      <c r="BI42" s="96"/>
      <c r="BJ42" s="96"/>
      <c r="BK42" s="96"/>
      <c r="BL42" s="96"/>
      <c r="BM42" s="96"/>
      <c r="BN42" s="33"/>
      <c r="CJ42" s="31">
        <v>0</v>
      </c>
      <c r="CK42" s="31">
        <v>1</v>
      </c>
      <c r="CL42" s="31">
        <v>1</v>
      </c>
      <c r="CM42" s="31">
        <v>-1</v>
      </c>
      <c r="CN42" s="31">
        <v>0</v>
      </c>
      <c r="CO42" s="31">
        <v>0</v>
      </c>
      <c r="CP42" s="31">
        <v>0</v>
      </c>
      <c r="CQ42" s="31">
        <v>1</v>
      </c>
      <c r="CR42" s="31">
        <v>-1</v>
      </c>
      <c r="CS42" s="31">
        <v>-1</v>
      </c>
      <c r="CT42" s="31">
        <v>0</v>
      </c>
      <c r="CU42" s="31">
        <v>0</v>
      </c>
      <c r="CV42" s="31">
        <v>0</v>
      </c>
      <c r="CW42" s="31">
        <v>1</v>
      </c>
      <c r="CX42" s="31">
        <v>1</v>
      </c>
      <c r="CY42" s="31">
        <v>-1</v>
      </c>
      <c r="CZ42" s="31">
        <v>0</v>
      </c>
    </row>
    <row r="43" spans="1:104" s="31" customFormat="1" x14ac:dyDescent="0.2">
      <c r="A43" s="31">
        <f t="shared" si="45"/>
        <v>230</v>
      </c>
      <c r="B43" s="19" t="s">
        <v>33</v>
      </c>
      <c r="C43" s="219" t="s">
        <v>510</v>
      </c>
      <c r="D43" s="19">
        <v>27</v>
      </c>
      <c r="E43" s="19" t="s">
        <v>505</v>
      </c>
      <c r="F43" s="19">
        <v>238</v>
      </c>
      <c r="G43" s="42">
        <f>IF(OR(E43="",F43=""),"",IF(LEFT(E43,1)="M",VLOOKUP(F43,Setup!$J$9:$K$23,2,TRUE),VLOOKUP(F43,Setup!$L$9:$M$23,2,TRUE)))</f>
        <v>242</v>
      </c>
      <c r="H43" s="42">
        <f>IF(F43="",0,VLOOKUP(AL43,DATA!$L$2:$N$1910,IF(LEFT(E43,1)="F",3,2)))</f>
        <v>0.5655</v>
      </c>
      <c r="I43" s="19"/>
      <c r="J43" s="19" t="s">
        <v>490</v>
      </c>
      <c r="K43" s="234">
        <v>220</v>
      </c>
      <c r="L43" s="235">
        <v>-235</v>
      </c>
      <c r="M43" s="234">
        <v>235</v>
      </c>
      <c r="N43" s="133"/>
      <c r="O43" s="134">
        <f t="shared" si="46"/>
        <v>235</v>
      </c>
      <c r="P43" s="224"/>
      <c r="Q43" s="233">
        <v>167.5</v>
      </c>
      <c r="R43" s="233">
        <v>175</v>
      </c>
      <c r="S43" s="133">
        <v>-182.5</v>
      </c>
      <c r="T43" s="133"/>
      <c r="U43" s="134">
        <f t="shared" si="47"/>
        <v>175</v>
      </c>
      <c r="V43" s="135">
        <f t="shared" si="48"/>
        <v>410</v>
      </c>
      <c r="W43" s="233">
        <v>230</v>
      </c>
      <c r="X43" s="233">
        <v>245</v>
      </c>
      <c r="Y43" s="133">
        <v>-257.5</v>
      </c>
      <c r="Z43" s="133"/>
      <c r="AA43" s="134">
        <f t="shared" si="49"/>
        <v>245</v>
      </c>
      <c r="AB43" s="135">
        <f t="shared" si="50"/>
        <v>655</v>
      </c>
      <c r="AC43" s="136">
        <f t="shared" si="51"/>
        <v>370.40249999999997</v>
      </c>
      <c r="AD43" s="136">
        <f>IF(OR(AB43=0,D43="",AND(D43&lt;40,D43&gt;22)),0,VLOOKUP($D43,DATA!$A$2:$B$53,2,TRUE)*AC43)</f>
        <v>0</v>
      </c>
      <c r="AE43" s="197" t="e">
        <f ca="1">IF(E43="","",OFFSET(Setup!$Q$1,MATCH(E43,Setup!O:O,0)-1,0))</f>
        <v>#N/A</v>
      </c>
      <c r="AF43" s="134">
        <f t="shared" ca="1" si="52"/>
        <v>0</v>
      </c>
      <c r="AG43" s="42">
        <f ca="1">IF(OR(AB43=0),0,VLOOKUP(AV43,Setup!$S$6:$T$15,2,TRUE))</f>
        <v>7</v>
      </c>
      <c r="AH43" s="137"/>
      <c r="AI43" s="132" t="s">
        <v>216</v>
      </c>
      <c r="AJ43" s="124">
        <f t="shared" si="53"/>
        <v>1</v>
      </c>
      <c r="AK43" s="42">
        <f t="shared" si="54"/>
        <v>6</v>
      </c>
      <c r="AL43" s="29">
        <f t="shared" si="55"/>
        <v>108</v>
      </c>
      <c r="AM43" s="29">
        <f t="shared" si="56"/>
        <v>655</v>
      </c>
      <c r="AN43" s="29">
        <f t="shared" si="57"/>
        <v>420</v>
      </c>
      <c r="AO43" s="41" t="str">
        <f t="shared" si="58"/>
        <v>M</v>
      </c>
      <c r="AP43" s="41"/>
      <c r="AQ43" s="31">
        <f t="shared" si="59"/>
        <v>1</v>
      </c>
      <c r="AR43" s="217">
        <f t="shared" ca="1" si="60"/>
        <v>0</v>
      </c>
      <c r="AS43" s="41">
        <f t="shared" ca="1" si="61"/>
        <v>50</v>
      </c>
      <c r="AT43" s="177">
        <f t="shared" ca="1" si="62"/>
        <v>0</v>
      </c>
      <c r="AU43" s="115">
        <f t="shared" ca="1" si="63"/>
        <v>50</v>
      </c>
      <c r="AV43" s="198">
        <f t="shared" ca="1" si="64"/>
        <v>1</v>
      </c>
      <c r="AW43" s="181">
        <f t="shared" si="65"/>
        <v>238</v>
      </c>
      <c r="AX43" s="29">
        <f t="shared" si="66"/>
        <v>10</v>
      </c>
      <c r="AY43" s="217">
        <f ca="1">IF(OR(E43="",F43="",ISERROR(AE43)),0,(100000000*MATCH(E43,INDIRECT($AI$1),0)+IF(AE43=1,(16-IF(AO43="M",MATCH(G43,Setup!$K$9:$K$23,0),MATCH(G43,Setup!$M$9:$M$23)))*1000000,0)+IF(AB43&gt;0,IF(AE43=1,RANK(AB43,AB:AB,-1)*1000+AX43,IF(AE43=2,AC43,AD43)),0)))</f>
        <v>0</v>
      </c>
      <c r="AZ43" s="42"/>
      <c r="BA43" s="42"/>
      <c r="BB43" s="42"/>
      <c r="BC43" s="42"/>
      <c r="BD43" s="42"/>
      <c r="BE43" s="42"/>
      <c r="BF43" s="42"/>
      <c r="BG43" s="42"/>
      <c r="BH43" s="96"/>
      <c r="BI43" s="96"/>
      <c r="BJ43" s="96"/>
      <c r="BK43" s="96"/>
      <c r="BL43" s="96"/>
      <c r="BM43" s="96"/>
      <c r="BN43" s="33"/>
      <c r="CJ43" s="31">
        <v>0</v>
      </c>
      <c r="CK43" s="31">
        <v>1</v>
      </c>
      <c r="CL43" s="31">
        <v>-1</v>
      </c>
      <c r="CM43" s="31">
        <v>1</v>
      </c>
      <c r="CN43" s="31">
        <v>0</v>
      </c>
      <c r="CO43" s="31">
        <v>0</v>
      </c>
      <c r="CP43" s="31">
        <v>0</v>
      </c>
      <c r="CQ43" s="31">
        <v>1</v>
      </c>
      <c r="CR43" s="31">
        <v>1</v>
      </c>
      <c r="CS43" s="31">
        <v>-1</v>
      </c>
      <c r="CT43" s="31">
        <v>0</v>
      </c>
      <c r="CU43" s="31">
        <v>0</v>
      </c>
      <c r="CV43" s="31">
        <v>0</v>
      </c>
      <c r="CW43" s="31">
        <v>1</v>
      </c>
      <c r="CX43" s="31">
        <v>1</v>
      </c>
      <c r="CY43" s="31">
        <v>-1</v>
      </c>
      <c r="CZ43" s="31">
        <v>0</v>
      </c>
    </row>
    <row r="44" spans="1:104" s="31" customFormat="1" x14ac:dyDescent="0.2">
      <c r="A44" s="31">
        <f t="shared" si="45"/>
        <v>232.5</v>
      </c>
      <c r="B44" s="19" t="s">
        <v>33</v>
      </c>
      <c r="C44" s="219" t="s">
        <v>504</v>
      </c>
      <c r="D44" s="19">
        <v>26</v>
      </c>
      <c r="E44" s="19" t="s">
        <v>505</v>
      </c>
      <c r="F44" s="19">
        <v>177.6</v>
      </c>
      <c r="G44" s="42">
        <f>IF(OR(E44="",F44=""),"",IF(LEFT(E44,1)="M",VLOOKUP(F44,Setup!$J$9:$K$23,2,TRUE),VLOOKUP(F44,Setup!$L$9:$M$23,2,TRUE)))</f>
        <v>181</v>
      </c>
      <c r="H44" s="42">
        <f>IF(F44="",0,VLOOKUP(AL44,DATA!$L$2:$N$1910,IF(LEFT(E44,1)="F",3,2)))</f>
        <v>0.65449999999999997</v>
      </c>
      <c r="I44" s="19"/>
      <c r="J44" s="19" t="s">
        <v>477</v>
      </c>
      <c r="K44" s="235">
        <v>-192.5</v>
      </c>
      <c r="L44" s="234">
        <v>200</v>
      </c>
      <c r="M44" s="234">
        <v>227.5</v>
      </c>
      <c r="N44" s="133"/>
      <c r="O44" s="134">
        <f t="shared" si="46"/>
        <v>227.5</v>
      </c>
      <c r="P44" s="224"/>
      <c r="Q44" s="233">
        <v>130</v>
      </c>
      <c r="R44" s="133">
        <v>-150</v>
      </c>
      <c r="S44" s="133">
        <v>-150</v>
      </c>
      <c r="T44" s="133"/>
      <c r="U44" s="134">
        <f t="shared" si="47"/>
        <v>130</v>
      </c>
      <c r="V44" s="135">
        <f t="shared" si="48"/>
        <v>357.5</v>
      </c>
      <c r="W44" s="233">
        <v>232.5</v>
      </c>
      <c r="X44" s="233">
        <v>250</v>
      </c>
      <c r="Y44" s="133">
        <v>-260</v>
      </c>
      <c r="Z44" s="133"/>
      <c r="AA44" s="134">
        <f t="shared" si="49"/>
        <v>250</v>
      </c>
      <c r="AB44" s="135">
        <f t="shared" si="50"/>
        <v>607.5</v>
      </c>
      <c r="AC44" s="136">
        <f t="shared" si="51"/>
        <v>397.60874999999999</v>
      </c>
      <c r="AD44" s="136">
        <f>IF(OR(AB44=0,D44="",AND(D44&lt;40,D44&gt;22)),0,VLOOKUP($D44,DATA!$A$2:$B$53,2,TRUE)*AC44)</f>
        <v>0</v>
      </c>
      <c r="AE44" s="197" t="e">
        <f ca="1">IF(E44="","",OFFSET(Setup!$Q$1,MATCH(E44,Setup!O:O,0)-1,0))</f>
        <v>#N/A</v>
      </c>
      <c r="AF44" s="134">
        <f t="shared" ca="1" si="52"/>
        <v>0</v>
      </c>
      <c r="AG44" s="42">
        <f ca="1">IF(OR(AB44=0),0,VLOOKUP(AV44,Setup!$S$6:$T$15,2,TRUE))</f>
        <v>7</v>
      </c>
      <c r="AH44" s="137"/>
      <c r="AI44" s="132" t="s">
        <v>216</v>
      </c>
      <c r="AJ44" s="124">
        <f t="shared" si="53"/>
        <v>1</v>
      </c>
      <c r="AK44" s="42">
        <f t="shared" si="54"/>
        <v>6</v>
      </c>
      <c r="AL44" s="29">
        <f t="shared" si="55"/>
        <v>80.599999999999994</v>
      </c>
      <c r="AM44" s="29">
        <f t="shared" si="56"/>
        <v>607.5</v>
      </c>
      <c r="AN44" s="29">
        <f t="shared" si="57"/>
        <v>380</v>
      </c>
      <c r="AO44" s="41" t="str">
        <f t="shared" si="58"/>
        <v>M</v>
      </c>
      <c r="AP44" s="41"/>
      <c r="AQ44" s="31">
        <f t="shared" si="59"/>
        <v>1</v>
      </c>
      <c r="AR44" s="217">
        <f t="shared" ca="1" si="60"/>
        <v>0</v>
      </c>
      <c r="AS44" s="41">
        <f t="shared" ca="1" si="61"/>
        <v>50</v>
      </c>
      <c r="AT44" s="177">
        <f t="shared" ca="1" si="62"/>
        <v>0</v>
      </c>
      <c r="AU44" s="115">
        <f t="shared" ca="1" si="63"/>
        <v>50</v>
      </c>
      <c r="AV44" s="198">
        <f t="shared" ca="1" si="64"/>
        <v>1</v>
      </c>
      <c r="AW44" s="181">
        <f t="shared" si="65"/>
        <v>177.6</v>
      </c>
      <c r="AX44" s="29">
        <f t="shared" si="66"/>
        <v>32</v>
      </c>
      <c r="AY44" s="217">
        <f ca="1">IF(OR(E44="",F44="",ISERROR(AE44)),0,(100000000*MATCH(E44,INDIRECT($AI$1),0)+IF(AE44=1,(16-IF(AO44="M",MATCH(G44,Setup!$K$9:$K$23,0),MATCH(G44,Setup!$M$9:$M$23)))*1000000,0)+IF(AB44&gt;0,IF(AE44=1,RANK(AB44,AB:AB,-1)*1000+AX44,IF(AE44=2,AC44,AD44)),0)))</f>
        <v>0</v>
      </c>
      <c r="AZ44" s="42"/>
      <c r="BA44" s="42"/>
      <c r="BB44" s="42"/>
      <c r="BC44" s="42"/>
      <c r="BD44" s="42"/>
      <c r="BE44" s="42"/>
      <c r="BF44" s="42"/>
      <c r="BG44" s="42"/>
      <c r="BH44" s="96"/>
      <c r="BI44" s="96"/>
      <c r="BJ44" s="96"/>
      <c r="BK44" s="96"/>
      <c r="BL44" s="96"/>
      <c r="BM44" s="96"/>
      <c r="BN44" s="33"/>
      <c r="CJ44" s="31">
        <v>0</v>
      </c>
      <c r="CK44" s="31">
        <v>-1</v>
      </c>
      <c r="CL44" s="31">
        <v>1</v>
      </c>
      <c r="CM44" s="31">
        <v>1</v>
      </c>
      <c r="CN44" s="31">
        <v>0</v>
      </c>
      <c r="CO44" s="31">
        <v>0</v>
      </c>
      <c r="CP44" s="31">
        <v>0</v>
      </c>
      <c r="CQ44" s="31">
        <v>1</v>
      </c>
      <c r="CR44" s="31">
        <v>-1</v>
      </c>
      <c r="CS44" s="31">
        <v>-1</v>
      </c>
      <c r="CT44" s="31">
        <v>0</v>
      </c>
      <c r="CU44" s="31">
        <v>0</v>
      </c>
      <c r="CV44" s="31">
        <v>0</v>
      </c>
      <c r="CW44" s="31">
        <v>1</v>
      </c>
      <c r="CX44" s="31">
        <v>1</v>
      </c>
      <c r="CY44" s="31">
        <v>-1</v>
      </c>
      <c r="CZ44" s="31">
        <v>0</v>
      </c>
    </row>
    <row r="45" spans="1:104" s="31" customFormat="1" x14ac:dyDescent="0.2">
      <c r="A45" s="31">
        <f t="shared" si="45"/>
        <v>252.5</v>
      </c>
      <c r="B45" s="19" t="s">
        <v>33</v>
      </c>
      <c r="C45" s="219" t="s">
        <v>512</v>
      </c>
      <c r="D45" s="19">
        <v>46</v>
      </c>
      <c r="E45" s="19" t="s">
        <v>513</v>
      </c>
      <c r="F45" s="19">
        <v>237.4</v>
      </c>
      <c r="G45" s="42">
        <f>IF(OR(E45="",F45=""),"",IF(LEFT(E45,1)="M",VLOOKUP(F45,Setup!$J$9:$K$23,2,TRUE),VLOOKUP(F45,Setup!$L$9:$M$23,2,TRUE)))</f>
        <v>242</v>
      </c>
      <c r="H45" s="42">
        <f>IF(F45="",0,VLOOKUP(AL45,DATA!$L$2:$N$1910,IF(LEFT(E45,1)="F",3,2)))</f>
        <v>0.56594999999999995</v>
      </c>
      <c r="I45" s="19"/>
      <c r="J45" s="19" t="s">
        <v>514</v>
      </c>
      <c r="K45" s="234">
        <v>240</v>
      </c>
      <c r="L45" s="235">
        <v>-250</v>
      </c>
      <c r="M45" s="235">
        <v>-257.5</v>
      </c>
      <c r="N45" s="133"/>
      <c r="O45" s="134">
        <f t="shared" si="46"/>
        <v>240</v>
      </c>
      <c r="P45" s="224"/>
      <c r="Q45" s="233">
        <v>65</v>
      </c>
      <c r="R45" s="133"/>
      <c r="S45" s="133"/>
      <c r="T45" s="133"/>
      <c r="U45" s="134">
        <f t="shared" si="47"/>
        <v>65</v>
      </c>
      <c r="V45" s="135">
        <f t="shared" si="48"/>
        <v>305</v>
      </c>
      <c r="W45" s="233">
        <v>252.5</v>
      </c>
      <c r="X45" s="233">
        <v>265</v>
      </c>
      <c r="Y45" s="133"/>
      <c r="Z45" s="133"/>
      <c r="AA45" s="134">
        <f t="shared" si="49"/>
        <v>265</v>
      </c>
      <c r="AB45" s="135">
        <f t="shared" si="50"/>
        <v>570</v>
      </c>
      <c r="AC45" s="136">
        <f t="shared" si="51"/>
        <v>322.5915</v>
      </c>
      <c r="AD45" s="136">
        <f>IF(OR(AB45=0,D45="",AND(D45&lt;40,D45&gt;22)),0,VLOOKUP($D45,DATA!$A$2:$B$53,2,TRUE)*AC45)</f>
        <v>344.52772200000004</v>
      </c>
      <c r="AE45" s="197" t="e">
        <f ca="1">IF(E45="","",OFFSET(Setup!$Q$1,MATCH(E45,Setup!O:O,0)-1,0))</f>
        <v>#N/A</v>
      </c>
      <c r="AF45" s="134">
        <f t="shared" ca="1" si="52"/>
        <v>0</v>
      </c>
      <c r="AG45" s="42">
        <f ca="1">IF(OR(AB45=0),0,VLOOKUP(AV45,Setup!$S$6:$T$15,2,TRUE))</f>
        <v>7</v>
      </c>
      <c r="AH45" s="137"/>
      <c r="AI45" s="132" t="s">
        <v>216</v>
      </c>
      <c r="AJ45" s="124">
        <f t="shared" si="53"/>
        <v>1</v>
      </c>
      <c r="AK45" s="42">
        <f t="shared" si="54"/>
        <v>6</v>
      </c>
      <c r="AL45" s="29">
        <f t="shared" si="55"/>
        <v>107.7</v>
      </c>
      <c r="AM45" s="29">
        <f t="shared" si="56"/>
        <v>570</v>
      </c>
      <c r="AN45" s="29">
        <f t="shared" si="57"/>
        <v>330</v>
      </c>
      <c r="AO45" s="41" t="str">
        <f t="shared" si="58"/>
        <v>M</v>
      </c>
      <c r="AP45" s="41"/>
      <c r="AQ45" s="31">
        <f t="shared" si="59"/>
        <v>1</v>
      </c>
      <c r="AR45" s="217">
        <f t="shared" ca="1" si="60"/>
        <v>0</v>
      </c>
      <c r="AS45" s="41">
        <f t="shared" ca="1" si="61"/>
        <v>50</v>
      </c>
      <c r="AT45" s="177">
        <f t="shared" ca="1" si="62"/>
        <v>0</v>
      </c>
      <c r="AU45" s="115">
        <f t="shared" ca="1" si="63"/>
        <v>50</v>
      </c>
      <c r="AV45" s="198">
        <f t="shared" ca="1" si="64"/>
        <v>1</v>
      </c>
      <c r="AW45" s="181">
        <f t="shared" si="65"/>
        <v>237.4</v>
      </c>
      <c r="AX45" s="29">
        <f t="shared" si="66"/>
        <v>11</v>
      </c>
      <c r="AY45" s="217">
        <f ca="1">IF(OR(E45="",F45="",ISERROR(AE45)),0,(100000000*MATCH(E45,INDIRECT($AI$1),0)+IF(AE45=1,(16-IF(AO45="M",MATCH(G45,Setup!$K$9:$K$23,0),MATCH(G45,Setup!$M$9:$M$23)))*1000000,0)+IF(AB45&gt;0,IF(AE45=1,RANK(AB45,AB:AB,-1)*1000+AX45,IF(AE45=2,AC45,AD45)),0)))</f>
        <v>0</v>
      </c>
      <c r="AZ45" s="42"/>
      <c r="BA45" s="42"/>
      <c r="BB45" s="42"/>
      <c r="BC45" s="42"/>
      <c r="BD45" s="42"/>
      <c r="BE45" s="42"/>
      <c r="BF45" s="42"/>
      <c r="BG45" s="42"/>
      <c r="BH45" s="96"/>
      <c r="BI45" s="96"/>
      <c r="BJ45" s="96"/>
      <c r="BK45" s="96"/>
      <c r="BL45" s="96"/>
      <c r="BM45" s="96"/>
      <c r="BN45" s="33"/>
      <c r="CJ45" s="31">
        <v>0</v>
      </c>
      <c r="CK45" s="31">
        <v>1</v>
      </c>
      <c r="CL45" s="31">
        <v>-1</v>
      </c>
      <c r="CM45" s="31">
        <v>-1</v>
      </c>
      <c r="CN45" s="31">
        <v>0</v>
      </c>
      <c r="CO45" s="31">
        <v>0</v>
      </c>
      <c r="CP45" s="31">
        <v>0</v>
      </c>
      <c r="CQ45" s="31">
        <v>1</v>
      </c>
      <c r="CR45" s="31">
        <v>0</v>
      </c>
      <c r="CS45" s="31">
        <v>0</v>
      </c>
      <c r="CT45" s="31">
        <v>0</v>
      </c>
      <c r="CU45" s="31">
        <v>0</v>
      </c>
      <c r="CV45" s="31">
        <v>0</v>
      </c>
      <c r="CW45" s="31">
        <v>1</v>
      </c>
      <c r="CX45" s="31">
        <v>1</v>
      </c>
      <c r="CY45" s="31">
        <v>0</v>
      </c>
      <c r="CZ45" s="31">
        <v>0</v>
      </c>
    </row>
    <row r="46" spans="1:104" s="31" customFormat="1" x14ac:dyDescent="0.2">
      <c r="A46" s="31">
        <f t="shared" si="45"/>
        <v>260</v>
      </c>
      <c r="B46" s="19" t="s">
        <v>33</v>
      </c>
      <c r="C46" s="219" t="s">
        <v>511</v>
      </c>
      <c r="D46" s="19">
        <v>25</v>
      </c>
      <c r="E46" s="19" t="s">
        <v>505</v>
      </c>
      <c r="F46" s="19">
        <v>258.5</v>
      </c>
      <c r="G46" s="42">
        <f>IF(OR(E46="",F46=""),"",IF(LEFT(E46,1)="M",VLOOKUP(F46,Setup!$J$9:$K$23,2,TRUE),VLOOKUP(F46,Setup!$L$9:$M$23,2,TRUE)))</f>
        <v>275</v>
      </c>
      <c r="H46" s="42">
        <f>IF(F46="",0,VLOOKUP(AL46,DATA!$L$2:$N$1910,IF(LEFT(E46,1)="F",3,2)))</f>
        <v>0.55374999999999996</v>
      </c>
      <c r="I46" s="19"/>
      <c r="J46" s="19" t="s">
        <v>484</v>
      </c>
      <c r="K46" s="234">
        <v>227.5</v>
      </c>
      <c r="L46" s="234">
        <v>247.5</v>
      </c>
      <c r="M46" s="235">
        <v>-265</v>
      </c>
      <c r="N46" s="133"/>
      <c r="O46" s="134">
        <f t="shared" si="46"/>
        <v>247.5</v>
      </c>
      <c r="P46" s="224"/>
      <c r="Q46" s="233">
        <v>130</v>
      </c>
      <c r="R46" s="233">
        <v>137.5</v>
      </c>
      <c r="S46" s="133">
        <v>-142.5</v>
      </c>
      <c r="T46" s="133"/>
      <c r="U46" s="134">
        <f t="shared" si="47"/>
        <v>137.5</v>
      </c>
      <c r="V46" s="135">
        <f t="shared" si="48"/>
        <v>385</v>
      </c>
      <c r="W46" s="233">
        <v>260</v>
      </c>
      <c r="X46" s="133">
        <v>-272.5</v>
      </c>
      <c r="Y46" s="133">
        <v>-272.5</v>
      </c>
      <c r="Z46" s="133"/>
      <c r="AA46" s="134">
        <f t="shared" si="49"/>
        <v>260</v>
      </c>
      <c r="AB46" s="135">
        <f t="shared" si="50"/>
        <v>645</v>
      </c>
      <c r="AC46" s="136">
        <f t="shared" si="51"/>
        <v>357.16874999999999</v>
      </c>
      <c r="AD46" s="136">
        <f>IF(OR(AB46=0,D46="",AND(D46&lt;40,D46&gt;22)),0,VLOOKUP($D46,DATA!$A$2:$B$53,2,TRUE)*AC46)</f>
        <v>0</v>
      </c>
      <c r="AE46" s="197" t="e">
        <f ca="1">IF(E46="","",OFFSET(Setup!$Q$1,MATCH(E46,Setup!O:O,0)-1,0))</f>
        <v>#N/A</v>
      </c>
      <c r="AF46" s="134">
        <f t="shared" ca="1" si="52"/>
        <v>0</v>
      </c>
      <c r="AG46" s="42">
        <f ca="1">IF(OR(AB46=0),0,VLOOKUP(AV46,Setup!$S$6:$T$15,2,TRUE))</f>
        <v>7</v>
      </c>
      <c r="AH46" s="137"/>
      <c r="AI46" s="132" t="s">
        <v>216</v>
      </c>
      <c r="AJ46" s="124">
        <f t="shared" si="53"/>
        <v>1</v>
      </c>
      <c r="AK46" s="42">
        <f t="shared" si="54"/>
        <v>6</v>
      </c>
      <c r="AL46" s="29">
        <f t="shared" si="55"/>
        <v>117.3</v>
      </c>
      <c r="AM46" s="29">
        <f t="shared" si="56"/>
        <v>645</v>
      </c>
      <c r="AN46" s="29">
        <f t="shared" si="57"/>
        <v>397.5</v>
      </c>
      <c r="AO46" s="41" t="str">
        <f t="shared" si="58"/>
        <v>M</v>
      </c>
      <c r="AP46" s="41"/>
      <c r="AQ46" s="31">
        <f t="shared" si="59"/>
        <v>1</v>
      </c>
      <c r="AR46" s="217">
        <f t="shared" ca="1" si="60"/>
        <v>0</v>
      </c>
      <c r="AS46" s="41">
        <f t="shared" ca="1" si="61"/>
        <v>50</v>
      </c>
      <c r="AT46" s="177">
        <f t="shared" ca="1" si="62"/>
        <v>0</v>
      </c>
      <c r="AU46" s="115">
        <f t="shared" ca="1" si="63"/>
        <v>50</v>
      </c>
      <c r="AV46" s="198">
        <f t="shared" ca="1" si="64"/>
        <v>1</v>
      </c>
      <c r="AW46" s="181">
        <f t="shared" si="65"/>
        <v>258.5</v>
      </c>
      <c r="AX46" s="29">
        <f t="shared" si="66"/>
        <v>5</v>
      </c>
      <c r="AY46" s="217">
        <f ca="1">IF(OR(E46="",F46="",ISERROR(AE46)),0,(100000000*MATCH(E46,INDIRECT($AI$1),0)+IF(AE46=1,(16-IF(AO46="M",MATCH(G46,Setup!$K$9:$K$23,0),MATCH(G46,Setup!$M$9:$M$23)))*1000000,0)+IF(AB46&gt;0,IF(AE46=1,RANK(AB46,AB:AB,-1)*1000+AX46,IF(AE46=2,AC46,AD46)),0)))</f>
        <v>0</v>
      </c>
      <c r="AZ46" s="42"/>
      <c r="BA46" s="42"/>
      <c r="BB46" s="42"/>
      <c r="BC46" s="42"/>
      <c r="BD46" s="42"/>
      <c r="BE46" s="42"/>
      <c r="BF46" s="42"/>
      <c r="BG46" s="42"/>
      <c r="BH46" s="96"/>
      <c r="BI46" s="96"/>
      <c r="BJ46" s="96"/>
      <c r="BK46" s="96"/>
      <c r="BL46" s="96"/>
      <c r="BM46" s="96"/>
      <c r="BN46" s="33"/>
      <c r="CJ46" s="31">
        <v>0</v>
      </c>
      <c r="CK46" s="31">
        <v>1</v>
      </c>
      <c r="CL46" s="31">
        <v>1</v>
      </c>
      <c r="CM46" s="31">
        <v>-1</v>
      </c>
      <c r="CN46" s="31">
        <v>0</v>
      </c>
      <c r="CO46" s="31">
        <v>0</v>
      </c>
      <c r="CP46" s="31">
        <v>0</v>
      </c>
      <c r="CQ46" s="31">
        <v>1</v>
      </c>
      <c r="CR46" s="31">
        <v>1</v>
      </c>
      <c r="CS46" s="31">
        <v>-1</v>
      </c>
      <c r="CT46" s="31">
        <v>0</v>
      </c>
      <c r="CU46" s="31">
        <v>0</v>
      </c>
      <c r="CV46" s="31">
        <v>0</v>
      </c>
      <c r="CW46" s="31">
        <v>1</v>
      </c>
      <c r="CX46" s="31">
        <v>-1</v>
      </c>
      <c r="CY46" s="31">
        <v>-1</v>
      </c>
      <c r="CZ46" s="31">
        <v>0</v>
      </c>
    </row>
    <row r="47" spans="1:104" s="31" customFormat="1" x14ac:dyDescent="0.2">
      <c r="A47" s="31">
        <f t="shared" si="45"/>
        <v>260</v>
      </c>
      <c r="B47" s="19" t="s">
        <v>33</v>
      </c>
      <c r="C47" s="219" t="s">
        <v>508</v>
      </c>
      <c r="D47" s="19">
        <v>29</v>
      </c>
      <c r="E47" s="19" t="s">
        <v>264</v>
      </c>
      <c r="F47" s="19">
        <v>192.5</v>
      </c>
      <c r="G47" s="42">
        <f>IF(OR(E47="",F47=""),"",IF(LEFT(E47,1)="M",VLOOKUP(F47,Setup!$J$9:$K$23,2,TRUE),VLOOKUP(F47,Setup!$L$9:$M$23,2,TRUE)))</f>
        <v>198</v>
      </c>
      <c r="H47" s="42">
        <f>IF(F47="",0,VLOOKUP(AL47,DATA!$L$2:$N$1910,IF(LEFT(E47,1)="F",3,2)))</f>
        <v>0.62260000000000004</v>
      </c>
      <c r="I47" s="19"/>
      <c r="J47" s="19" t="s">
        <v>509</v>
      </c>
      <c r="K47" s="234">
        <v>215</v>
      </c>
      <c r="L47" s="234">
        <v>227.5</v>
      </c>
      <c r="M47" s="234">
        <v>242.5</v>
      </c>
      <c r="N47" s="133"/>
      <c r="O47" s="134">
        <f t="shared" si="46"/>
        <v>242.5</v>
      </c>
      <c r="P47" s="224"/>
      <c r="Q47" s="233">
        <v>140</v>
      </c>
      <c r="R47" s="233">
        <v>150</v>
      </c>
      <c r="S47" s="233">
        <v>160</v>
      </c>
      <c r="T47" s="133"/>
      <c r="U47" s="134">
        <f t="shared" si="47"/>
        <v>160</v>
      </c>
      <c r="V47" s="135">
        <f t="shared" si="48"/>
        <v>402.5</v>
      </c>
      <c r="W47" s="233">
        <v>260</v>
      </c>
      <c r="X47" s="233">
        <v>272.5</v>
      </c>
      <c r="Y47" s="233">
        <v>277.5</v>
      </c>
      <c r="Z47" s="133"/>
      <c r="AA47" s="134">
        <f t="shared" si="49"/>
        <v>277.5</v>
      </c>
      <c r="AB47" s="135">
        <f t="shared" si="50"/>
        <v>680</v>
      </c>
      <c r="AC47" s="136">
        <f t="shared" si="51"/>
        <v>423.36800000000005</v>
      </c>
      <c r="AD47" s="136">
        <f>IF(OR(AB47=0,D47="",AND(D47&lt;40,D47&gt;22)),0,VLOOKUP($D47,DATA!$A$2:$B$53,2,TRUE)*AC47)</f>
        <v>0</v>
      </c>
      <c r="AE47" s="197">
        <f ca="1">IF(E47="","",OFFSET(Setup!$Q$1,MATCH(E47,Setup!O:O,0)-1,0))</f>
        <v>1</v>
      </c>
      <c r="AF47" s="134" t="str">
        <f t="shared" ca="1" si="52"/>
        <v>1-M-OR-198</v>
      </c>
      <c r="AG47" s="42">
        <f ca="1">IF(OR(AB47=0),0,VLOOKUP(AV47,Setup!$S$6:$T$15,2,TRUE))</f>
        <v>7</v>
      </c>
      <c r="AH47" s="137"/>
      <c r="AI47" s="132" t="s">
        <v>216</v>
      </c>
      <c r="AJ47" s="124">
        <f t="shared" si="53"/>
        <v>1</v>
      </c>
      <c r="AK47" s="42">
        <f t="shared" si="54"/>
        <v>6</v>
      </c>
      <c r="AL47" s="29">
        <f t="shared" si="55"/>
        <v>87.3</v>
      </c>
      <c r="AM47" s="29">
        <f t="shared" si="56"/>
        <v>680</v>
      </c>
      <c r="AN47" s="29">
        <f t="shared" si="57"/>
        <v>437.5</v>
      </c>
      <c r="AO47" s="41" t="str">
        <f t="shared" si="58"/>
        <v>M</v>
      </c>
      <c r="AP47" s="41"/>
      <c r="AQ47" s="31">
        <f t="shared" si="59"/>
        <v>1</v>
      </c>
      <c r="AR47" s="217">
        <f t="shared" ca="1" si="60"/>
        <v>5409057025</v>
      </c>
      <c r="AS47" s="41">
        <f t="shared" ca="1" si="61"/>
        <v>6</v>
      </c>
      <c r="AT47" s="177">
        <f t="shared" ca="1" si="62"/>
        <v>5409</v>
      </c>
      <c r="AU47" s="115">
        <f t="shared" ca="1" si="63"/>
        <v>6</v>
      </c>
      <c r="AV47" s="198">
        <f t="shared" ca="1" si="64"/>
        <v>1</v>
      </c>
      <c r="AW47" s="181">
        <f t="shared" si="65"/>
        <v>192.5</v>
      </c>
      <c r="AX47" s="29">
        <f t="shared" si="66"/>
        <v>25</v>
      </c>
      <c r="AY47" s="217">
        <f ca="1">IF(OR(E47="",F47="",ISERROR(AE47)),0,(100000000*MATCH(E47,INDIRECT($AI$1),0)+IF(AE47=1,(16-IF(AO47="M",MATCH(G47,Setup!$K$9:$K$23,0),MATCH(G47,Setup!$M$9:$M$23)))*1000000,0)+IF(AB47&gt;0,IF(AE47=1,RANK(AB47,AB:AB,-1)*1000+AX47,IF(AE47=2,AC47,AD47)),0)))</f>
        <v>5409057025</v>
      </c>
      <c r="AZ47" s="42"/>
      <c r="BA47" s="42"/>
      <c r="BB47" s="42"/>
      <c r="BC47" s="42"/>
      <c r="BD47" s="42"/>
      <c r="BE47" s="42"/>
      <c r="BF47" s="42"/>
      <c r="BG47" s="42"/>
      <c r="BH47" s="96"/>
      <c r="BI47" s="96"/>
      <c r="BJ47" s="96"/>
      <c r="BK47" s="96"/>
      <c r="BL47" s="96"/>
      <c r="BM47" s="96"/>
      <c r="BN47" s="33"/>
      <c r="CJ47" s="31">
        <v>0</v>
      </c>
      <c r="CK47" s="31">
        <v>1</v>
      </c>
      <c r="CL47" s="31">
        <v>1</v>
      </c>
      <c r="CM47" s="31">
        <v>1</v>
      </c>
      <c r="CN47" s="31">
        <v>0</v>
      </c>
      <c r="CO47" s="31">
        <v>0</v>
      </c>
      <c r="CP47" s="31">
        <v>0</v>
      </c>
      <c r="CQ47" s="31">
        <v>1</v>
      </c>
      <c r="CR47" s="31">
        <v>1</v>
      </c>
      <c r="CS47" s="31">
        <v>1</v>
      </c>
      <c r="CT47" s="31">
        <v>0</v>
      </c>
      <c r="CU47" s="31">
        <v>0</v>
      </c>
      <c r="CV47" s="31">
        <v>0</v>
      </c>
      <c r="CW47" s="31">
        <v>1</v>
      </c>
      <c r="CX47" s="31">
        <v>1</v>
      </c>
      <c r="CY47" s="31">
        <v>1</v>
      </c>
      <c r="CZ47" s="31">
        <v>0</v>
      </c>
    </row>
    <row r="48" spans="1:104" s="31" customFormat="1" x14ac:dyDescent="0.2">
      <c r="A48" s="31">
        <f t="shared" si="45"/>
        <v>295</v>
      </c>
      <c r="B48" s="19" t="s">
        <v>33</v>
      </c>
      <c r="C48" s="219" t="s">
        <v>506</v>
      </c>
      <c r="D48" s="19">
        <v>52</v>
      </c>
      <c r="E48" s="19" t="s">
        <v>507</v>
      </c>
      <c r="F48" s="19">
        <v>288</v>
      </c>
      <c r="G48" s="42">
        <f>IF(OR(E48="",F48=""),"",IF(LEFT(E48,1)="M",VLOOKUP(F48,Setup!$J$9:$K$23,2,TRUE),VLOOKUP(F48,Setup!$L$9:$M$23,2,TRUE)))</f>
        <v>308</v>
      </c>
      <c r="H48" s="42">
        <f>IF(F48="",0,VLOOKUP(AL48,DATA!$L$2:$N$1910,IF(LEFT(E48,1)="F",3,2)))</f>
        <v>0.53964999999999996</v>
      </c>
      <c r="I48" s="19"/>
      <c r="J48" s="19" t="s">
        <v>502</v>
      </c>
      <c r="K48" s="234">
        <v>205</v>
      </c>
      <c r="L48" s="235">
        <v>-230</v>
      </c>
      <c r="M48" s="234">
        <v>230</v>
      </c>
      <c r="N48" s="133"/>
      <c r="O48" s="134">
        <f t="shared" si="46"/>
        <v>230</v>
      </c>
      <c r="P48" s="224"/>
      <c r="Q48" s="233">
        <v>145</v>
      </c>
      <c r="R48" s="233">
        <v>160</v>
      </c>
      <c r="S48" s="133">
        <v>-170</v>
      </c>
      <c r="T48" s="133"/>
      <c r="U48" s="134">
        <f t="shared" si="47"/>
        <v>160</v>
      </c>
      <c r="V48" s="135">
        <f t="shared" si="48"/>
        <v>390</v>
      </c>
      <c r="W48" s="233">
        <v>295</v>
      </c>
      <c r="X48" s="233">
        <v>330</v>
      </c>
      <c r="Y48" s="133"/>
      <c r="Z48" s="133"/>
      <c r="AA48" s="134">
        <f t="shared" si="49"/>
        <v>330</v>
      </c>
      <c r="AB48" s="135">
        <f t="shared" si="50"/>
        <v>720</v>
      </c>
      <c r="AC48" s="136">
        <f t="shared" si="51"/>
        <v>388.548</v>
      </c>
      <c r="AD48" s="136">
        <f>IF(OR(AB48=0,D48="",AND(D48&lt;40,D48&gt;22)),0,VLOOKUP($D48,DATA!$A$2:$B$53,2,TRUE)*AC48)</f>
        <v>452.65842000000004</v>
      </c>
      <c r="AE48" s="197" t="e">
        <f ca="1">IF(E48="","",OFFSET(Setup!$Q$1,MATCH(E48,Setup!O:O,0)-1,0))</f>
        <v>#N/A</v>
      </c>
      <c r="AF48" s="134">
        <f t="shared" ca="1" si="52"/>
        <v>0</v>
      </c>
      <c r="AG48" s="42">
        <f ca="1">IF(OR(AB48=0),0,VLOOKUP(AV48,Setup!$S$6:$T$15,2,TRUE))</f>
        <v>7</v>
      </c>
      <c r="AH48" s="137"/>
      <c r="AI48" s="132" t="s">
        <v>216</v>
      </c>
      <c r="AJ48" s="124">
        <f t="shared" si="53"/>
        <v>1</v>
      </c>
      <c r="AK48" s="42">
        <f t="shared" si="54"/>
        <v>6</v>
      </c>
      <c r="AL48" s="29">
        <f t="shared" si="55"/>
        <v>130.6</v>
      </c>
      <c r="AM48" s="29">
        <f t="shared" si="56"/>
        <v>720</v>
      </c>
      <c r="AN48" s="29">
        <f t="shared" si="57"/>
        <v>490</v>
      </c>
      <c r="AO48" s="41" t="str">
        <f t="shared" si="58"/>
        <v>M</v>
      </c>
      <c r="AP48" s="41"/>
      <c r="AQ48" s="31">
        <f t="shared" si="59"/>
        <v>1</v>
      </c>
      <c r="AR48" s="217">
        <f t="shared" ca="1" si="60"/>
        <v>0</v>
      </c>
      <c r="AS48" s="41">
        <f t="shared" ca="1" si="61"/>
        <v>50</v>
      </c>
      <c r="AT48" s="177">
        <f t="shared" ca="1" si="62"/>
        <v>0</v>
      </c>
      <c r="AU48" s="115">
        <f t="shared" ca="1" si="63"/>
        <v>50</v>
      </c>
      <c r="AV48" s="198">
        <f t="shared" ca="1" si="64"/>
        <v>1</v>
      </c>
      <c r="AW48" s="181">
        <f t="shared" si="65"/>
        <v>288</v>
      </c>
      <c r="AX48" s="29">
        <f t="shared" si="66"/>
        <v>2</v>
      </c>
      <c r="AY48" s="217">
        <f ca="1">IF(OR(E48="",F48="",ISERROR(AE48)),0,(100000000*MATCH(E48,INDIRECT($AI$1),0)+IF(AE48=1,(16-IF(AO48="M",MATCH(G48,Setup!$K$9:$K$23,0),MATCH(G48,Setup!$M$9:$M$23)))*1000000,0)+IF(AB48&gt;0,IF(AE48=1,RANK(AB48,AB:AB,-1)*1000+AX48,IF(AE48=2,AC48,AD48)),0)))</f>
        <v>0</v>
      </c>
      <c r="AZ48" s="42"/>
      <c r="BA48" s="42"/>
      <c r="BB48" s="42"/>
      <c r="BC48" s="42"/>
      <c r="BD48" s="42"/>
      <c r="BE48" s="42"/>
      <c r="BF48" s="42"/>
      <c r="BG48" s="42"/>
      <c r="BH48" s="96"/>
      <c r="BI48" s="96"/>
      <c r="BJ48" s="96"/>
      <c r="BK48" s="96"/>
      <c r="BL48" s="96"/>
      <c r="BM48" s="96"/>
      <c r="BN48" s="33"/>
      <c r="CJ48" s="31">
        <v>0</v>
      </c>
      <c r="CK48" s="31">
        <v>1</v>
      </c>
      <c r="CL48" s="31">
        <v>-1</v>
      </c>
      <c r="CM48" s="31">
        <v>1</v>
      </c>
      <c r="CN48" s="31">
        <v>0</v>
      </c>
      <c r="CO48" s="31">
        <v>0</v>
      </c>
      <c r="CP48" s="31">
        <v>0</v>
      </c>
      <c r="CQ48" s="31">
        <v>1</v>
      </c>
      <c r="CR48" s="31">
        <v>1</v>
      </c>
      <c r="CS48" s="31">
        <v>-1</v>
      </c>
      <c r="CT48" s="31">
        <v>0</v>
      </c>
      <c r="CU48" s="31">
        <v>0</v>
      </c>
      <c r="CV48" s="31">
        <v>0</v>
      </c>
      <c r="CW48" s="31">
        <v>1</v>
      </c>
      <c r="CX48" s="31">
        <v>1</v>
      </c>
      <c r="CY48" s="31">
        <v>0</v>
      </c>
      <c r="CZ48" s="31">
        <v>0</v>
      </c>
    </row>
    <row r="49" spans="1:104" s="31" customFormat="1" x14ac:dyDescent="0.2">
      <c r="A49" s="31" t="str">
        <f t="shared" si="45"/>
        <v/>
      </c>
      <c r="B49" s="19" t="s">
        <v>33</v>
      </c>
      <c r="C49" s="219" t="s">
        <v>519</v>
      </c>
      <c r="D49" s="19">
        <v>59</v>
      </c>
      <c r="E49" s="19" t="s">
        <v>269</v>
      </c>
      <c r="F49" s="19">
        <v>286</v>
      </c>
      <c r="G49" s="42">
        <f>IF(OR(E49="",F49=""),"",IF(LEFT(E49,1)="M",VLOOKUP(F49,Setup!$J$9:$K$23,2,TRUE),VLOOKUP(F49,Setup!$L$9:$M$23,2,TRUE)))</f>
        <v>308</v>
      </c>
      <c r="H49" s="42">
        <f>IF(F49="",0,VLOOKUP(AL49,DATA!$L$2:$N$1910,IF(LEFT(E49,1)="F",3,2)))</f>
        <v>0.54059999999999997</v>
      </c>
      <c r="I49" s="19"/>
      <c r="J49" s="19"/>
      <c r="K49" s="233">
        <v>0</v>
      </c>
      <c r="L49" s="133"/>
      <c r="M49" s="133"/>
      <c r="N49" s="133"/>
      <c r="O49" s="134">
        <f t="shared" si="46"/>
        <v>0</v>
      </c>
      <c r="P49" s="224"/>
      <c r="Q49" s="133">
        <v>-165</v>
      </c>
      <c r="R49" s="133">
        <v>-170</v>
      </c>
      <c r="S49" s="233">
        <v>170</v>
      </c>
      <c r="T49" s="133"/>
      <c r="U49" s="134">
        <f t="shared" si="47"/>
        <v>170</v>
      </c>
      <c r="V49" s="135">
        <f t="shared" si="48"/>
        <v>0</v>
      </c>
      <c r="W49" s="133"/>
      <c r="X49" s="133"/>
      <c r="Y49" s="133"/>
      <c r="Z49" s="133"/>
      <c r="AA49" s="134">
        <f t="shared" si="49"/>
        <v>0</v>
      </c>
      <c r="AB49" s="135">
        <f t="shared" si="50"/>
        <v>0</v>
      </c>
      <c r="AC49" s="136">
        <f t="shared" si="51"/>
        <v>0</v>
      </c>
      <c r="AD49" s="136">
        <f>IF(OR(AB49=0,D49="",AND(D49&lt;40,D49&gt;22)),0,VLOOKUP($D49,DATA!$A$2:$B$53,2,TRUE)*AC49)</f>
        <v>0</v>
      </c>
      <c r="AE49" s="197">
        <f ca="1">IF(E49="","",OFFSET(Setup!$Q$1,MATCH(E49,Setup!O:O,0)-1,0))</f>
        <v>1</v>
      </c>
      <c r="AF49" s="134">
        <f t="shared" ca="1" si="52"/>
        <v>0</v>
      </c>
      <c r="AG49" s="42">
        <f>IF(OR(AB49=0),0,VLOOKUP(AV49,Setup!$S$6:$T$15,2,TRUE))</f>
        <v>0</v>
      </c>
      <c r="AH49" s="137"/>
      <c r="AI49" s="132" t="s">
        <v>339</v>
      </c>
      <c r="AJ49" s="124">
        <f t="shared" si="53"/>
        <v>0</v>
      </c>
      <c r="AK49" s="42">
        <f t="shared" si="54"/>
        <v>6</v>
      </c>
      <c r="AL49" s="29">
        <f t="shared" si="55"/>
        <v>129.69999999999999</v>
      </c>
      <c r="AM49" s="29">
        <f t="shared" si="56"/>
        <v>0</v>
      </c>
      <c r="AN49" s="29">
        <f t="shared" si="57"/>
        <v>0</v>
      </c>
      <c r="AO49" s="41" t="str">
        <f t="shared" si="58"/>
        <v>M</v>
      </c>
      <c r="AP49" s="41"/>
      <c r="AQ49" s="31">
        <f t="shared" si="59"/>
        <v>0</v>
      </c>
      <c r="AR49" s="217">
        <f t="shared" ca="1" si="60"/>
        <v>5905000000</v>
      </c>
      <c r="AS49" s="41">
        <f t="shared" ca="1" si="61"/>
        <v>1</v>
      </c>
      <c r="AT49" s="177">
        <f t="shared" ca="1" si="62"/>
        <v>5905</v>
      </c>
      <c r="AU49" s="115">
        <f t="shared" ca="1" si="63"/>
        <v>1</v>
      </c>
      <c r="AV49" s="198">
        <f t="shared" ca="1" si="64"/>
        <v>1</v>
      </c>
      <c r="AW49" s="181">
        <f t="shared" si="65"/>
        <v>286</v>
      </c>
      <c r="AX49" s="29">
        <f t="shared" si="66"/>
        <v>3</v>
      </c>
      <c r="AY49" s="217">
        <f ca="1">IF(OR(E49="",F49="",ISERROR(AE49)),0,(100000000*MATCH(E49,INDIRECT($AI$1),0)+IF(AE49=1,(16-IF(AO49="M",MATCH(G49,Setup!$K$9:$K$23,0),MATCH(G49,Setup!$M$9:$M$23)))*1000000,0)+IF(AB49&gt;0,IF(AE49=1,RANK(AB49,AB:AB,-1)*1000+AX49,IF(AE49=2,AC49,AD49)),0)))</f>
        <v>5905000000</v>
      </c>
      <c r="AZ49" s="42"/>
      <c r="BA49" s="42"/>
      <c r="BB49" s="42"/>
      <c r="BC49" s="42"/>
      <c r="BD49" s="42"/>
      <c r="BE49" s="42"/>
      <c r="BF49" s="42"/>
      <c r="BG49" s="42"/>
      <c r="BH49" s="96"/>
      <c r="BI49" s="96"/>
      <c r="BJ49" s="96"/>
      <c r="BK49" s="96"/>
      <c r="BL49" s="96"/>
      <c r="BM49" s="96"/>
      <c r="BN49" s="33"/>
      <c r="CJ49" s="31">
        <v>0</v>
      </c>
      <c r="CK49" s="31">
        <v>0</v>
      </c>
      <c r="CL49" s="31">
        <v>0</v>
      </c>
      <c r="CM49" s="31">
        <v>0</v>
      </c>
      <c r="CN49" s="31">
        <v>0</v>
      </c>
      <c r="CO49" s="31">
        <v>0</v>
      </c>
      <c r="CP49" s="31">
        <v>0</v>
      </c>
      <c r="CQ49" s="31">
        <v>-1</v>
      </c>
      <c r="CR49" s="31">
        <v>-1</v>
      </c>
      <c r="CS49" s="31">
        <v>1</v>
      </c>
      <c r="CT49" s="31">
        <v>0</v>
      </c>
      <c r="CU49" s="31">
        <v>0</v>
      </c>
      <c r="CV49" s="31">
        <v>0</v>
      </c>
      <c r="CW49" s="31">
        <v>0</v>
      </c>
      <c r="CX49" s="31">
        <v>0</v>
      </c>
      <c r="CY49" s="31">
        <v>0</v>
      </c>
      <c r="CZ49" s="31">
        <v>0</v>
      </c>
    </row>
    <row r="50" spans="1:104" s="31" customFormat="1" x14ac:dyDescent="0.2">
      <c r="A50" s="31" t="str">
        <f t="shared" si="45"/>
        <v/>
      </c>
      <c r="B50" s="19" t="s">
        <v>33</v>
      </c>
      <c r="C50" s="219" t="s">
        <v>503</v>
      </c>
      <c r="D50" s="19">
        <v>59</v>
      </c>
      <c r="E50" s="19" t="s">
        <v>501</v>
      </c>
      <c r="F50" s="19">
        <v>214.2</v>
      </c>
      <c r="G50" s="42">
        <f>IF(OR(E50="",F50=""),"",IF(LEFT(E50,1)="M",VLOOKUP(F50,Setup!$J$9:$K$23,2,TRUE),VLOOKUP(F50,Setup!$L$9:$M$23,2,TRUE)))</f>
        <v>220</v>
      </c>
      <c r="H50" s="42">
        <f>IF(F50="",0,VLOOKUP(AL50,DATA!$L$2:$N$1910,IF(LEFT(E50,1)="F",3,2)))</f>
        <v>0.58855000000000002</v>
      </c>
      <c r="I50" s="19"/>
      <c r="J50" s="19"/>
      <c r="K50" s="234">
        <v>192.5</v>
      </c>
      <c r="L50" s="234">
        <v>205</v>
      </c>
      <c r="M50" s="234">
        <v>220</v>
      </c>
      <c r="N50" s="133"/>
      <c r="O50" s="134">
        <f t="shared" si="46"/>
        <v>220</v>
      </c>
      <c r="P50" s="224"/>
      <c r="Q50" s="233">
        <v>175</v>
      </c>
      <c r="R50" s="133">
        <v>-182.5</v>
      </c>
      <c r="S50" s="133"/>
      <c r="T50" s="133"/>
      <c r="U50" s="134">
        <f t="shared" si="47"/>
        <v>175</v>
      </c>
      <c r="V50" s="135">
        <f t="shared" si="48"/>
        <v>395</v>
      </c>
      <c r="W50" s="133"/>
      <c r="X50" s="133"/>
      <c r="Y50" s="133"/>
      <c r="Z50" s="133"/>
      <c r="AA50" s="134">
        <f t="shared" si="49"/>
        <v>0</v>
      </c>
      <c r="AB50" s="135">
        <f t="shared" si="50"/>
        <v>0</v>
      </c>
      <c r="AC50" s="136">
        <f t="shared" si="51"/>
        <v>0</v>
      </c>
      <c r="AD50" s="136">
        <f>IF(OR(AB50=0,D50="",AND(D50&lt;40,D50&gt;22)),0,VLOOKUP($D50,DATA!$A$2:$B$53,2,TRUE)*AC50)</f>
        <v>0</v>
      </c>
      <c r="AE50" s="197" t="e">
        <f ca="1">IF(E50="","",OFFSET(Setup!$Q$1,MATCH(E50,Setup!O:O,0)-1,0))</f>
        <v>#N/A</v>
      </c>
      <c r="AF50" s="134">
        <f t="shared" ca="1" si="52"/>
        <v>0</v>
      </c>
      <c r="AG50" s="42">
        <f>IF(OR(AB50=0),0,VLOOKUP(AV50,Setup!$S$6:$T$15,2,TRUE))</f>
        <v>0</v>
      </c>
      <c r="AH50" s="137"/>
      <c r="AI50" s="132" t="s">
        <v>339</v>
      </c>
      <c r="AJ50" s="124">
        <f t="shared" si="53"/>
        <v>0</v>
      </c>
      <c r="AK50" s="42">
        <f t="shared" si="54"/>
        <v>6</v>
      </c>
      <c r="AL50" s="29">
        <f t="shared" si="55"/>
        <v>97.2</v>
      </c>
      <c r="AM50" s="29">
        <f t="shared" si="56"/>
        <v>0</v>
      </c>
      <c r="AN50" s="29">
        <f t="shared" si="57"/>
        <v>0</v>
      </c>
      <c r="AO50" s="41" t="str">
        <f t="shared" si="58"/>
        <v>M</v>
      </c>
      <c r="AP50" s="41"/>
      <c r="AQ50" s="31">
        <f t="shared" si="59"/>
        <v>0</v>
      </c>
      <c r="AR50" s="217">
        <f t="shared" ca="1" si="60"/>
        <v>0</v>
      </c>
      <c r="AS50" s="41">
        <f t="shared" ca="1" si="61"/>
        <v>50</v>
      </c>
      <c r="AT50" s="177">
        <f t="shared" ca="1" si="62"/>
        <v>0</v>
      </c>
      <c r="AU50" s="115">
        <f t="shared" ca="1" si="63"/>
        <v>50</v>
      </c>
      <c r="AV50" s="198">
        <f t="shared" ca="1" si="64"/>
        <v>1</v>
      </c>
      <c r="AW50" s="181">
        <f t="shared" si="65"/>
        <v>214.2</v>
      </c>
      <c r="AX50" s="29">
        <f t="shared" si="66"/>
        <v>15</v>
      </c>
      <c r="AY50" s="217">
        <f ca="1">IF(OR(E50="",F50="",ISERROR(AE50)),0,(100000000*MATCH(E50,INDIRECT($AI$1),0)+IF(AE50=1,(16-IF(AO50="M",MATCH(G50,Setup!$K$9:$K$23,0),MATCH(G50,Setup!$M$9:$M$23)))*1000000,0)+IF(AB50&gt;0,IF(AE50=1,RANK(AB50,AB:AB,-1)*1000+AX50,IF(AE50=2,AC50,AD50)),0)))</f>
        <v>0</v>
      </c>
      <c r="AZ50" s="42"/>
      <c r="BA50" s="42"/>
      <c r="BB50" s="42"/>
      <c r="BC50" s="42"/>
      <c r="BD50" s="42"/>
      <c r="BE50" s="42"/>
      <c r="BF50" s="42"/>
      <c r="BG50" s="42"/>
      <c r="BH50" s="96"/>
      <c r="BI50" s="96"/>
      <c r="BJ50" s="96"/>
      <c r="BK50" s="96"/>
      <c r="BL50" s="96"/>
      <c r="BM50" s="96"/>
      <c r="BN50" s="33"/>
      <c r="CJ50" s="31">
        <v>0</v>
      </c>
      <c r="CK50" s="31">
        <v>1</v>
      </c>
      <c r="CL50" s="31">
        <v>1</v>
      </c>
      <c r="CM50" s="31">
        <v>1</v>
      </c>
      <c r="CN50" s="31">
        <v>0</v>
      </c>
      <c r="CO50" s="31">
        <v>0</v>
      </c>
      <c r="CP50" s="31">
        <v>0</v>
      </c>
      <c r="CQ50" s="31">
        <v>1</v>
      </c>
      <c r="CR50" s="31">
        <v>-1</v>
      </c>
      <c r="CS50" s="31">
        <v>0</v>
      </c>
      <c r="CT50" s="31">
        <v>0</v>
      </c>
      <c r="CU50" s="31">
        <v>0</v>
      </c>
      <c r="CV50" s="31">
        <v>0</v>
      </c>
      <c r="CW50" s="31">
        <v>0</v>
      </c>
      <c r="CX50" s="31">
        <v>0</v>
      </c>
      <c r="CY50" s="31">
        <v>0</v>
      </c>
      <c r="CZ50" s="31">
        <v>0</v>
      </c>
    </row>
    <row r="51" spans="1:104" s="31" customFormat="1" x14ac:dyDescent="0.2">
      <c r="A51" s="31">
        <f t="shared" si="45"/>
        <v>90</v>
      </c>
      <c r="B51" s="19" t="s">
        <v>34</v>
      </c>
      <c r="C51" s="219" t="s">
        <v>527</v>
      </c>
      <c r="D51" s="19">
        <v>14</v>
      </c>
      <c r="E51" s="19" t="s">
        <v>219</v>
      </c>
      <c r="F51" s="19">
        <v>97</v>
      </c>
      <c r="G51" s="42">
        <f>IF(OR(E51="",F51=""),"",IF(LEFT(E51,1)="M",VLOOKUP(F51,Setup!$J$9:$K$23,2,TRUE),VLOOKUP(F51,Setup!$L$9:$M$23,2,TRUE)))</f>
        <v>97</v>
      </c>
      <c r="H51" s="42">
        <f>IF(F51="",0,VLOOKUP(AL51,DATA!$L$2:$N$1910,IF(LEFT(E51,1)="F",3,2)))</f>
        <v>1.258</v>
      </c>
      <c r="I51" s="19"/>
      <c r="J51" s="19" t="s">
        <v>526</v>
      </c>
      <c r="K51" s="133">
        <v>100</v>
      </c>
      <c r="L51" s="233">
        <v>107.5</v>
      </c>
      <c r="M51" s="133">
        <v>-112.5</v>
      </c>
      <c r="N51" s="133"/>
      <c r="O51" s="134">
        <f t="shared" si="46"/>
        <v>107.5</v>
      </c>
      <c r="P51" s="224"/>
      <c r="Q51" s="233">
        <v>50</v>
      </c>
      <c r="R51" s="233">
        <v>57.5</v>
      </c>
      <c r="S51" s="133">
        <v>-62.5</v>
      </c>
      <c r="T51" s="133"/>
      <c r="U51" s="134">
        <f t="shared" si="47"/>
        <v>57.5</v>
      </c>
      <c r="V51" s="135">
        <f t="shared" si="48"/>
        <v>165</v>
      </c>
      <c r="W51" s="233">
        <v>90</v>
      </c>
      <c r="X51" s="133">
        <v>-102.5</v>
      </c>
      <c r="Y51" s="233">
        <v>102.5</v>
      </c>
      <c r="Z51" s="133"/>
      <c r="AA51" s="134">
        <f t="shared" si="49"/>
        <v>102.5</v>
      </c>
      <c r="AB51" s="135">
        <f t="shared" si="50"/>
        <v>267.5</v>
      </c>
      <c r="AC51" s="136">
        <f t="shared" si="51"/>
        <v>336.51499999999999</v>
      </c>
      <c r="AD51" s="136">
        <f>IF(OR(AB51=0,D51="",AND(D51&lt;40,D51&gt;22)),0,VLOOKUP($D51,DATA!$A$2:$B$53,2,TRUE)*AC51)</f>
        <v>413.91344999999995</v>
      </c>
      <c r="AE51" s="197">
        <f ca="1">IF(E51="","",OFFSET(Setup!$Q$1,MATCH(E51,Setup!O:O,0)-1,0))</f>
        <v>1</v>
      </c>
      <c r="AF51" s="134" t="str">
        <f t="shared" ca="1" si="52"/>
        <v>1-F-T1-97</v>
      </c>
      <c r="AG51" s="42">
        <f ca="1">IF(OR(AB51=0),0,VLOOKUP(AV51,Setup!$S$6:$T$15,2,TRUE))</f>
        <v>7</v>
      </c>
      <c r="AH51" s="137"/>
      <c r="AI51" s="132" t="s">
        <v>216</v>
      </c>
      <c r="AJ51" s="124">
        <f t="shared" si="53"/>
        <v>1</v>
      </c>
      <c r="AK51" s="42">
        <f t="shared" si="54"/>
        <v>7</v>
      </c>
      <c r="AL51" s="29">
        <f t="shared" si="55"/>
        <v>44</v>
      </c>
      <c r="AM51" s="29">
        <f t="shared" si="56"/>
        <v>267.5</v>
      </c>
      <c r="AN51" s="29">
        <f t="shared" si="57"/>
        <v>160</v>
      </c>
      <c r="AO51" s="41" t="str">
        <f t="shared" si="58"/>
        <v>F</v>
      </c>
      <c r="AP51" s="41"/>
      <c r="AQ51" s="31">
        <f t="shared" si="59"/>
        <v>1</v>
      </c>
      <c r="AR51" s="217">
        <f t="shared" ca="1" si="60"/>
        <v>215016063</v>
      </c>
      <c r="AS51" s="41">
        <f t="shared" ca="1" si="61"/>
        <v>46</v>
      </c>
      <c r="AT51" s="177">
        <f t="shared" ca="1" si="62"/>
        <v>215</v>
      </c>
      <c r="AU51" s="115">
        <f t="shared" ca="1" si="63"/>
        <v>46</v>
      </c>
      <c r="AV51" s="198">
        <f t="shared" ca="1" si="64"/>
        <v>1</v>
      </c>
      <c r="AW51" s="181">
        <f t="shared" si="65"/>
        <v>97</v>
      </c>
      <c r="AX51" s="29">
        <f t="shared" si="66"/>
        <v>63</v>
      </c>
      <c r="AY51" s="217">
        <f ca="1">IF(OR(E51="",F51="",ISERROR(AE51)),0,(100000000*MATCH(E51,INDIRECT($AI$1),0)+IF(AE51=1,(16-IF(AO51="M",MATCH(G51,Setup!$K$9:$K$23,0),MATCH(G51,Setup!$M$9:$M$23)))*1000000,0)+IF(AB51&gt;0,IF(AE51=1,RANK(AB51,AB:AB,-1)*1000+AX51,IF(AE51=2,AC51,AD51)),0)))</f>
        <v>215016063</v>
      </c>
      <c r="AZ51" s="42"/>
      <c r="BA51" s="42"/>
      <c r="BB51" s="42"/>
      <c r="BC51" s="42"/>
      <c r="BD51" s="42"/>
      <c r="BE51" s="42"/>
      <c r="BF51" s="42"/>
      <c r="BG51" s="42"/>
      <c r="BH51" s="96"/>
      <c r="BI51" s="96"/>
      <c r="BJ51" s="96"/>
      <c r="BK51" s="96"/>
      <c r="BL51" s="96"/>
      <c r="BM51" s="96"/>
      <c r="BN51" s="33"/>
      <c r="CJ51" s="31">
        <v>0</v>
      </c>
      <c r="CK51" s="31">
        <v>0</v>
      </c>
      <c r="CL51" s="31">
        <v>1</v>
      </c>
      <c r="CM51" s="31">
        <v>-1</v>
      </c>
      <c r="CN51" s="31">
        <v>0</v>
      </c>
      <c r="CO51" s="31">
        <v>0</v>
      </c>
      <c r="CP51" s="31">
        <v>0</v>
      </c>
      <c r="CQ51" s="31">
        <v>1</v>
      </c>
      <c r="CR51" s="31">
        <v>1</v>
      </c>
      <c r="CS51" s="31">
        <v>-1</v>
      </c>
      <c r="CT51" s="31">
        <v>0</v>
      </c>
      <c r="CU51" s="31">
        <v>0</v>
      </c>
      <c r="CV51" s="31">
        <v>0</v>
      </c>
      <c r="CW51" s="31">
        <v>1</v>
      </c>
      <c r="CX51" s="31">
        <v>-1</v>
      </c>
      <c r="CY51" s="31">
        <v>1</v>
      </c>
      <c r="CZ51" s="31">
        <v>0</v>
      </c>
    </row>
    <row r="52" spans="1:104" s="31" customFormat="1" x14ac:dyDescent="0.2">
      <c r="A52" s="31">
        <f t="shared" si="45"/>
        <v>92.5</v>
      </c>
      <c r="B52" s="19" t="s">
        <v>34</v>
      </c>
      <c r="C52" s="219" t="s">
        <v>521</v>
      </c>
      <c r="D52" s="19">
        <v>16</v>
      </c>
      <c r="E52" s="19" t="s">
        <v>220</v>
      </c>
      <c r="F52" s="19">
        <v>108.8</v>
      </c>
      <c r="G52" s="42">
        <f>IF(OR(E52="",F52=""),"",IF(LEFT(E52,1)="M",VLOOKUP(F52,Setup!$J$9:$K$23,2,TRUE),VLOOKUP(F52,Setup!$L$9:$M$23,2,TRUE)))</f>
        <v>114</v>
      </c>
      <c r="H52" s="42">
        <f>IF(F52="",0,VLOOKUP(AL52,DATA!$L$2:$N$1910,IF(LEFT(E52,1)="F",3,2)))</f>
        <v>1.1531</v>
      </c>
      <c r="I52" s="19"/>
      <c r="J52" s="19" t="s">
        <v>499</v>
      </c>
      <c r="K52" s="233">
        <v>85</v>
      </c>
      <c r="L52" s="233">
        <v>92.5</v>
      </c>
      <c r="M52" s="133">
        <v>-95</v>
      </c>
      <c r="N52" s="133"/>
      <c r="O52" s="134">
        <f t="shared" si="46"/>
        <v>92.5</v>
      </c>
      <c r="P52" s="224"/>
      <c r="Q52" s="233">
        <v>45</v>
      </c>
      <c r="R52" s="233">
        <v>50</v>
      </c>
      <c r="S52" s="233">
        <v>52.5</v>
      </c>
      <c r="T52" s="133"/>
      <c r="U52" s="134">
        <f t="shared" si="47"/>
        <v>52.5</v>
      </c>
      <c r="V52" s="135">
        <f t="shared" si="48"/>
        <v>145</v>
      </c>
      <c r="W52" s="233">
        <v>92.5</v>
      </c>
      <c r="X52" s="233">
        <v>97.5</v>
      </c>
      <c r="Y52" s="233">
        <v>102.5</v>
      </c>
      <c r="Z52" s="133"/>
      <c r="AA52" s="134">
        <f t="shared" si="49"/>
        <v>102.5</v>
      </c>
      <c r="AB52" s="135">
        <f t="shared" si="50"/>
        <v>247.5</v>
      </c>
      <c r="AC52" s="136">
        <f t="shared" si="51"/>
        <v>285.39224999999999</v>
      </c>
      <c r="AD52" s="136">
        <f>IF(OR(AB52=0,D52="",AND(D52&lt;40,D52&gt;22)),0,VLOOKUP($D52,DATA!$A$2:$B$53,2,TRUE)*AC52)</f>
        <v>322.49324249999995</v>
      </c>
      <c r="AE52" s="197">
        <f ca="1">IF(E52="","",OFFSET(Setup!$Q$1,MATCH(E52,Setup!O:O,0)-1,0))</f>
        <v>1</v>
      </c>
      <c r="AF52" s="134" t="str">
        <f t="shared" ca="1" si="52"/>
        <v>2-F-T2-114</v>
      </c>
      <c r="AG52" s="42">
        <f ca="1">IF(OR(AB52=0),0,VLOOKUP(AV52,Setup!$S$6:$T$15,2,TRUE))</f>
        <v>5</v>
      </c>
      <c r="AH52" s="137"/>
      <c r="AI52" s="132" t="s">
        <v>216</v>
      </c>
      <c r="AJ52" s="124">
        <f t="shared" si="53"/>
        <v>1</v>
      </c>
      <c r="AK52" s="42">
        <f t="shared" si="54"/>
        <v>7</v>
      </c>
      <c r="AL52" s="29">
        <f t="shared" si="55"/>
        <v>49.4</v>
      </c>
      <c r="AM52" s="29">
        <f t="shared" si="56"/>
        <v>247.5</v>
      </c>
      <c r="AN52" s="29">
        <f t="shared" si="57"/>
        <v>155</v>
      </c>
      <c r="AO52" s="41" t="str">
        <f t="shared" si="58"/>
        <v>F</v>
      </c>
      <c r="AP52" s="41"/>
      <c r="AQ52" s="31">
        <f t="shared" si="59"/>
        <v>1</v>
      </c>
      <c r="AR52" s="217">
        <f t="shared" ca="1" si="60"/>
        <v>313013059</v>
      </c>
      <c r="AS52" s="41">
        <f t="shared" ca="1" si="61"/>
        <v>37</v>
      </c>
      <c r="AT52" s="177">
        <f t="shared" ca="1" si="62"/>
        <v>313</v>
      </c>
      <c r="AU52" s="115">
        <f t="shared" ca="1" si="63"/>
        <v>36</v>
      </c>
      <c r="AV52" s="198">
        <f t="shared" ca="1" si="64"/>
        <v>2</v>
      </c>
      <c r="AW52" s="181">
        <f t="shared" si="65"/>
        <v>108.8</v>
      </c>
      <c r="AX52" s="29">
        <f t="shared" si="66"/>
        <v>59</v>
      </c>
      <c r="AY52" s="217">
        <f ca="1">IF(OR(E52="",F52="",ISERROR(AE52)),0,(100000000*MATCH(E52,INDIRECT($AI$1),0)+IF(AE52=1,(16-IF(AO52="M",MATCH(G52,Setup!$K$9:$K$23,0),MATCH(G52,Setup!$M$9:$M$23)))*1000000,0)+IF(AB52&gt;0,IF(AE52=1,RANK(AB52,AB:AB,-1)*1000+AX52,IF(AE52=2,AC52,AD52)),0)))</f>
        <v>313013059</v>
      </c>
      <c r="AZ52" s="42"/>
      <c r="BA52" s="42"/>
      <c r="BB52" s="42"/>
      <c r="BC52" s="42"/>
      <c r="BD52" s="42"/>
      <c r="BE52" s="42"/>
      <c r="BF52" s="42"/>
      <c r="BG52" s="42"/>
      <c r="BH52" s="96"/>
      <c r="BI52" s="96"/>
      <c r="BJ52" s="96"/>
      <c r="BK52" s="96"/>
      <c r="BL52" s="96"/>
      <c r="BM52" s="96"/>
      <c r="BN52" s="33"/>
      <c r="CJ52" s="31">
        <v>0</v>
      </c>
      <c r="CK52" s="31">
        <v>1</v>
      </c>
      <c r="CL52" s="31">
        <v>1</v>
      </c>
      <c r="CM52" s="31">
        <v>-1</v>
      </c>
      <c r="CN52" s="31">
        <v>0</v>
      </c>
      <c r="CO52" s="31">
        <v>0</v>
      </c>
      <c r="CP52" s="31">
        <v>0</v>
      </c>
      <c r="CQ52" s="31">
        <v>1</v>
      </c>
      <c r="CR52" s="31">
        <v>1</v>
      </c>
      <c r="CS52" s="31">
        <v>1</v>
      </c>
      <c r="CT52" s="31">
        <v>0</v>
      </c>
      <c r="CU52" s="31">
        <v>0</v>
      </c>
      <c r="CV52" s="31">
        <v>0</v>
      </c>
      <c r="CW52" s="31">
        <v>1</v>
      </c>
      <c r="CX52" s="31">
        <v>1</v>
      </c>
      <c r="CY52" s="31">
        <v>1</v>
      </c>
      <c r="CZ52" s="31">
        <v>0</v>
      </c>
    </row>
    <row r="53" spans="1:104" s="31" customFormat="1" x14ac:dyDescent="0.2">
      <c r="A53" s="31">
        <f t="shared" si="45"/>
        <v>95</v>
      </c>
      <c r="B53" s="19" t="s">
        <v>34</v>
      </c>
      <c r="C53" s="219" t="s">
        <v>522</v>
      </c>
      <c r="D53" s="19">
        <v>17</v>
      </c>
      <c r="E53" s="19" t="s">
        <v>220</v>
      </c>
      <c r="F53" s="19">
        <v>178.4</v>
      </c>
      <c r="G53" s="42">
        <f>IF(OR(E53="",F53=""),"",IF(LEFT(E53,1)="M",VLOOKUP(F53,Setup!$J$9:$K$23,2,TRUE),VLOOKUP(F53,Setup!$L$9:$M$23,2,TRUE)))</f>
        <v>181</v>
      </c>
      <c r="H53" s="42">
        <f>IF(F53="",0,VLOOKUP(AL53,DATA!$L$2:$N$1910,IF(LEFT(E53,1)="F",3,2)))</f>
        <v>0.79615000000000002</v>
      </c>
      <c r="I53" s="19"/>
      <c r="J53" s="19" t="s">
        <v>499</v>
      </c>
      <c r="K53" s="233">
        <v>87.5</v>
      </c>
      <c r="L53" s="233">
        <v>97.5</v>
      </c>
      <c r="M53" s="233">
        <v>100</v>
      </c>
      <c r="N53" s="133"/>
      <c r="O53" s="134">
        <f t="shared" si="46"/>
        <v>100</v>
      </c>
      <c r="P53" s="224"/>
      <c r="Q53" s="233">
        <v>45</v>
      </c>
      <c r="R53" s="233">
        <v>50</v>
      </c>
      <c r="S53" s="233">
        <v>52.5</v>
      </c>
      <c r="T53" s="133"/>
      <c r="U53" s="134">
        <f t="shared" si="47"/>
        <v>52.5</v>
      </c>
      <c r="V53" s="135">
        <f t="shared" si="48"/>
        <v>152.5</v>
      </c>
      <c r="W53" s="233">
        <v>95</v>
      </c>
      <c r="X53" s="233">
        <v>102.5</v>
      </c>
      <c r="Y53" s="133">
        <v>-107.5</v>
      </c>
      <c r="Z53" s="133"/>
      <c r="AA53" s="134">
        <f t="shared" si="49"/>
        <v>102.5</v>
      </c>
      <c r="AB53" s="135">
        <f t="shared" si="50"/>
        <v>255</v>
      </c>
      <c r="AC53" s="136">
        <f t="shared" si="51"/>
        <v>203.01824999999999</v>
      </c>
      <c r="AD53" s="136">
        <f>IF(OR(AB53=0,D53="",AND(D53&lt;40,D53&gt;22)),0,VLOOKUP($D53,DATA!$A$2:$B$53,2,TRUE)*AC53)</f>
        <v>219.25971000000001</v>
      </c>
      <c r="AE53" s="197">
        <f ca="1">IF(E53="","",OFFSET(Setup!$Q$1,MATCH(E53,Setup!O:O,0)-1,0))</f>
        <v>1</v>
      </c>
      <c r="AF53" s="134" t="str">
        <f t="shared" ca="1" si="52"/>
        <v>2-F-T2-181</v>
      </c>
      <c r="AG53" s="42">
        <f ca="1">IF(OR(AB53=0),0,VLOOKUP(AV53,Setup!$S$6:$T$15,2,TRUE))</f>
        <v>5</v>
      </c>
      <c r="AH53" s="137"/>
      <c r="AI53" s="132" t="s">
        <v>216</v>
      </c>
      <c r="AJ53" s="124">
        <f t="shared" si="53"/>
        <v>1</v>
      </c>
      <c r="AK53" s="42">
        <f t="shared" si="54"/>
        <v>7</v>
      </c>
      <c r="AL53" s="29">
        <f t="shared" si="55"/>
        <v>80.900000000000006</v>
      </c>
      <c r="AM53" s="29">
        <f t="shared" si="56"/>
        <v>255</v>
      </c>
      <c r="AN53" s="29">
        <f t="shared" si="57"/>
        <v>155</v>
      </c>
      <c r="AO53" s="41" t="str">
        <f t="shared" si="58"/>
        <v>F</v>
      </c>
      <c r="AP53" s="41"/>
      <c r="AQ53" s="31">
        <f t="shared" si="59"/>
        <v>1</v>
      </c>
      <c r="AR53" s="217">
        <f t="shared" ca="1" si="60"/>
        <v>308014031</v>
      </c>
      <c r="AS53" s="41">
        <f t="shared" ca="1" si="61"/>
        <v>45</v>
      </c>
      <c r="AT53" s="177">
        <f t="shared" ca="1" si="62"/>
        <v>308</v>
      </c>
      <c r="AU53" s="115">
        <f t="shared" ca="1" si="63"/>
        <v>44</v>
      </c>
      <c r="AV53" s="198">
        <f t="shared" ca="1" si="64"/>
        <v>2</v>
      </c>
      <c r="AW53" s="181">
        <f t="shared" si="65"/>
        <v>178.4</v>
      </c>
      <c r="AX53" s="29">
        <f t="shared" si="66"/>
        <v>31</v>
      </c>
      <c r="AY53" s="217">
        <f ca="1">IF(OR(E53="",F53="",ISERROR(AE53)),0,(100000000*MATCH(E53,INDIRECT($AI$1),0)+IF(AE53=1,(16-IF(AO53="M",MATCH(G53,Setup!$K$9:$K$23,0),MATCH(G53,Setup!$M$9:$M$23)))*1000000,0)+IF(AB53&gt;0,IF(AE53=1,RANK(AB53,AB:AB,-1)*1000+AX53,IF(AE53=2,AC53,AD53)),0)))</f>
        <v>308014031</v>
      </c>
      <c r="AZ53" s="42"/>
      <c r="BA53" s="42"/>
      <c r="BB53" s="42"/>
      <c r="BC53" s="42"/>
      <c r="BD53" s="42"/>
      <c r="BE53" s="42"/>
      <c r="BF53" s="42"/>
      <c r="BG53" s="42"/>
      <c r="BH53" s="96"/>
      <c r="BI53" s="96"/>
      <c r="BJ53" s="96"/>
      <c r="BK53" s="96"/>
      <c r="BL53" s="96"/>
      <c r="BM53" s="96"/>
      <c r="BN53" s="33"/>
      <c r="CJ53" s="31">
        <v>0</v>
      </c>
      <c r="CK53" s="31">
        <v>1</v>
      </c>
      <c r="CL53" s="31">
        <v>1</v>
      </c>
      <c r="CM53" s="31">
        <v>1</v>
      </c>
      <c r="CN53" s="31">
        <v>0</v>
      </c>
      <c r="CO53" s="31">
        <v>0</v>
      </c>
      <c r="CP53" s="31">
        <v>0</v>
      </c>
      <c r="CQ53" s="31">
        <v>1</v>
      </c>
      <c r="CR53" s="31">
        <v>1</v>
      </c>
      <c r="CS53" s="31">
        <v>1</v>
      </c>
      <c r="CT53" s="31">
        <v>0</v>
      </c>
      <c r="CU53" s="31">
        <v>0</v>
      </c>
      <c r="CV53" s="31">
        <v>0</v>
      </c>
      <c r="CW53" s="31">
        <v>1</v>
      </c>
      <c r="CX53" s="31">
        <v>1</v>
      </c>
      <c r="CY53" s="31">
        <v>-1</v>
      </c>
      <c r="CZ53" s="31">
        <v>0</v>
      </c>
    </row>
    <row r="54" spans="1:104" s="31" customFormat="1" x14ac:dyDescent="0.2">
      <c r="A54" s="31">
        <f t="shared" si="45"/>
        <v>97.5</v>
      </c>
      <c r="B54" s="19" t="s">
        <v>34</v>
      </c>
      <c r="C54" s="219" t="s">
        <v>523</v>
      </c>
      <c r="D54" s="19">
        <v>17</v>
      </c>
      <c r="E54" s="19" t="s">
        <v>220</v>
      </c>
      <c r="F54" s="19">
        <v>171.2</v>
      </c>
      <c r="G54" s="42">
        <f>IF(OR(E54="",F54=""),"",IF(LEFT(E54,1)="M",VLOOKUP(F54,Setup!$J$9:$K$23,2,TRUE),VLOOKUP(F54,Setup!$L$9:$M$23,2,TRUE)))</f>
        <v>181</v>
      </c>
      <c r="H54" s="42">
        <f>IF(F54="",0,VLOOKUP(AL54,DATA!$L$2:$N$1910,IF(LEFT(E54,1)="F",3,2)))</f>
        <v>0.81689999999999996</v>
      </c>
      <c r="I54" s="19"/>
      <c r="J54" s="19" t="s">
        <v>524</v>
      </c>
      <c r="K54" s="133">
        <v>-95</v>
      </c>
      <c r="L54" s="233">
        <v>95</v>
      </c>
      <c r="M54" s="233">
        <v>110</v>
      </c>
      <c r="N54" s="133"/>
      <c r="O54" s="134">
        <f t="shared" si="46"/>
        <v>110</v>
      </c>
      <c r="P54" s="224"/>
      <c r="Q54" s="233">
        <v>50</v>
      </c>
      <c r="R54" s="233">
        <v>55</v>
      </c>
      <c r="S54" s="133">
        <v>-60</v>
      </c>
      <c r="T54" s="133"/>
      <c r="U54" s="134">
        <f t="shared" si="47"/>
        <v>55</v>
      </c>
      <c r="V54" s="135">
        <f t="shared" si="48"/>
        <v>165</v>
      </c>
      <c r="W54" s="233">
        <v>97.5</v>
      </c>
      <c r="X54" s="233">
        <v>105</v>
      </c>
      <c r="Y54" s="233">
        <v>112.5</v>
      </c>
      <c r="Z54" s="133"/>
      <c r="AA54" s="134">
        <f t="shared" si="49"/>
        <v>112.5</v>
      </c>
      <c r="AB54" s="135">
        <f t="shared" si="50"/>
        <v>277.5</v>
      </c>
      <c r="AC54" s="136">
        <f t="shared" si="51"/>
        <v>226.68974999999998</v>
      </c>
      <c r="AD54" s="136">
        <f>IF(OR(AB54=0,D54="",AND(D54&lt;40,D54&gt;22)),0,VLOOKUP($D54,DATA!$A$2:$B$53,2,TRUE)*AC54)</f>
        <v>244.82492999999999</v>
      </c>
      <c r="AE54" s="197">
        <f ca="1">IF(E54="","",OFFSET(Setup!$Q$1,MATCH(E54,Setup!O:O,0)-1,0))</f>
        <v>1</v>
      </c>
      <c r="AF54" s="134" t="str">
        <f t="shared" ca="1" si="52"/>
        <v>1-F-T2-181</v>
      </c>
      <c r="AG54" s="42">
        <f ca="1">IF(OR(AB54=0),0,VLOOKUP(AV54,Setup!$S$6:$T$15,2,TRUE))</f>
        <v>7</v>
      </c>
      <c r="AH54" s="137"/>
      <c r="AI54" s="132" t="s">
        <v>216</v>
      </c>
      <c r="AJ54" s="124">
        <f t="shared" si="53"/>
        <v>1</v>
      </c>
      <c r="AK54" s="42">
        <f t="shared" si="54"/>
        <v>7</v>
      </c>
      <c r="AL54" s="29">
        <f t="shared" si="55"/>
        <v>77.7</v>
      </c>
      <c r="AM54" s="29">
        <f t="shared" si="56"/>
        <v>277.5</v>
      </c>
      <c r="AN54" s="29">
        <f t="shared" si="57"/>
        <v>167.5</v>
      </c>
      <c r="AO54" s="41" t="str">
        <f t="shared" si="58"/>
        <v>F</v>
      </c>
      <c r="AP54" s="41"/>
      <c r="AQ54" s="31">
        <f t="shared" si="59"/>
        <v>1</v>
      </c>
      <c r="AR54" s="217">
        <f t="shared" ca="1" si="60"/>
        <v>308019035</v>
      </c>
      <c r="AS54" s="41">
        <f t="shared" ca="1" si="61"/>
        <v>44</v>
      </c>
      <c r="AT54" s="177">
        <f t="shared" ca="1" si="62"/>
        <v>308</v>
      </c>
      <c r="AU54" s="115">
        <f t="shared" ca="1" si="63"/>
        <v>44</v>
      </c>
      <c r="AV54" s="198">
        <f t="shared" ca="1" si="64"/>
        <v>1</v>
      </c>
      <c r="AW54" s="181">
        <f t="shared" si="65"/>
        <v>171.2</v>
      </c>
      <c r="AX54" s="29">
        <f t="shared" si="66"/>
        <v>35</v>
      </c>
      <c r="AY54" s="217">
        <f ca="1">IF(OR(E54="",F54="",ISERROR(AE54)),0,(100000000*MATCH(E54,INDIRECT($AI$1),0)+IF(AE54=1,(16-IF(AO54="M",MATCH(G54,Setup!$K$9:$K$23,0),MATCH(G54,Setup!$M$9:$M$23)))*1000000,0)+IF(AB54&gt;0,IF(AE54=1,RANK(AB54,AB:AB,-1)*1000+AX54,IF(AE54=2,AC54,AD54)),0)))</f>
        <v>308019035</v>
      </c>
      <c r="AZ54" s="42"/>
      <c r="BA54" s="42"/>
      <c r="BB54" s="42"/>
      <c r="BC54" s="42"/>
      <c r="BD54" s="42"/>
      <c r="BE54" s="42"/>
      <c r="BF54" s="42"/>
      <c r="BG54" s="42"/>
      <c r="BH54" s="96"/>
      <c r="BI54" s="96"/>
      <c r="BJ54" s="96"/>
      <c r="BK54" s="96"/>
      <c r="BL54" s="96"/>
      <c r="BM54" s="96"/>
      <c r="BN54" s="33"/>
      <c r="CJ54" s="31">
        <v>0</v>
      </c>
      <c r="CK54" s="31">
        <v>-1</v>
      </c>
      <c r="CL54" s="31">
        <v>1</v>
      </c>
      <c r="CM54" s="31">
        <v>1</v>
      </c>
      <c r="CN54" s="31">
        <v>0</v>
      </c>
      <c r="CO54" s="31">
        <v>0</v>
      </c>
      <c r="CP54" s="31">
        <v>0</v>
      </c>
      <c r="CQ54" s="31">
        <v>1</v>
      </c>
      <c r="CR54" s="31">
        <v>1</v>
      </c>
      <c r="CS54" s="31">
        <v>-1</v>
      </c>
      <c r="CT54" s="31">
        <v>0</v>
      </c>
      <c r="CU54" s="31">
        <v>0</v>
      </c>
      <c r="CV54" s="31">
        <v>0</v>
      </c>
      <c r="CW54" s="31">
        <v>1</v>
      </c>
      <c r="CX54" s="31">
        <v>1</v>
      </c>
      <c r="CY54" s="31">
        <v>1</v>
      </c>
      <c r="CZ54" s="31">
        <v>0</v>
      </c>
    </row>
    <row r="55" spans="1:104" s="31" customFormat="1" x14ac:dyDescent="0.2">
      <c r="A55" s="31">
        <f t="shared" si="45"/>
        <v>97.5</v>
      </c>
      <c r="B55" s="19" t="s">
        <v>34</v>
      </c>
      <c r="C55" s="219" t="s">
        <v>525</v>
      </c>
      <c r="D55" s="19">
        <v>14</v>
      </c>
      <c r="E55" s="19" t="s">
        <v>219</v>
      </c>
      <c r="F55" s="19">
        <v>101.2</v>
      </c>
      <c r="G55" s="42">
        <f>IF(OR(E55="",F55=""),"",IF(LEFT(E55,1)="M",VLOOKUP(F55,Setup!$J$9:$K$23,2,TRUE),VLOOKUP(F55,Setup!$L$9:$M$23,2,TRUE)))</f>
        <v>105</v>
      </c>
      <c r="H55" s="42">
        <f>IF(F55="",0,VLOOKUP(AL55,DATA!$L$2:$N$1910,IF(LEFT(E55,1)="F",3,2)))</f>
        <v>1.2195</v>
      </c>
      <c r="I55" s="19"/>
      <c r="J55" s="19" t="s">
        <v>536</v>
      </c>
      <c r="K55" s="233">
        <v>97.5</v>
      </c>
      <c r="L55" s="233">
        <v>105</v>
      </c>
      <c r="M55" s="233">
        <v>112.5</v>
      </c>
      <c r="N55" s="133"/>
      <c r="O55" s="134">
        <f t="shared" si="46"/>
        <v>112.5</v>
      </c>
      <c r="P55" s="224"/>
      <c r="Q55" s="233">
        <v>50</v>
      </c>
      <c r="R55" s="233">
        <v>57.5</v>
      </c>
      <c r="S55" s="233">
        <v>60</v>
      </c>
      <c r="T55" s="133"/>
      <c r="U55" s="134">
        <f t="shared" si="47"/>
        <v>60</v>
      </c>
      <c r="V55" s="135">
        <f t="shared" si="48"/>
        <v>172.5</v>
      </c>
      <c r="W55" s="233">
        <v>97.5</v>
      </c>
      <c r="X55" s="233">
        <v>107.5</v>
      </c>
      <c r="Y55" s="233">
        <v>117.5</v>
      </c>
      <c r="Z55" s="133"/>
      <c r="AA55" s="134">
        <f t="shared" si="49"/>
        <v>117.5</v>
      </c>
      <c r="AB55" s="135">
        <f t="shared" si="50"/>
        <v>290</v>
      </c>
      <c r="AC55" s="136">
        <f t="shared" si="51"/>
        <v>353.65500000000003</v>
      </c>
      <c r="AD55" s="136">
        <f>IF(OR(AB55=0,D55="",AND(D55&lt;40,D55&gt;22)),0,VLOOKUP($D55,DATA!$A$2:$B$53,2,TRUE)*AC55)</f>
        <v>434.99565000000001</v>
      </c>
      <c r="AE55" s="197">
        <f ca="1">IF(E55="","",OFFSET(Setup!$Q$1,MATCH(E55,Setup!O:O,0)-1,0))</f>
        <v>1</v>
      </c>
      <c r="AF55" s="134" t="str">
        <f t="shared" ca="1" si="52"/>
        <v>1-F-T1-105</v>
      </c>
      <c r="AG55" s="42">
        <f ca="1">IF(OR(AB55=0),0,VLOOKUP(AV55,Setup!$S$6:$T$15,2,TRUE))</f>
        <v>7</v>
      </c>
      <c r="AH55" s="137"/>
      <c r="AI55" s="132" t="s">
        <v>216</v>
      </c>
      <c r="AJ55" s="124">
        <f t="shared" si="53"/>
        <v>1</v>
      </c>
      <c r="AK55" s="42">
        <f t="shared" si="54"/>
        <v>7</v>
      </c>
      <c r="AL55" s="29">
        <f t="shared" si="55"/>
        <v>45.9</v>
      </c>
      <c r="AM55" s="29">
        <f t="shared" si="56"/>
        <v>290</v>
      </c>
      <c r="AN55" s="29">
        <f t="shared" si="57"/>
        <v>177.5</v>
      </c>
      <c r="AO55" s="41" t="str">
        <f t="shared" si="58"/>
        <v>F</v>
      </c>
      <c r="AP55" s="41"/>
      <c r="AQ55" s="31">
        <f t="shared" si="59"/>
        <v>1</v>
      </c>
      <c r="AR55" s="217">
        <f t="shared" ca="1" si="60"/>
        <v>214021061</v>
      </c>
      <c r="AS55" s="41">
        <f t="shared" ca="1" si="61"/>
        <v>47</v>
      </c>
      <c r="AT55" s="177">
        <f t="shared" ca="1" si="62"/>
        <v>214</v>
      </c>
      <c r="AU55" s="115">
        <f t="shared" ca="1" si="63"/>
        <v>47</v>
      </c>
      <c r="AV55" s="198">
        <f t="shared" ca="1" si="64"/>
        <v>1</v>
      </c>
      <c r="AW55" s="181">
        <f t="shared" si="65"/>
        <v>101.2</v>
      </c>
      <c r="AX55" s="29">
        <f t="shared" si="66"/>
        <v>61</v>
      </c>
      <c r="AY55" s="217">
        <f ca="1">IF(OR(E55="",F55="",ISERROR(AE55)),0,(100000000*MATCH(E55,INDIRECT($AI$1),0)+IF(AE55=1,(16-IF(AO55="M",MATCH(G55,Setup!$K$9:$K$23,0),MATCH(G55,Setup!$M$9:$M$23)))*1000000,0)+IF(AB55&gt;0,IF(AE55=1,RANK(AB55,AB:AB,-1)*1000+AX55,IF(AE55=2,AC55,AD55)),0)))</f>
        <v>214021061</v>
      </c>
      <c r="AZ55" s="42"/>
      <c r="BA55" s="42"/>
      <c r="BB55" s="42"/>
      <c r="BC55" s="42"/>
      <c r="BD55" s="42"/>
      <c r="BE55" s="42"/>
      <c r="BF55" s="42"/>
      <c r="BG55" s="42"/>
      <c r="BH55" s="96"/>
      <c r="BI55" s="96"/>
      <c r="BJ55" s="96"/>
      <c r="BK55" s="96"/>
      <c r="BL55" s="96"/>
      <c r="BM55" s="96"/>
      <c r="BN55" s="33"/>
      <c r="CJ55" s="31">
        <v>0</v>
      </c>
      <c r="CK55" s="31">
        <v>1</v>
      </c>
      <c r="CL55" s="31">
        <v>1</v>
      </c>
      <c r="CM55" s="31">
        <v>1</v>
      </c>
      <c r="CN55" s="31">
        <v>0</v>
      </c>
      <c r="CO55" s="31">
        <v>0</v>
      </c>
      <c r="CP55" s="31">
        <v>0</v>
      </c>
      <c r="CQ55" s="31">
        <v>1</v>
      </c>
      <c r="CR55" s="31">
        <v>1</v>
      </c>
      <c r="CS55" s="31">
        <v>1</v>
      </c>
      <c r="CT55" s="31">
        <v>0</v>
      </c>
      <c r="CU55" s="31">
        <v>0</v>
      </c>
      <c r="CV55" s="31">
        <v>0</v>
      </c>
      <c r="CW55" s="31">
        <v>1</v>
      </c>
      <c r="CX55" s="31">
        <v>1</v>
      </c>
      <c r="CY55" s="31">
        <v>1</v>
      </c>
      <c r="CZ55" s="31">
        <v>0</v>
      </c>
    </row>
    <row r="56" spans="1:104" s="31" customFormat="1" x14ac:dyDescent="0.2">
      <c r="A56" s="31">
        <f t="shared" si="45"/>
        <v>100</v>
      </c>
      <c r="B56" s="19" t="s">
        <v>34</v>
      </c>
      <c r="C56" s="219" t="s">
        <v>529</v>
      </c>
      <c r="D56" s="19">
        <v>15</v>
      </c>
      <c r="E56" s="19" t="s">
        <v>219</v>
      </c>
      <c r="F56" s="19">
        <v>120</v>
      </c>
      <c r="G56" s="42">
        <f>IF(OR(E56="",F56=""),"",IF(LEFT(E56,1)="M",VLOOKUP(F56,Setup!$J$9:$K$23,2,TRUE),VLOOKUP(F56,Setup!$L$9:$M$23,2,TRUE)))</f>
        <v>123</v>
      </c>
      <c r="H56" s="42">
        <f>IF(F56="",0,VLOOKUP(AL56,DATA!$L$2:$N$1910,IF(LEFT(E56,1)="F",3,2)))</f>
        <v>1.0684</v>
      </c>
      <c r="I56" s="19"/>
      <c r="J56" s="19" t="s">
        <v>530</v>
      </c>
      <c r="K56" s="233">
        <v>100</v>
      </c>
      <c r="L56" s="233">
        <v>107.5</v>
      </c>
      <c r="M56" s="233">
        <v>115</v>
      </c>
      <c r="N56" s="133"/>
      <c r="O56" s="134">
        <f t="shared" si="46"/>
        <v>115</v>
      </c>
      <c r="P56" s="224"/>
      <c r="Q56" s="233">
        <v>45</v>
      </c>
      <c r="R56" s="233">
        <v>50</v>
      </c>
      <c r="S56" s="133">
        <v>-55</v>
      </c>
      <c r="T56" s="133"/>
      <c r="U56" s="134">
        <f t="shared" si="47"/>
        <v>50</v>
      </c>
      <c r="V56" s="135">
        <f t="shared" si="48"/>
        <v>165</v>
      </c>
      <c r="W56" s="233">
        <v>100</v>
      </c>
      <c r="X56" s="133">
        <v>-110</v>
      </c>
      <c r="Y56" s="133">
        <v>-110</v>
      </c>
      <c r="Z56" s="133"/>
      <c r="AA56" s="134">
        <f t="shared" si="49"/>
        <v>100</v>
      </c>
      <c r="AB56" s="135">
        <f t="shared" si="50"/>
        <v>265</v>
      </c>
      <c r="AC56" s="136">
        <f t="shared" si="51"/>
        <v>283.12599999999998</v>
      </c>
      <c r="AD56" s="136">
        <f>IF(OR(AB56=0,D56="",AND(D56&lt;40,D56&gt;22)),0,VLOOKUP($D56,DATA!$A$2:$B$53,2,TRUE)*AC56)</f>
        <v>334.08867999999995</v>
      </c>
      <c r="AE56" s="197">
        <f ca="1">IF(E56="","",OFFSET(Setup!$Q$1,MATCH(E56,Setup!O:O,0)-1,0))</f>
        <v>1</v>
      </c>
      <c r="AF56" s="134" t="str">
        <f t="shared" ca="1" si="52"/>
        <v>1-F-T1-123</v>
      </c>
      <c r="AG56" s="42">
        <f ca="1">IF(OR(AB56=0),0,VLOOKUP(AV56,Setup!$S$6:$T$15,2,TRUE))</f>
        <v>7</v>
      </c>
      <c r="AH56" s="137"/>
      <c r="AI56" s="132" t="s">
        <v>216</v>
      </c>
      <c r="AJ56" s="124">
        <f t="shared" si="53"/>
        <v>1</v>
      </c>
      <c r="AK56" s="42">
        <f t="shared" si="54"/>
        <v>7</v>
      </c>
      <c r="AL56" s="29">
        <f t="shared" si="55"/>
        <v>54.4</v>
      </c>
      <c r="AM56" s="29">
        <f t="shared" si="56"/>
        <v>265</v>
      </c>
      <c r="AN56" s="29">
        <f t="shared" si="57"/>
        <v>150</v>
      </c>
      <c r="AO56" s="41" t="str">
        <f t="shared" si="58"/>
        <v>F</v>
      </c>
      <c r="AP56" s="41"/>
      <c r="AQ56" s="31">
        <f t="shared" si="59"/>
        <v>1</v>
      </c>
      <c r="AR56" s="217">
        <f t="shared" ca="1" si="60"/>
        <v>212015053</v>
      </c>
      <c r="AS56" s="41">
        <f t="shared" ca="1" si="61"/>
        <v>49</v>
      </c>
      <c r="AT56" s="177">
        <f t="shared" ca="1" si="62"/>
        <v>212</v>
      </c>
      <c r="AU56" s="115">
        <f t="shared" ca="1" si="63"/>
        <v>49</v>
      </c>
      <c r="AV56" s="198">
        <f t="shared" ca="1" si="64"/>
        <v>1</v>
      </c>
      <c r="AW56" s="181">
        <f t="shared" si="65"/>
        <v>120</v>
      </c>
      <c r="AX56" s="29">
        <f t="shared" si="66"/>
        <v>53</v>
      </c>
      <c r="AY56" s="217">
        <f ca="1">IF(OR(E56="",F56="",ISERROR(AE56)),0,(100000000*MATCH(E56,INDIRECT($AI$1),0)+IF(AE56=1,(16-IF(AO56="M",MATCH(G56,Setup!$K$9:$K$23,0),MATCH(G56,Setup!$M$9:$M$23)))*1000000,0)+IF(AB56&gt;0,IF(AE56=1,RANK(AB56,AB:AB,-1)*1000+AX56,IF(AE56=2,AC56,AD56)),0)))</f>
        <v>212015053</v>
      </c>
      <c r="AZ56" s="42"/>
      <c r="BA56" s="42"/>
      <c r="BB56" s="42"/>
      <c r="BC56" s="42"/>
      <c r="BD56" s="42"/>
      <c r="BE56" s="42"/>
      <c r="BF56" s="42"/>
      <c r="BG56" s="42"/>
      <c r="BH56" s="96"/>
      <c r="BI56" s="96"/>
      <c r="BJ56" s="96"/>
      <c r="BK56" s="96"/>
      <c r="BL56" s="96"/>
      <c r="BM56" s="96"/>
      <c r="BN56" s="33"/>
      <c r="CJ56" s="31">
        <v>0</v>
      </c>
      <c r="CK56" s="31">
        <v>1</v>
      </c>
      <c r="CL56" s="31">
        <v>1</v>
      </c>
      <c r="CM56" s="31">
        <v>1</v>
      </c>
      <c r="CN56" s="31">
        <v>0</v>
      </c>
      <c r="CO56" s="31">
        <v>0</v>
      </c>
      <c r="CP56" s="31">
        <v>0</v>
      </c>
      <c r="CQ56" s="31">
        <v>1</v>
      </c>
      <c r="CR56" s="31">
        <v>1</v>
      </c>
      <c r="CS56" s="31">
        <v>-1</v>
      </c>
      <c r="CT56" s="31">
        <v>0</v>
      </c>
      <c r="CU56" s="31">
        <v>0</v>
      </c>
      <c r="CV56" s="31">
        <v>0</v>
      </c>
      <c r="CW56" s="31">
        <v>1</v>
      </c>
      <c r="CX56" s="31">
        <v>-1</v>
      </c>
      <c r="CY56" s="31">
        <v>-1</v>
      </c>
      <c r="CZ56" s="31">
        <v>0</v>
      </c>
    </row>
    <row r="57" spans="1:104" s="31" customFormat="1" x14ac:dyDescent="0.2">
      <c r="A57" s="31">
        <f t="shared" si="45"/>
        <v>100</v>
      </c>
      <c r="B57" s="19" t="s">
        <v>34</v>
      </c>
      <c r="C57" s="219" t="s">
        <v>528</v>
      </c>
      <c r="D57" s="19">
        <v>14</v>
      </c>
      <c r="E57" s="19" t="s">
        <v>219</v>
      </c>
      <c r="F57" s="19">
        <v>106.8</v>
      </c>
      <c r="G57" s="42">
        <f>IF(OR(E57="",F57=""),"",IF(LEFT(E57,1)="M",VLOOKUP(F57,Setup!$J$9:$K$23,2,TRUE),VLOOKUP(F57,Setup!$L$9:$M$23,2,TRUE)))</f>
        <v>114</v>
      </c>
      <c r="H57" s="42">
        <f>IF(F57="",0,VLOOKUP(AL57,DATA!$L$2:$N$1910,IF(LEFT(E57,1)="F",3,2)))</f>
        <v>1.1715</v>
      </c>
      <c r="I57" s="19"/>
      <c r="J57" s="19" t="s">
        <v>526</v>
      </c>
      <c r="K57" s="233">
        <v>100</v>
      </c>
      <c r="L57" s="233">
        <v>110</v>
      </c>
      <c r="M57" s="233">
        <v>117.5</v>
      </c>
      <c r="N57" s="133"/>
      <c r="O57" s="134">
        <f t="shared" si="46"/>
        <v>117.5</v>
      </c>
      <c r="P57" s="224"/>
      <c r="Q57" s="233">
        <v>47.5</v>
      </c>
      <c r="R57" s="233">
        <v>52.5</v>
      </c>
      <c r="S57" s="233">
        <v>55</v>
      </c>
      <c r="T57" s="133"/>
      <c r="U57" s="134">
        <f t="shared" si="47"/>
        <v>55</v>
      </c>
      <c r="V57" s="135">
        <f t="shared" si="48"/>
        <v>172.5</v>
      </c>
      <c r="W57" s="233">
        <v>100</v>
      </c>
      <c r="X57" s="233">
        <v>110</v>
      </c>
      <c r="Y57" s="133">
        <v>-120</v>
      </c>
      <c r="Z57" s="133"/>
      <c r="AA57" s="134">
        <f t="shared" si="49"/>
        <v>110</v>
      </c>
      <c r="AB57" s="135">
        <f t="shared" si="50"/>
        <v>282.5</v>
      </c>
      <c r="AC57" s="136">
        <f t="shared" si="51"/>
        <v>330.94875000000002</v>
      </c>
      <c r="AD57" s="136">
        <f>IF(OR(AB57=0,D57="",AND(D57&lt;40,D57&gt;22)),0,VLOOKUP($D57,DATA!$A$2:$B$53,2,TRUE)*AC57)</f>
        <v>407.06696249999999</v>
      </c>
      <c r="AE57" s="197">
        <f ca="1">IF(E57="","",OFFSET(Setup!$Q$1,MATCH(E57,Setup!O:O,0)-1,0))</f>
        <v>1</v>
      </c>
      <c r="AF57" s="134" t="str">
        <f t="shared" ca="1" si="52"/>
        <v>1-F-T1-114</v>
      </c>
      <c r="AG57" s="42">
        <f ca="1">IF(OR(AB57=0),0,VLOOKUP(AV57,Setup!$S$6:$T$15,2,TRUE))</f>
        <v>7</v>
      </c>
      <c r="AH57" s="137"/>
      <c r="AI57" s="132" t="s">
        <v>216</v>
      </c>
      <c r="AJ57" s="124">
        <f t="shared" si="53"/>
        <v>1</v>
      </c>
      <c r="AK57" s="42">
        <f t="shared" si="54"/>
        <v>7</v>
      </c>
      <c r="AL57" s="29">
        <f t="shared" si="55"/>
        <v>48.4</v>
      </c>
      <c r="AM57" s="29">
        <f t="shared" si="56"/>
        <v>282.5</v>
      </c>
      <c r="AN57" s="29">
        <f t="shared" si="57"/>
        <v>165</v>
      </c>
      <c r="AO57" s="41" t="str">
        <f t="shared" si="58"/>
        <v>F</v>
      </c>
      <c r="AP57" s="41"/>
      <c r="AQ57" s="31">
        <f t="shared" si="59"/>
        <v>1</v>
      </c>
      <c r="AR57" s="217">
        <f t="shared" ca="1" si="60"/>
        <v>213020060</v>
      </c>
      <c r="AS57" s="41">
        <f t="shared" ca="1" si="61"/>
        <v>48</v>
      </c>
      <c r="AT57" s="177">
        <f t="shared" ca="1" si="62"/>
        <v>213</v>
      </c>
      <c r="AU57" s="115">
        <f t="shared" ca="1" si="63"/>
        <v>48</v>
      </c>
      <c r="AV57" s="198">
        <f t="shared" ca="1" si="64"/>
        <v>1</v>
      </c>
      <c r="AW57" s="181">
        <f t="shared" si="65"/>
        <v>106.8</v>
      </c>
      <c r="AX57" s="29">
        <f t="shared" si="66"/>
        <v>60</v>
      </c>
      <c r="AY57" s="217">
        <f ca="1">IF(OR(E57="",F57="",ISERROR(AE57)),0,(100000000*MATCH(E57,INDIRECT($AI$1),0)+IF(AE57=1,(16-IF(AO57="M",MATCH(G57,Setup!$K$9:$K$23,0),MATCH(G57,Setup!$M$9:$M$23)))*1000000,0)+IF(AB57&gt;0,IF(AE57=1,RANK(AB57,AB:AB,-1)*1000+AX57,IF(AE57=2,AC57,AD57)),0)))</f>
        <v>213020060</v>
      </c>
      <c r="AZ57" s="42"/>
      <c r="BA57" s="42"/>
      <c r="BB57" s="42"/>
      <c r="BC57" s="42"/>
      <c r="BD57" s="42"/>
      <c r="BE57" s="42"/>
      <c r="BF57" s="42"/>
      <c r="BG57" s="42"/>
      <c r="BH57" s="96"/>
      <c r="BI57" s="96"/>
      <c r="BJ57" s="96"/>
      <c r="BK57" s="96"/>
      <c r="BL57" s="96"/>
      <c r="BM57" s="96"/>
      <c r="BN57" s="33"/>
      <c r="CJ57" s="31">
        <v>0</v>
      </c>
      <c r="CK57" s="31">
        <v>1</v>
      </c>
      <c r="CL57" s="31">
        <v>1</v>
      </c>
      <c r="CM57" s="31">
        <v>1</v>
      </c>
      <c r="CN57" s="31">
        <v>0</v>
      </c>
      <c r="CO57" s="31">
        <v>0</v>
      </c>
      <c r="CP57" s="31">
        <v>0</v>
      </c>
      <c r="CQ57" s="31">
        <v>1</v>
      </c>
      <c r="CR57" s="31">
        <v>1</v>
      </c>
      <c r="CS57" s="31">
        <v>1</v>
      </c>
      <c r="CT57" s="31">
        <v>0</v>
      </c>
      <c r="CU57" s="31">
        <v>0</v>
      </c>
      <c r="CV57" s="31">
        <v>0</v>
      </c>
      <c r="CW57" s="31">
        <v>1</v>
      </c>
      <c r="CX57" s="31">
        <v>1</v>
      </c>
      <c r="CY57" s="31">
        <v>-1</v>
      </c>
      <c r="CZ57" s="31">
        <v>0</v>
      </c>
    </row>
    <row r="58" spans="1:104" s="31" customFormat="1" x14ac:dyDescent="0.2">
      <c r="A58" s="31">
        <f t="shared" si="45"/>
        <v>107.5</v>
      </c>
      <c r="B58" s="19" t="s">
        <v>34</v>
      </c>
      <c r="C58" s="219" t="s">
        <v>535</v>
      </c>
      <c r="D58" s="19">
        <v>31</v>
      </c>
      <c r="E58" s="19" t="s">
        <v>223</v>
      </c>
      <c r="F58" s="19">
        <v>100.4</v>
      </c>
      <c r="G58" s="42">
        <f>IF(OR(E58="",F58=""),"",IF(LEFT(E58,1)="M",VLOOKUP(F58,Setup!$J$9:$K$23,2,TRUE),VLOOKUP(F58,Setup!$L$9:$M$23,2,TRUE)))</f>
        <v>105</v>
      </c>
      <c r="H58" s="42">
        <f>IF(F58="",0,VLOOKUP(AL58,DATA!$L$2:$N$1910,IF(LEFT(E58,1)="F",3,2)))</f>
        <v>1.2275</v>
      </c>
      <c r="I58" s="19"/>
      <c r="J58" s="19" t="s">
        <v>536</v>
      </c>
      <c r="K58" s="133">
        <v>-125</v>
      </c>
      <c r="L58" s="233">
        <v>125</v>
      </c>
      <c r="M58" s="133">
        <v>-137.5</v>
      </c>
      <c r="N58" s="133"/>
      <c r="O58" s="134">
        <f t="shared" si="46"/>
        <v>125</v>
      </c>
      <c r="P58" s="224"/>
      <c r="Q58" s="233">
        <v>70</v>
      </c>
      <c r="R58" s="233">
        <v>75</v>
      </c>
      <c r="S58" s="133">
        <v>-80</v>
      </c>
      <c r="T58" s="133"/>
      <c r="U58" s="134">
        <f t="shared" si="47"/>
        <v>75</v>
      </c>
      <c r="V58" s="135">
        <f t="shared" si="48"/>
        <v>200</v>
      </c>
      <c r="W58" s="233">
        <v>107.5</v>
      </c>
      <c r="X58" s="233">
        <v>117.5</v>
      </c>
      <c r="Y58" s="233">
        <v>125</v>
      </c>
      <c r="Z58" s="133"/>
      <c r="AA58" s="134">
        <f t="shared" si="49"/>
        <v>125</v>
      </c>
      <c r="AB58" s="135">
        <f t="shared" si="50"/>
        <v>325</v>
      </c>
      <c r="AC58" s="136">
        <f t="shared" si="51"/>
        <v>398.9375</v>
      </c>
      <c r="AD58" s="136">
        <f>IF(OR(AB58=0,D58="",AND(D58&lt;40,D58&gt;22)),0,VLOOKUP($D58,DATA!$A$2:$B$53,2,TRUE)*AC58)</f>
        <v>0</v>
      </c>
      <c r="AE58" s="197">
        <f ca="1">IF(E58="","",OFFSET(Setup!$Q$1,MATCH(E58,Setup!O:O,0)-1,0))</f>
        <v>1</v>
      </c>
      <c r="AF58" s="134" t="str">
        <f t="shared" ca="1" si="52"/>
        <v>1-F-O-105</v>
      </c>
      <c r="AG58" s="42">
        <f ca="1">IF(OR(AB58=0),0,VLOOKUP(AV58,Setup!$S$6:$T$15,2,TRUE))</f>
        <v>7</v>
      </c>
      <c r="AH58" s="137"/>
      <c r="AI58" s="132" t="s">
        <v>216</v>
      </c>
      <c r="AJ58" s="124">
        <f t="shared" si="53"/>
        <v>1</v>
      </c>
      <c r="AK58" s="42">
        <f t="shared" si="54"/>
        <v>7</v>
      </c>
      <c r="AL58" s="29">
        <f t="shared" si="55"/>
        <v>45.5</v>
      </c>
      <c r="AM58" s="29">
        <f t="shared" si="56"/>
        <v>325</v>
      </c>
      <c r="AN58" s="29">
        <f t="shared" si="57"/>
        <v>200</v>
      </c>
      <c r="AO58" s="41" t="str">
        <f t="shared" si="58"/>
        <v>F</v>
      </c>
      <c r="AP58" s="41"/>
      <c r="AQ58" s="31">
        <f t="shared" si="59"/>
        <v>1</v>
      </c>
      <c r="AR58" s="217">
        <f t="shared" ca="1" si="60"/>
        <v>614027062</v>
      </c>
      <c r="AS58" s="41">
        <f t="shared" ca="1" si="61"/>
        <v>31</v>
      </c>
      <c r="AT58" s="177">
        <f t="shared" ca="1" si="62"/>
        <v>614</v>
      </c>
      <c r="AU58" s="115">
        <f t="shared" ca="1" si="63"/>
        <v>31</v>
      </c>
      <c r="AV58" s="198">
        <f t="shared" ca="1" si="64"/>
        <v>1</v>
      </c>
      <c r="AW58" s="181">
        <f t="shared" si="65"/>
        <v>100.4</v>
      </c>
      <c r="AX58" s="29">
        <f t="shared" si="66"/>
        <v>62</v>
      </c>
      <c r="AY58" s="217">
        <f ca="1">IF(OR(E58="",F58="",ISERROR(AE58)),0,(100000000*MATCH(E58,INDIRECT($AI$1),0)+IF(AE58=1,(16-IF(AO58="M",MATCH(G58,Setup!$K$9:$K$23,0),MATCH(G58,Setup!$M$9:$M$23)))*1000000,0)+IF(AB58&gt;0,IF(AE58=1,RANK(AB58,AB:AB,-1)*1000+AX58,IF(AE58=2,AC58,AD58)),0)))</f>
        <v>614027062</v>
      </c>
      <c r="AZ58" s="42"/>
      <c r="BA58" s="42"/>
      <c r="BB58" s="42"/>
      <c r="BC58" s="42"/>
      <c r="BD58" s="42"/>
      <c r="BE58" s="42"/>
      <c r="BF58" s="42"/>
      <c r="BG58" s="42"/>
      <c r="BH58" s="96"/>
      <c r="BI58" s="96"/>
      <c r="BJ58" s="96"/>
      <c r="BK58" s="96"/>
      <c r="BL58" s="96"/>
      <c r="BM58" s="96"/>
      <c r="BN58" s="33"/>
      <c r="CJ58" s="31">
        <v>0</v>
      </c>
      <c r="CK58" s="31">
        <v>-1</v>
      </c>
      <c r="CL58" s="31">
        <v>1</v>
      </c>
      <c r="CM58" s="31">
        <v>-1</v>
      </c>
      <c r="CN58" s="31">
        <v>0</v>
      </c>
      <c r="CO58" s="31">
        <v>0</v>
      </c>
      <c r="CP58" s="31">
        <v>0</v>
      </c>
      <c r="CQ58" s="31">
        <v>1</v>
      </c>
      <c r="CR58" s="31">
        <v>1</v>
      </c>
      <c r="CS58" s="31">
        <v>-1</v>
      </c>
      <c r="CT58" s="31">
        <v>0</v>
      </c>
      <c r="CU58" s="31">
        <v>0</v>
      </c>
      <c r="CV58" s="31">
        <v>0</v>
      </c>
      <c r="CW58" s="31">
        <v>1</v>
      </c>
      <c r="CX58" s="31">
        <v>1</v>
      </c>
      <c r="CY58" s="31">
        <v>1</v>
      </c>
      <c r="CZ58" s="31">
        <v>0</v>
      </c>
    </row>
    <row r="59" spans="1:104" s="31" customFormat="1" x14ac:dyDescent="0.2">
      <c r="A59" s="31">
        <f t="shared" si="45"/>
        <v>110</v>
      </c>
      <c r="B59" s="19" t="s">
        <v>34</v>
      </c>
      <c r="C59" s="219" t="s">
        <v>531</v>
      </c>
      <c r="D59" s="19">
        <v>17</v>
      </c>
      <c r="E59" s="19" t="s">
        <v>220</v>
      </c>
      <c r="F59" s="19">
        <v>157</v>
      </c>
      <c r="G59" s="42">
        <f>IF(OR(E59="",F59=""),"",IF(LEFT(E59,1)="M",VLOOKUP(F59,Setup!$J$9:$K$23,2,TRUE),VLOOKUP(F59,Setup!$L$9:$M$23,2,TRUE)))</f>
        <v>165</v>
      </c>
      <c r="H59" s="42">
        <f>IF(F59="",0,VLOOKUP(AL59,DATA!$L$2:$N$1910,IF(LEFT(E59,1)="F",3,2)))</f>
        <v>0.86619999999999997</v>
      </c>
      <c r="I59" s="19"/>
      <c r="J59" s="19" t="s">
        <v>477</v>
      </c>
      <c r="K59" s="233">
        <v>112.5</v>
      </c>
      <c r="L59" s="233">
        <v>120</v>
      </c>
      <c r="M59" s="133">
        <v>-122.5</v>
      </c>
      <c r="N59" s="133"/>
      <c r="O59" s="134">
        <f t="shared" si="46"/>
        <v>120</v>
      </c>
      <c r="P59" s="224"/>
      <c r="Q59" s="233">
        <v>57.5</v>
      </c>
      <c r="R59" s="133">
        <v>-60</v>
      </c>
      <c r="S59" s="233">
        <v>60</v>
      </c>
      <c r="T59" s="133"/>
      <c r="U59" s="134">
        <f t="shared" si="47"/>
        <v>60</v>
      </c>
      <c r="V59" s="135">
        <f t="shared" si="48"/>
        <v>180</v>
      </c>
      <c r="W59" s="233">
        <v>110</v>
      </c>
      <c r="X59" s="133">
        <v>-117.5</v>
      </c>
      <c r="Y59" s="233">
        <v>117.5</v>
      </c>
      <c r="Z59" s="133"/>
      <c r="AA59" s="134">
        <f t="shared" si="49"/>
        <v>117.5</v>
      </c>
      <c r="AB59" s="135">
        <f t="shared" si="50"/>
        <v>297.5</v>
      </c>
      <c r="AC59" s="136">
        <f t="shared" si="51"/>
        <v>257.69450000000001</v>
      </c>
      <c r="AD59" s="136">
        <f>IF(OR(AB59=0,D59="",AND(D59&lt;40,D59&gt;22)),0,VLOOKUP($D59,DATA!$A$2:$B$53,2,TRUE)*AC59)</f>
        <v>278.31006000000002</v>
      </c>
      <c r="AE59" s="197">
        <f ca="1">IF(E59="","",OFFSET(Setup!$Q$1,MATCH(E59,Setup!O:O,0)-1,0))</f>
        <v>1</v>
      </c>
      <c r="AF59" s="134" t="str">
        <f t="shared" ca="1" si="52"/>
        <v>1-F-T2-165</v>
      </c>
      <c r="AG59" s="42">
        <f ca="1">IF(OR(AB59=0),0,VLOOKUP(AV59,Setup!$S$6:$T$15,2,TRUE))</f>
        <v>7</v>
      </c>
      <c r="AH59" s="137"/>
      <c r="AI59" s="132" t="s">
        <v>216</v>
      </c>
      <c r="AJ59" s="124">
        <f t="shared" si="53"/>
        <v>1</v>
      </c>
      <c r="AK59" s="42">
        <f t="shared" si="54"/>
        <v>7</v>
      </c>
      <c r="AL59" s="29">
        <f t="shared" si="55"/>
        <v>71.2</v>
      </c>
      <c r="AM59" s="29">
        <f t="shared" si="56"/>
        <v>297.5</v>
      </c>
      <c r="AN59" s="29">
        <f t="shared" si="57"/>
        <v>177.5</v>
      </c>
      <c r="AO59" s="41" t="str">
        <f t="shared" si="58"/>
        <v>F</v>
      </c>
      <c r="AP59" s="41"/>
      <c r="AQ59" s="31">
        <f t="shared" si="59"/>
        <v>1</v>
      </c>
      <c r="AR59" s="217">
        <f t="shared" ca="1" si="60"/>
        <v>309023039</v>
      </c>
      <c r="AS59" s="41">
        <f t="shared" ca="1" si="61"/>
        <v>43</v>
      </c>
      <c r="AT59" s="177">
        <f t="shared" ca="1" si="62"/>
        <v>309</v>
      </c>
      <c r="AU59" s="115">
        <f t="shared" ca="1" si="63"/>
        <v>43</v>
      </c>
      <c r="AV59" s="198">
        <f t="shared" ca="1" si="64"/>
        <v>1</v>
      </c>
      <c r="AW59" s="181">
        <f t="shared" si="65"/>
        <v>157</v>
      </c>
      <c r="AX59" s="29">
        <f t="shared" si="66"/>
        <v>39</v>
      </c>
      <c r="AY59" s="217">
        <f ca="1">IF(OR(E59="",F59="",ISERROR(AE59)),0,(100000000*MATCH(E59,INDIRECT($AI$1),0)+IF(AE59=1,(16-IF(AO59="M",MATCH(G59,Setup!$K$9:$K$23,0),MATCH(G59,Setup!$M$9:$M$23)))*1000000,0)+IF(AB59&gt;0,IF(AE59=1,RANK(AB59,AB:AB,-1)*1000+AX59,IF(AE59=2,AC59,AD59)),0)))</f>
        <v>309023039</v>
      </c>
      <c r="AZ59" s="42"/>
      <c r="BA59" s="42"/>
      <c r="BB59" s="42"/>
      <c r="BC59" s="42"/>
      <c r="BD59" s="42"/>
      <c r="BE59" s="42"/>
      <c r="BF59" s="42"/>
      <c r="BG59" s="42"/>
      <c r="BH59" s="96"/>
      <c r="BI59" s="96"/>
      <c r="BJ59" s="96"/>
      <c r="BK59" s="96"/>
      <c r="BL59" s="96"/>
      <c r="BM59" s="96"/>
      <c r="BN59" s="33"/>
      <c r="CJ59" s="31">
        <v>0</v>
      </c>
      <c r="CK59" s="31">
        <v>1</v>
      </c>
      <c r="CL59" s="31">
        <v>1</v>
      </c>
      <c r="CM59" s="31">
        <v>-1</v>
      </c>
      <c r="CN59" s="31">
        <v>0</v>
      </c>
      <c r="CO59" s="31">
        <v>0</v>
      </c>
      <c r="CP59" s="31">
        <v>0</v>
      </c>
      <c r="CQ59" s="31">
        <v>1</v>
      </c>
      <c r="CR59" s="31">
        <v>-1</v>
      </c>
      <c r="CS59" s="31">
        <v>1</v>
      </c>
      <c r="CT59" s="31">
        <v>0</v>
      </c>
      <c r="CU59" s="31">
        <v>0</v>
      </c>
      <c r="CV59" s="31">
        <v>0</v>
      </c>
      <c r="CW59" s="31">
        <v>1</v>
      </c>
      <c r="CX59" s="31">
        <v>-1</v>
      </c>
      <c r="CY59" s="31">
        <v>1</v>
      </c>
      <c r="CZ59" s="31">
        <v>0</v>
      </c>
    </row>
    <row r="60" spans="1:104" s="31" customFormat="1" x14ac:dyDescent="0.2">
      <c r="A60" s="31">
        <f t="shared" si="45"/>
        <v>125</v>
      </c>
      <c r="B60" s="19" t="s">
        <v>34</v>
      </c>
      <c r="C60" s="219" t="s">
        <v>568</v>
      </c>
      <c r="D60" s="19">
        <v>35</v>
      </c>
      <c r="E60" s="19" t="s">
        <v>224</v>
      </c>
      <c r="F60" s="19">
        <v>111.4</v>
      </c>
      <c r="G60" s="42">
        <f>IF(OR(E60="",F60=""),"",IF(LEFT(E60,1)="M",VLOOKUP(F60,Setup!$J$9:$K$23,2,TRUE),VLOOKUP(F60,Setup!$L$9:$M$23,2,TRUE)))</f>
        <v>114</v>
      </c>
      <c r="H60" s="42">
        <f>IF(F60="",0,VLOOKUP(AL60,DATA!$L$2:$N$1910,IF(LEFT(E60,1)="F",3,2)))</f>
        <v>1.1334</v>
      </c>
      <c r="I60" s="19"/>
      <c r="J60" s="19" t="s">
        <v>533</v>
      </c>
      <c r="K60" s="233">
        <v>115</v>
      </c>
      <c r="L60" s="233">
        <v>130</v>
      </c>
      <c r="M60" s="133">
        <v>-137.5</v>
      </c>
      <c r="N60" s="133"/>
      <c r="O60" s="134">
        <f t="shared" si="46"/>
        <v>130</v>
      </c>
      <c r="P60" s="224"/>
      <c r="Q60" s="233">
        <v>52.5</v>
      </c>
      <c r="R60" s="133">
        <v>-57.5</v>
      </c>
      <c r="S60" s="133">
        <v>-57.5</v>
      </c>
      <c r="T60" s="133"/>
      <c r="U60" s="134">
        <f t="shared" si="47"/>
        <v>52.5</v>
      </c>
      <c r="V60" s="135">
        <f t="shared" si="48"/>
        <v>182.5</v>
      </c>
      <c r="W60" s="233">
        <v>125</v>
      </c>
      <c r="X60" s="233">
        <v>137.5</v>
      </c>
      <c r="Y60" s="133">
        <v>-142.5</v>
      </c>
      <c r="Z60" s="133"/>
      <c r="AA60" s="134">
        <f t="shared" si="49"/>
        <v>137.5</v>
      </c>
      <c r="AB60" s="135">
        <f t="shared" si="50"/>
        <v>320</v>
      </c>
      <c r="AC60" s="136">
        <f t="shared" si="51"/>
        <v>362.68799999999999</v>
      </c>
      <c r="AD60" s="136">
        <f>IF(OR(AB60=0,D60="",AND(D60&lt;40,D60&gt;22)),0,VLOOKUP($D60,DATA!$A$2:$B$53,2,TRUE)*AC60)</f>
        <v>0</v>
      </c>
      <c r="AE60" s="197">
        <f ca="1">IF(E60="","",OFFSET(Setup!$Q$1,MATCH(E60,Setup!O:O,0)-1,0))</f>
        <v>1</v>
      </c>
      <c r="AF60" s="134" t="str">
        <f t="shared" ca="1" si="52"/>
        <v>1-F-S-114</v>
      </c>
      <c r="AG60" s="42">
        <f ca="1">IF(OR(AB60=0),0,VLOOKUP(AV60,Setup!$S$6:$T$15,2,TRUE))</f>
        <v>7</v>
      </c>
      <c r="AH60" s="137"/>
      <c r="AI60" s="132" t="s">
        <v>216</v>
      </c>
      <c r="AJ60" s="124">
        <f t="shared" si="53"/>
        <v>1</v>
      </c>
      <c r="AK60" s="42">
        <f t="shared" si="54"/>
        <v>7</v>
      </c>
      <c r="AL60" s="29">
        <f t="shared" si="55"/>
        <v>50.5</v>
      </c>
      <c r="AM60" s="29">
        <f t="shared" si="56"/>
        <v>320</v>
      </c>
      <c r="AN60" s="29">
        <f t="shared" si="57"/>
        <v>190</v>
      </c>
      <c r="AO60" s="41" t="str">
        <f t="shared" si="58"/>
        <v>F</v>
      </c>
      <c r="AP60" s="41"/>
      <c r="AQ60" s="31">
        <f t="shared" si="59"/>
        <v>1</v>
      </c>
      <c r="AR60" s="217">
        <f t="shared" ca="1" si="60"/>
        <v>713024058</v>
      </c>
      <c r="AS60" s="41">
        <f t="shared" ca="1" si="61"/>
        <v>30</v>
      </c>
      <c r="AT60" s="177">
        <f t="shared" ca="1" si="62"/>
        <v>713</v>
      </c>
      <c r="AU60" s="115">
        <f t="shared" ca="1" si="63"/>
        <v>30</v>
      </c>
      <c r="AV60" s="198">
        <f t="shared" ca="1" si="64"/>
        <v>1</v>
      </c>
      <c r="AW60" s="181">
        <f t="shared" si="65"/>
        <v>111.4</v>
      </c>
      <c r="AX60" s="29">
        <f t="shared" si="66"/>
        <v>58</v>
      </c>
      <c r="AY60" s="217">
        <f ca="1">IF(OR(E60="",F60="",ISERROR(AE60)),0,(100000000*MATCH(E60,INDIRECT($AI$1),0)+IF(AE60=1,(16-IF(AO60="M",MATCH(G60,Setup!$K$9:$K$23,0),MATCH(G60,Setup!$M$9:$M$23)))*1000000,0)+IF(AB60&gt;0,IF(AE60=1,RANK(AB60,AB:AB,-1)*1000+AX60,IF(AE60=2,AC60,AD60)),0)))</f>
        <v>713024058</v>
      </c>
      <c r="AZ60" s="42"/>
      <c r="BA60" s="42"/>
      <c r="BB60" s="42"/>
      <c r="BC60" s="42"/>
      <c r="BD60" s="42"/>
      <c r="BE60" s="42"/>
      <c r="BF60" s="42"/>
      <c r="BG60" s="42"/>
      <c r="BH60" s="96"/>
      <c r="BI60" s="96"/>
      <c r="BJ60" s="96"/>
      <c r="BK60" s="96"/>
      <c r="BL60" s="96"/>
      <c r="BM60" s="96"/>
      <c r="BN60" s="33"/>
      <c r="CJ60" s="31">
        <v>0</v>
      </c>
      <c r="CK60" s="31">
        <v>1</v>
      </c>
      <c r="CL60" s="31">
        <v>1</v>
      </c>
      <c r="CM60" s="31">
        <v>-1</v>
      </c>
      <c r="CN60" s="31">
        <v>0</v>
      </c>
      <c r="CO60" s="31">
        <v>0</v>
      </c>
      <c r="CP60" s="31">
        <v>0</v>
      </c>
      <c r="CQ60" s="31">
        <v>1</v>
      </c>
      <c r="CR60" s="31">
        <v>-1</v>
      </c>
      <c r="CS60" s="31">
        <v>-1</v>
      </c>
      <c r="CT60" s="31">
        <v>0</v>
      </c>
      <c r="CU60" s="31">
        <v>0</v>
      </c>
      <c r="CV60" s="31">
        <v>0</v>
      </c>
      <c r="CW60" s="31">
        <v>1</v>
      </c>
      <c r="CX60" s="31">
        <v>1</v>
      </c>
      <c r="CY60" s="31">
        <v>-1</v>
      </c>
      <c r="CZ60" s="31">
        <v>0</v>
      </c>
    </row>
    <row r="61" spans="1:104" s="31" customFormat="1" x14ac:dyDescent="0.2">
      <c r="A61" s="31">
        <f t="shared" si="45"/>
        <v>127.5</v>
      </c>
      <c r="B61" s="19" t="s">
        <v>34</v>
      </c>
      <c r="C61" s="219" t="s">
        <v>538</v>
      </c>
      <c r="D61" s="19">
        <v>17</v>
      </c>
      <c r="E61" s="19" t="s">
        <v>220</v>
      </c>
      <c r="F61" s="19">
        <v>120</v>
      </c>
      <c r="G61" s="42">
        <f>IF(OR(E61="",F61=""),"",IF(LEFT(E61,1)="M",VLOOKUP(F61,Setup!$J$9:$K$23,2,TRUE),VLOOKUP(F61,Setup!$L$9:$M$23,2,TRUE)))</f>
        <v>123</v>
      </c>
      <c r="H61" s="42">
        <f>IF(F61="",0,VLOOKUP(AL61,DATA!$L$2:$N$1910,IF(LEFT(E61,1)="F",3,2)))</f>
        <v>1.0684</v>
      </c>
      <c r="I61" s="19"/>
      <c r="J61" s="19" t="s">
        <v>526</v>
      </c>
      <c r="K61" s="233">
        <v>132.5</v>
      </c>
      <c r="L61" s="133">
        <v>-140</v>
      </c>
      <c r="M61" s="133">
        <v>-140</v>
      </c>
      <c r="N61" s="133"/>
      <c r="O61" s="134">
        <f t="shared" si="46"/>
        <v>132.5</v>
      </c>
      <c r="P61" s="224"/>
      <c r="Q61" s="233">
        <v>57.5</v>
      </c>
      <c r="R61" s="233">
        <v>60</v>
      </c>
      <c r="S61" s="133">
        <v>-62.5</v>
      </c>
      <c r="T61" s="133"/>
      <c r="U61" s="134">
        <f t="shared" si="47"/>
        <v>60</v>
      </c>
      <c r="V61" s="135">
        <f t="shared" si="48"/>
        <v>192.5</v>
      </c>
      <c r="W61" s="233">
        <v>127.5</v>
      </c>
      <c r="X61" s="133">
        <v>-137.5</v>
      </c>
      <c r="Y61" s="133">
        <v>-137.5</v>
      </c>
      <c r="Z61" s="133"/>
      <c r="AA61" s="134">
        <f t="shared" si="49"/>
        <v>127.5</v>
      </c>
      <c r="AB61" s="135">
        <f t="shared" si="50"/>
        <v>320</v>
      </c>
      <c r="AC61" s="136">
        <f t="shared" si="51"/>
        <v>341.88800000000003</v>
      </c>
      <c r="AD61" s="136">
        <f>IF(OR(AB61=0,D61="",AND(D61&lt;40,D61&gt;22)),0,VLOOKUP($D61,DATA!$A$2:$B$53,2,TRUE)*AC61)</f>
        <v>369.23904000000005</v>
      </c>
      <c r="AE61" s="197">
        <f ca="1">IF(E61="","",OFFSET(Setup!$Q$1,MATCH(E61,Setup!O:O,0)-1,0))</f>
        <v>1</v>
      </c>
      <c r="AF61" s="134" t="str">
        <f t="shared" ca="1" si="52"/>
        <v>1-F-T2-123</v>
      </c>
      <c r="AG61" s="42">
        <f ca="1">IF(OR(AB61=0),0,VLOOKUP(AV61,Setup!$S$6:$T$15,2,TRUE))</f>
        <v>7</v>
      </c>
      <c r="AH61" s="137"/>
      <c r="AI61" s="132" t="s">
        <v>216</v>
      </c>
      <c r="AJ61" s="124">
        <f t="shared" si="53"/>
        <v>1</v>
      </c>
      <c r="AK61" s="42">
        <f t="shared" si="54"/>
        <v>7</v>
      </c>
      <c r="AL61" s="29">
        <f t="shared" si="55"/>
        <v>54.4</v>
      </c>
      <c r="AM61" s="29">
        <f t="shared" si="56"/>
        <v>320</v>
      </c>
      <c r="AN61" s="29">
        <f t="shared" si="57"/>
        <v>187.5</v>
      </c>
      <c r="AO61" s="41" t="str">
        <f t="shared" si="58"/>
        <v>F</v>
      </c>
      <c r="AP61" s="41"/>
      <c r="AQ61" s="31">
        <f t="shared" si="59"/>
        <v>1</v>
      </c>
      <c r="AR61" s="217">
        <f t="shared" ca="1" si="60"/>
        <v>312024053</v>
      </c>
      <c r="AS61" s="41">
        <f t="shared" ca="1" si="61"/>
        <v>38</v>
      </c>
      <c r="AT61" s="177">
        <f t="shared" ca="1" si="62"/>
        <v>312</v>
      </c>
      <c r="AU61" s="115">
        <f t="shared" ca="1" si="63"/>
        <v>38</v>
      </c>
      <c r="AV61" s="198">
        <f t="shared" ca="1" si="64"/>
        <v>1</v>
      </c>
      <c r="AW61" s="181">
        <f t="shared" si="65"/>
        <v>120</v>
      </c>
      <c r="AX61" s="29">
        <f t="shared" si="66"/>
        <v>53</v>
      </c>
      <c r="AY61" s="217">
        <f ca="1">IF(OR(E61="",F61="",ISERROR(AE61)),0,(100000000*MATCH(E61,INDIRECT($AI$1),0)+IF(AE61=1,(16-IF(AO61="M",MATCH(G61,Setup!$K$9:$K$23,0),MATCH(G61,Setup!$M$9:$M$23)))*1000000,0)+IF(AB61&gt;0,IF(AE61=1,RANK(AB61,AB:AB,-1)*1000+AX61,IF(AE61=2,AC61,AD61)),0)))</f>
        <v>312024053</v>
      </c>
      <c r="AZ61" s="42"/>
      <c r="BA61" s="42"/>
      <c r="BB61" s="42"/>
      <c r="BC61" s="42"/>
      <c r="BD61" s="42"/>
      <c r="BE61" s="42"/>
      <c r="BF61" s="42"/>
      <c r="BG61" s="42"/>
      <c r="BH61" s="96"/>
      <c r="BI61" s="96"/>
      <c r="BJ61" s="96"/>
      <c r="BK61" s="96"/>
      <c r="BL61" s="96"/>
      <c r="BM61" s="96"/>
      <c r="BN61" s="33"/>
      <c r="CJ61" s="31">
        <v>0</v>
      </c>
      <c r="CK61" s="31">
        <v>1</v>
      </c>
      <c r="CL61" s="31">
        <v>-1</v>
      </c>
      <c r="CM61" s="31">
        <v>-1</v>
      </c>
      <c r="CN61" s="31">
        <v>0</v>
      </c>
      <c r="CO61" s="31">
        <v>0</v>
      </c>
      <c r="CP61" s="31">
        <v>0</v>
      </c>
      <c r="CQ61" s="31">
        <v>1</v>
      </c>
      <c r="CR61" s="31">
        <v>1</v>
      </c>
      <c r="CS61" s="31">
        <v>-1</v>
      </c>
      <c r="CT61" s="31">
        <v>0</v>
      </c>
      <c r="CU61" s="31">
        <v>0</v>
      </c>
      <c r="CV61" s="31">
        <v>0</v>
      </c>
      <c r="CW61" s="31">
        <v>1</v>
      </c>
      <c r="CX61" s="31">
        <v>-1</v>
      </c>
      <c r="CY61" s="31">
        <v>-1</v>
      </c>
      <c r="CZ61" s="31">
        <v>0</v>
      </c>
    </row>
    <row r="62" spans="1:104" s="31" customFormat="1" x14ac:dyDescent="0.2">
      <c r="A62" s="31">
        <f t="shared" si="45"/>
        <v>127.5</v>
      </c>
      <c r="B62" s="19" t="s">
        <v>34</v>
      </c>
      <c r="C62" s="219" t="s">
        <v>542</v>
      </c>
      <c r="D62" s="19">
        <v>16</v>
      </c>
      <c r="E62" s="19" t="s">
        <v>220</v>
      </c>
      <c r="F62" s="19">
        <v>112.8</v>
      </c>
      <c r="G62" s="42">
        <f>IF(OR(E62="",F62=""),"",IF(LEFT(E62,1)="M",VLOOKUP(F62,Setup!$J$9:$K$23,2,TRUE),VLOOKUP(F62,Setup!$L$9:$M$23,2,TRUE)))</f>
        <v>114</v>
      </c>
      <c r="H62" s="42">
        <f>IF(F62="",0,VLOOKUP(AL62,DATA!$L$2:$N$1910,IF(LEFT(E62,1)="F",3,2)))</f>
        <v>1.1212</v>
      </c>
      <c r="I62" s="19"/>
      <c r="J62" s="19" t="s">
        <v>543</v>
      </c>
      <c r="K62" s="233">
        <v>142.5</v>
      </c>
      <c r="L62" s="233">
        <v>155</v>
      </c>
      <c r="M62" s="133">
        <v>-162.5</v>
      </c>
      <c r="N62" s="133"/>
      <c r="O62" s="134">
        <f t="shared" si="46"/>
        <v>155</v>
      </c>
      <c r="P62" s="224"/>
      <c r="Q62" s="233">
        <v>67.5</v>
      </c>
      <c r="R62" s="233">
        <v>75</v>
      </c>
      <c r="S62" s="133">
        <v>-77.5</v>
      </c>
      <c r="T62" s="133"/>
      <c r="U62" s="134">
        <f t="shared" si="47"/>
        <v>75</v>
      </c>
      <c r="V62" s="135">
        <f t="shared" si="48"/>
        <v>230</v>
      </c>
      <c r="W62" s="233">
        <v>127.5</v>
      </c>
      <c r="X62" s="233">
        <v>137.5</v>
      </c>
      <c r="Y62" s="233">
        <v>142.5</v>
      </c>
      <c r="Z62" s="133"/>
      <c r="AA62" s="134">
        <f t="shared" si="49"/>
        <v>142.5</v>
      </c>
      <c r="AB62" s="135">
        <f t="shared" si="50"/>
        <v>372.5</v>
      </c>
      <c r="AC62" s="136">
        <f t="shared" si="51"/>
        <v>417.64699999999999</v>
      </c>
      <c r="AD62" s="136">
        <f>IF(OR(AB62=0,D62="",AND(D62&lt;40,D62&gt;22)),0,VLOOKUP($D62,DATA!$A$2:$B$53,2,TRUE)*AC62)</f>
        <v>471.94110999999992</v>
      </c>
      <c r="AE62" s="197">
        <f ca="1">IF(E62="","",OFFSET(Setup!$Q$1,MATCH(E62,Setup!O:O,0)-1,0))</f>
        <v>1</v>
      </c>
      <c r="AF62" s="134" t="str">
        <f t="shared" ca="1" si="52"/>
        <v>1-F-T2-114</v>
      </c>
      <c r="AG62" s="42">
        <f ca="1">IF(OR(AB62=0),0,VLOOKUP(AV62,Setup!$S$6:$T$15,2,TRUE))</f>
        <v>7</v>
      </c>
      <c r="AH62" s="137"/>
      <c r="AI62" s="132" t="s">
        <v>216</v>
      </c>
      <c r="AJ62" s="124">
        <f t="shared" si="53"/>
        <v>1</v>
      </c>
      <c r="AK62" s="42">
        <f t="shared" si="54"/>
        <v>7</v>
      </c>
      <c r="AL62" s="29">
        <f t="shared" si="55"/>
        <v>51.2</v>
      </c>
      <c r="AM62" s="29">
        <f t="shared" si="56"/>
        <v>372.5</v>
      </c>
      <c r="AN62" s="29">
        <f t="shared" si="57"/>
        <v>217.5</v>
      </c>
      <c r="AO62" s="41" t="str">
        <f t="shared" si="58"/>
        <v>F</v>
      </c>
      <c r="AP62" s="41"/>
      <c r="AQ62" s="31">
        <f t="shared" si="59"/>
        <v>1</v>
      </c>
      <c r="AR62" s="217">
        <f t="shared" ca="1" si="60"/>
        <v>313032056</v>
      </c>
      <c r="AS62" s="41">
        <f t="shared" ca="1" si="61"/>
        <v>36</v>
      </c>
      <c r="AT62" s="177">
        <f t="shared" ca="1" si="62"/>
        <v>313</v>
      </c>
      <c r="AU62" s="115">
        <f t="shared" ca="1" si="63"/>
        <v>36</v>
      </c>
      <c r="AV62" s="198">
        <f t="shared" ca="1" si="64"/>
        <v>1</v>
      </c>
      <c r="AW62" s="181">
        <f t="shared" si="65"/>
        <v>112.8</v>
      </c>
      <c r="AX62" s="29">
        <f t="shared" si="66"/>
        <v>56</v>
      </c>
      <c r="AY62" s="217">
        <f ca="1">IF(OR(E62="",F62="",ISERROR(AE62)),0,(100000000*MATCH(E62,INDIRECT($AI$1),0)+IF(AE62=1,(16-IF(AO62="M",MATCH(G62,Setup!$K$9:$K$23,0),MATCH(G62,Setup!$M$9:$M$23)))*1000000,0)+IF(AB62&gt;0,IF(AE62=1,RANK(AB62,AB:AB,-1)*1000+AX62,IF(AE62=2,AC62,AD62)),0)))</f>
        <v>313032056</v>
      </c>
      <c r="AZ62" s="42"/>
      <c r="BA62" s="42"/>
      <c r="BB62" s="42"/>
      <c r="BC62" s="42"/>
      <c r="BD62" s="42"/>
      <c r="BE62" s="42"/>
      <c r="BF62" s="42"/>
      <c r="BG62" s="42"/>
      <c r="BH62" s="96"/>
      <c r="BI62" s="96"/>
      <c r="BJ62" s="96"/>
      <c r="BK62" s="96"/>
      <c r="BL62" s="96"/>
      <c r="BM62" s="96"/>
      <c r="BN62" s="33"/>
      <c r="CJ62" s="31">
        <v>0</v>
      </c>
      <c r="CK62" s="31">
        <v>1</v>
      </c>
      <c r="CL62" s="31">
        <v>1</v>
      </c>
      <c r="CM62" s="31">
        <v>-1</v>
      </c>
      <c r="CN62" s="31">
        <v>0</v>
      </c>
      <c r="CO62" s="31">
        <v>0</v>
      </c>
      <c r="CP62" s="31">
        <v>0</v>
      </c>
      <c r="CQ62" s="31">
        <v>1</v>
      </c>
      <c r="CR62" s="31">
        <v>1</v>
      </c>
      <c r="CS62" s="31">
        <v>-1</v>
      </c>
      <c r="CT62" s="31">
        <v>0</v>
      </c>
      <c r="CU62" s="31">
        <v>0</v>
      </c>
      <c r="CV62" s="31">
        <v>0</v>
      </c>
      <c r="CW62" s="31">
        <v>1</v>
      </c>
      <c r="CX62" s="31">
        <v>1</v>
      </c>
      <c r="CY62" s="31">
        <v>1</v>
      </c>
      <c r="CZ62" s="31">
        <v>0</v>
      </c>
    </row>
    <row r="63" spans="1:104" s="31" customFormat="1" x14ac:dyDescent="0.2">
      <c r="A63" s="31">
        <f t="shared" si="45"/>
        <v>127.5</v>
      </c>
      <c r="B63" s="19" t="s">
        <v>34</v>
      </c>
      <c r="C63" s="219" t="s">
        <v>539</v>
      </c>
      <c r="D63" s="19">
        <v>16</v>
      </c>
      <c r="E63" s="19" t="s">
        <v>220</v>
      </c>
      <c r="F63" s="19">
        <v>147.80000000000001</v>
      </c>
      <c r="G63" s="42">
        <f>IF(OR(E63="",F63=""),"",IF(LEFT(E63,1)="M",VLOOKUP(F63,Setup!$J$9:$K$23,2,TRUE),VLOOKUP(F63,Setup!$L$9:$M$23,2,TRUE)))</f>
        <v>148</v>
      </c>
      <c r="H63" s="42">
        <f>IF(F63="",0,VLOOKUP(AL63,DATA!$L$2:$N$1910,IF(LEFT(E63,1)="F",3,2)))</f>
        <v>0.90490000000000004</v>
      </c>
      <c r="I63" s="19"/>
      <c r="J63" s="19" t="s">
        <v>524</v>
      </c>
      <c r="K63" s="233">
        <v>135</v>
      </c>
      <c r="L63" s="133">
        <v>-150</v>
      </c>
      <c r="M63" s="233">
        <v>157.5</v>
      </c>
      <c r="N63" s="133"/>
      <c r="O63" s="134">
        <f t="shared" si="46"/>
        <v>157.5</v>
      </c>
      <c r="P63" s="224"/>
      <c r="Q63" s="133">
        <v>-45</v>
      </c>
      <c r="R63" s="133">
        <v>-52.5</v>
      </c>
      <c r="S63" s="233">
        <v>52.5</v>
      </c>
      <c r="T63" s="133"/>
      <c r="U63" s="134">
        <f t="shared" si="47"/>
        <v>52.5</v>
      </c>
      <c r="V63" s="135">
        <f t="shared" si="48"/>
        <v>210</v>
      </c>
      <c r="W63" s="233">
        <v>127.5</v>
      </c>
      <c r="X63" s="233">
        <v>142.5</v>
      </c>
      <c r="Y63" s="233">
        <v>157.5</v>
      </c>
      <c r="Z63" s="133"/>
      <c r="AA63" s="134">
        <f t="shared" si="49"/>
        <v>157.5</v>
      </c>
      <c r="AB63" s="135">
        <f t="shared" si="50"/>
        <v>367.5</v>
      </c>
      <c r="AC63" s="136">
        <f t="shared" si="51"/>
        <v>332.55074999999999</v>
      </c>
      <c r="AD63" s="136">
        <f>IF(OR(AB63=0,D63="",AND(D63&lt;40,D63&gt;22)),0,VLOOKUP($D63,DATA!$A$2:$B$53,2,TRUE)*AC63)</f>
        <v>375.78234749999996</v>
      </c>
      <c r="AE63" s="197">
        <f ca="1">IF(E63="","",OFFSET(Setup!$Q$1,MATCH(E63,Setup!O:O,0)-1,0))</f>
        <v>1</v>
      </c>
      <c r="AF63" s="134" t="str">
        <f t="shared" ca="1" si="52"/>
        <v>1-F-T2-148</v>
      </c>
      <c r="AG63" s="42">
        <f ca="1">IF(OR(AB63=0),0,VLOOKUP(AV63,Setup!$S$6:$T$15,2,TRUE))</f>
        <v>7</v>
      </c>
      <c r="AH63" s="137"/>
      <c r="AI63" s="132" t="s">
        <v>216</v>
      </c>
      <c r="AJ63" s="124">
        <f t="shared" si="53"/>
        <v>1</v>
      </c>
      <c r="AK63" s="42">
        <f t="shared" si="54"/>
        <v>7</v>
      </c>
      <c r="AL63" s="29">
        <f t="shared" si="55"/>
        <v>67</v>
      </c>
      <c r="AM63" s="29">
        <f t="shared" si="56"/>
        <v>367.5</v>
      </c>
      <c r="AN63" s="29">
        <f t="shared" si="57"/>
        <v>210</v>
      </c>
      <c r="AO63" s="41" t="str">
        <f t="shared" si="58"/>
        <v>F</v>
      </c>
      <c r="AP63" s="41"/>
      <c r="AQ63" s="31">
        <f t="shared" si="59"/>
        <v>1</v>
      </c>
      <c r="AR63" s="217">
        <f t="shared" ca="1" si="60"/>
        <v>310031041</v>
      </c>
      <c r="AS63" s="41">
        <f t="shared" ca="1" si="61"/>
        <v>42</v>
      </c>
      <c r="AT63" s="177">
        <f t="shared" ca="1" si="62"/>
        <v>310</v>
      </c>
      <c r="AU63" s="115">
        <f t="shared" ca="1" si="63"/>
        <v>42</v>
      </c>
      <c r="AV63" s="198">
        <f t="shared" ca="1" si="64"/>
        <v>1</v>
      </c>
      <c r="AW63" s="181">
        <f t="shared" si="65"/>
        <v>147.80000000000001</v>
      </c>
      <c r="AX63" s="29">
        <f t="shared" si="66"/>
        <v>41</v>
      </c>
      <c r="AY63" s="217">
        <f ca="1">IF(OR(E63="",F63="",ISERROR(AE63)),0,(100000000*MATCH(E63,INDIRECT($AI$1),0)+IF(AE63=1,(16-IF(AO63="M",MATCH(G63,Setup!$K$9:$K$23,0),MATCH(G63,Setup!$M$9:$M$23)))*1000000,0)+IF(AB63&gt;0,IF(AE63=1,RANK(AB63,AB:AB,-1)*1000+AX63,IF(AE63=2,AC63,AD63)),0)))</f>
        <v>310031041</v>
      </c>
      <c r="AZ63" s="42"/>
      <c r="BA63" s="42"/>
      <c r="BB63" s="42"/>
      <c r="BC63" s="42"/>
      <c r="BD63" s="42"/>
      <c r="BE63" s="42"/>
      <c r="BF63" s="42"/>
      <c r="BG63" s="42"/>
      <c r="BH63" s="96"/>
      <c r="BI63" s="96"/>
      <c r="BJ63" s="96"/>
      <c r="BK63" s="96"/>
      <c r="BL63" s="96"/>
      <c r="BM63" s="96"/>
      <c r="BN63" s="33"/>
      <c r="CJ63" s="31">
        <v>0</v>
      </c>
      <c r="CK63" s="31">
        <v>1</v>
      </c>
      <c r="CL63" s="31">
        <v>-1</v>
      </c>
      <c r="CM63" s="31">
        <v>1</v>
      </c>
      <c r="CN63" s="31">
        <v>0</v>
      </c>
      <c r="CO63" s="31">
        <v>0</v>
      </c>
      <c r="CP63" s="31">
        <v>0</v>
      </c>
      <c r="CQ63" s="31">
        <v>-1</v>
      </c>
      <c r="CR63" s="31">
        <v>-1</v>
      </c>
      <c r="CS63" s="31">
        <v>1</v>
      </c>
      <c r="CT63" s="31">
        <v>0</v>
      </c>
      <c r="CU63" s="31">
        <v>0</v>
      </c>
      <c r="CV63" s="31">
        <v>0</v>
      </c>
      <c r="CW63" s="31">
        <v>1</v>
      </c>
      <c r="CX63" s="31">
        <v>1</v>
      </c>
      <c r="CY63" s="31">
        <v>1</v>
      </c>
      <c r="CZ63" s="31">
        <v>0</v>
      </c>
    </row>
    <row r="64" spans="1:104" s="31" customFormat="1" x14ac:dyDescent="0.2">
      <c r="A64" s="31">
        <f t="shared" si="45"/>
        <v>130</v>
      </c>
      <c r="B64" s="19" t="s">
        <v>34</v>
      </c>
      <c r="C64" s="219" t="s">
        <v>544</v>
      </c>
      <c r="D64" s="19">
        <v>18</v>
      </c>
      <c r="E64" s="19" t="s">
        <v>221</v>
      </c>
      <c r="F64" s="19">
        <v>144.80000000000001</v>
      </c>
      <c r="G64" s="42">
        <f>IF(OR(E64="",F64=""),"",IF(LEFT(E64,1)="M",VLOOKUP(F64,Setup!$J$9:$K$23,2,TRUE),VLOOKUP(F64,Setup!$L$9:$M$23,2,TRUE)))</f>
        <v>148</v>
      </c>
      <c r="H64" s="42">
        <f>IF(F64="",0,VLOOKUP(AL64,DATA!$L$2:$N$1910,IF(LEFT(E64,1)="F",3,2)))</f>
        <v>0.91884999999999994</v>
      </c>
      <c r="I64" s="19"/>
      <c r="J64" s="19" t="s">
        <v>524</v>
      </c>
      <c r="K64" s="233">
        <v>142.5</v>
      </c>
      <c r="L64" s="233">
        <v>157.5</v>
      </c>
      <c r="M64" s="233">
        <v>165</v>
      </c>
      <c r="N64" s="133"/>
      <c r="O64" s="134">
        <f t="shared" si="46"/>
        <v>165</v>
      </c>
      <c r="P64" s="224"/>
      <c r="Q64" s="233">
        <v>75</v>
      </c>
      <c r="R64" s="133">
        <v>-82.5</v>
      </c>
      <c r="S64" s="233">
        <v>82.5</v>
      </c>
      <c r="T64" s="133"/>
      <c r="U64" s="134">
        <f t="shared" si="47"/>
        <v>82.5</v>
      </c>
      <c r="V64" s="135">
        <f t="shared" si="48"/>
        <v>247.5</v>
      </c>
      <c r="W64" s="233">
        <v>130</v>
      </c>
      <c r="X64" s="233">
        <v>140</v>
      </c>
      <c r="Y64" s="133">
        <v>-142.5</v>
      </c>
      <c r="Z64" s="133"/>
      <c r="AA64" s="134">
        <f t="shared" si="49"/>
        <v>140</v>
      </c>
      <c r="AB64" s="135">
        <f t="shared" si="50"/>
        <v>387.5</v>
      </c>
      <c r="AC64" s="136">
        <f t="shared" si="51"/>
        <v>356.05437499999999</v>
      </c>
      <c r="AD64" s="136">
        <f>IF(OR(AB64=0,D64="",AND(D64&lt;40,D64&gt;22)),0,VLOOKUP($D64,DATA!$A$2:$B$53,2,TRUE)*AC64)</f>
        <v>377.41763750000001</v>
      </c>
      <c r="AE64" s="197">
        <f ca="1">IF(E64="","",OFFSET(Setup!$Q$1,MATCH(E64,Setup!O:O,0)-1,0))</f>
        <v>1</v>
      </c>
      <c r="AF64" s="134" t="str">
        <f t="shared" ca="1" si="52"/>
        <v>1-F-T3-148</v>
      </c>
      <c r="AG64" s="42">
        <f ca="1">IF(OR(AB64=0),0,VLOOKUP(AV64,Setup!$S$6:$T$15,2,TRUE))</f>
        <v>7</v>
      </c>
      <c r="AH64" s="137"/>
      <c r="AI64" s="132" t="s">
        <v>216</v>
      </c>
      <c r="AJ64" s="124">
        <f t="shared" si="53"/>
        <v>1</v>
      </c>
      <c r="AK64" s="42">
        <f t="shared" si="54"/>
        <v>7</v>
      </c>
      <c r="AL64" s="29">
        <f t="shared" si="55"/>
        <v>65.7</v>
      </c>
      <c r="AM64" s="29">
        <f t="shared" si="56"/>
        <v>387.5</v>
      </c>
      <c r="AN64" s="29">
        <f t="shared" si="57"/>
        <v>222.5</v>
      </c>
      <c r="AO64" s="41" t="str">
        <f t="shared" si="58"/>
        <v>F</v>
      </c>
      <c r="AP64" s="41"/>
      <c r="AQ64" s="31">
        <f t="shared" si="59"/>
        <v>1</v>
      </c>
      <c r="AR64" s="217">
        <f t="shared" ca="1" si="60"/>
        <v>410034044</v>
      </c>
      <c r="AS64" s="41">
        <f t="shared" ca="1" si="61"/>
        <v>34</v>
      </c>
      <c r="AT64" s="177">
        <f t="shared" ca="1" si="62"/>
        <v>410</v>
      </c>
      <c r="AU64" s="115">
        <f t="shared" ca="1" si="63"/>
        <v>34</v>
      </c>
      <c r="AV64" s="198">
        <f t="shared" ca="1" si="64"/>
        <v>1</v>
      </c>
      <c r="AW64" s="181">
        <f t="shared" si="65"/>
        <v>144.80000000000001</v>
      </c>
      <c r="AX64" s="29">
        <f t="shared" si="66"/>
        <v>44</v>
      </c>
      <c r="AY64" s="217">
        <f ca="1">IF(OR(E64="",F64="",ISERROR(AE64)),0,(100000000*MATCH(E64,INDIRECT($AI$1),0)+IF(AE64=1,(16-IF(AO64="M",MATCH(G64,Setup!$K$9:$K$23,0),MATCH(G64,Setup!$M$9:$M$23)))*1000000,0)+IF(AB64&gt;0,IF(AE64=1,RANK(AB64,AB:AB,-1)*1000+AX64,IF(AE64=2,AC64,AD64)),0)))</f>
        <v>410034044</v>
      </c>
      <c r="AZ64" s="42"/>
      <c r="BA64" s="42"/>
      <c r="BB64" s="42"/>
      <c r="BC64" s="42"/>
      <c r="BD64" s="42"/>
      <c r="BE64" s="42"/>
      <c r="BF64" s="42"/>
      <c r="BG64" s="42"/>
      <c r="BH64" s="96"/>
      <c r="BI64" s="96"/>
      <c r="BJ64" s="96"/>
      <c r="BK64" s="96"/>
      <c r="BL64" s="96"/>
      <c r="BM64" s="96"/>
      <c r="BN64" s="33"/>
      <c r="CJ64" s="31">
        <v>0</v>
      </c>
      <c r="CK64" s="31">
        <v>1</v>
      </c>
      <c r="CL64" s="31">
        <v>1</v>
      </c>
      <c r="CM64" s="31">
        <v>1</v>
      </c>
      <c r="CN64" s="31">
        <v>0</v>
      </c>
      <c r="CO64" s="31">
        <v>0</v>
      </c>
      <c r="CP64" s="31">
        <v>0</v>
      </c>
      <c r="CQ64" s="31">
        <v>1</v>
      </c>
      <c r="CR64" s="31">
        <v>-1</v>
      </c>
      <c r="CS64" s="31">
        <v>1</v>
      </c>
      <c r="CT64" s="31">
        <v>0</v>
      </c>
      <c r="CU64" s="31">
        <v>0</v>
      </c>
      <c r="CV64" s="31">
        <v>0</v>
      </c>
      <c r="CW64" s="31">
        <v>1</v>
      </c>
      <c r="CX64" s="31">
        <v>1</v>
      </c>
      <c r="CY64" s="31">
        <v>-1</v>
      </c>
      <c r="CZ64" s="31">
        <v>0</v>
      </c>
    </row>
    <row r="65" spans="1:104" s="31" customFormat="1" x14ac:dyDescent="0.2">
      <c r="A65" s="31">
        <f t="shared" si="45"/>
        <v>130</v>
      </c>
      <c r="B65" s="19" t="s">
        <v>34</v>
      </c>
      <c r="C65" s="219" t="s">
        <v>540</v>
      </c>
      <c r="D65" s="19">
        <v>16</v>
      </c>
      <c r="E65" s="19" t="s">
        <v>220</v>
      </c>
      <c r="F65" s="19">
        <v>131.19999999999999</v>
      </c>
      <c r="G65" s="42">
        <f>IF(OR(E65="",F65=""),"",IF(LEFT(E65,1)="M",VLOOKUP(F65,Setup!$J$9:$K$23,2,TRUE),VLOOKUP(F65,Setup!$L$9:$M$23,2,TRUE)))</f>
        <v>132</v>
      </c>
      <c r="H65" s="42">
        <f>IF(F65="",0,VLOOKUP(AL65,DATA!$L$2:$N$1910,IF(LEFT(E65,1)="F",3,2)))</f>
        <v>0.99424999999999997</v>
      </c>
      <c r="I65" s="19"/>
      <c r="J65" s="19" t="s">
        <v>530</v>
      </c>
      <c r="K65" s="233">
        <v>137.5</v>
      </c>
      <c r="L65" s="233">
        <v>147.5</v>
      </c>
      <c r="M65" s="233">
        <v>155</v>
      </c>
      <c r="N65" s="133"/>
      <c r="O65" s="134">
        <f t="shared" si="46"/>
        <v>155</v>
      </c>
      <c r="P65" s="224"/>
      <c r="Q65" s="233">
        <v>77.5</v>
      </c>
      <c r="R65" s="233">
        <v>85</v>
      </c>
      <c r="S65" s="233">
        <v>87.5</v>
      </c>
      <c r="T65" s="133"/>
      <c r="U65" s="134">
        <f t="shared" si="47"/>
        <v>87.5</v>
      </c>
      <c r="V65" s="135">
        <f t="shared" si="48"/>
        <v>242.5</v>
      </c>
      <c r="W65" s="233">
        <v>130</v>
      </c>
      <c r="X65" s="233">
        <v>145</v>
      </c>
      <c r="Y65" s="133">
        <v>-150</v>
      </c>
      <c r="Z65" s="133"/>
      <c r="AA65" s="134">
        <f t="shared" si="49"/>
        <v>145</v>
      </c>
      <c r="AB65" s="135">
        <f t="shared" si="50"/>
        <v>387.5</v>
      </c>
      <c r="AC65" s="136">
        <f t="shared" si="51"/>
        <v>385.27187499999997</v>
      </c>
      <c r="AD65" s="136">
        <f>IF(OR(AB65=0,D65="",AND(D65&lt;40,D65&gt;22)),0,VLOOKUP($D65,DATA!$A$2:$B$53,2,TRUE)*AC65)</f>
        <v>435.3572187499999</v>
      </c>
      <c r="AE65" s="197">
        <f ca="1">IF(E65="","",OFFSET(Setup!$Q$1,MATCH(E65,Setup!O:O,0)-1,0))</f>
        <v>1</v>
      </c>
      <c r="AF65" s="134" t="str">
        <f t="shared" ca="1" si="52"/>
        <v>1-F-T2-132</v>
      </c>
      <c r="AG65" s="42">
        <f ca="1">IF(OR(AB65=0),0,VLOOKUP(AV65,Setup!$S$6:$T$15,2,TRUE))</f>
        <v>7</v>
      </c>
      <c r="AH65" s="137"/>
      <c r="AI65" s="132" t="s">
        <v>216</v>
      </c>
      <c r="AJ65" s="124">
        <f t="shared" si="53"/>
        <v>1</v>
      </c>
      <c r="AK65" s="42">
        <f t="shared" si="54"/>
        <v>7</v>
      </c>
      <c r="AL65" s="29">
        <f t="shared" si="55"/>
        <v>59.5</v>
      </c>
      <c r="AM65" s="29">
        <f t="shared" si="56"/>
        <v>387.5</v>
      </c>
      <c r="AN65" s="29">
        <f t="shared" si="57"/>
        <v>232.5</v>
      </c>
      <c r="AO65" s="41" t="str">
        <f t="shared" si="58"/>
        <v>F</v>
      </c>
      <c r="AP65" s="41"/>
      <c r="AQ65" s="31">
        <f t="shared" si="59"/>
        <v>1</v>
      </c>
      <c r="AR65" s="217">
        <f t="shared" ca="1" si="60"/>
        <v>311034046</v>
      </c>
      <c r="AS65" s="41">
        <f t="shared" ca="1" si="61"/>
        <v>39</v>
      </c>
      <c r="AT65" s="177">
        <f t="shared" ca="1" si="62"/>
        <v>311</v>
      </c>
      <c r="AU65" s="115">
        <f t="shared" ca="1" si="63"/>
        <v>39</v>
      </c>
      <c r="AV65" s="198">
        <f t="shared" ca="1" si="64"/>
        <v>1</v>
      </c>
      <c r="AW65" s="181">
        <f t="shared" si="65"/>
        <v>131.19999999999999</v>
      </c>
      <c r="AX65" s="29">
        <f t="shared" si="66"/>
        <v>46</v>
      </c>
      <c r="AY65" s="217">
        <f ca="1">IF(OR(E65="",F65="",ISERROR(AE65)),0,(100000000*MATCH(E65,INDIRECT($AI$1),0)+IF(AE65=1,(16-IF(AO65="M",MATCH(G65,Setup!$K$9:$K$23,0),MATCH(G65,Setup!$M$9:$M$23)))*1000000,0)+IF(AB65&gt;0,IF(AE65=1,RANK(AB65,AB:AB,-1)*1000+AX65,IF(AE65=2,AC65,AD65)),0)))</f>
        <v>311034046</v>
      </c>
      <c r="AZ65" s="42"/>
      <c r="BA65" s="42"/>
      <c r="BB65" s="42"/>
      <c r="BC65" s="42"/>
      <c r="BD65" s="42"/>
      <c r="BE65" s="42"/>
      <c r="BF65" s="42"/>
      <c r="BG65" s="42"/>
      <c r="BH65" s="96"/>
      <c r="BI65" s="96"/>
      <c r="BJ65" s="96"/>
      <c r="BK65" s="96"/>
      <c r="BL65" s="96"/>
      <c r="BM65" s="96"/>
      <c r="BN65" s="33"/>
      <c r="CJ65" s="31">
        <v>0</v>
      </c>
      <c r="CK65" s="31">
        <v>1</v>
      </c>
      <c r="CL65" s="31">
        <v>1</v>
      </c>
      <c r="CM65" s="31">
        <v>1</v>
      </c>
      <c r="CN65" s="31">
        <v>0</v>
      </c>
      <c r="CO65" s="31">
        <v>0</v>
      </c>
      <c r="CP65" s="31">
        <v>0</v>
      </c>
      <c r="CQ65" s="31">
        <v>1</v>
      </c>
      <c r="CR65" s="31">
        <v>1</v>
      </c>
      <c r="CS65" s="31">
        <v>1</v>
      </c>
      <c r="CT65" s="31">
        <v>0</v>
      </c>
      <c r="CU65" s="31">
        <v>0</v>
      </c>
      <c r="CV65" s="31">
        <v>0</v>
      </c>
      <c r="CW65" s="31">
        <v>1</v>
      </c>
      <c r="CX65" s="31">
        <v>1</v>
      </c>
      <c r="CY65" s="31">
        <v>-1</v>
      </c>
      <c r="CZ65" s="31">
        <v>0</v>
      </c>
    </row>
    <row r="66" spans="1:104" s="31" customFormat="1" x14ac:dyDescent="0.2">
      <c r="A66" s="31">
        <f t="shared" si="45"/>
        <v>132.5</v>
      </c>
      <c r="B66" s="19" t="s">
        <v>34</v>
      </c>
      <c r="C66" s="219" t="s">
        <v>541</v>
      </c>
      <c r="D66" s="19">
        <v>18</v>
      </c>
      <c r="E66" s="19" t="s">
        <v>221</v>
      </c>
      <c r="F66" s="19">
        <v>159.6</v>
      </c>
      <c r="G66" s="42">
        <f>IF(OR(E66="",F66=""),"",IF(LEFT(E66,1)="M",VLOOKUP(F66,Setup!$J$9:$K$23,2,TRUE),VLOOKUP(F66,Setup!$L$9:$M$23,2,TRUE)))</f>
        <v>165</v>
      </c>
      <c r="H66" s="42">
        <f>IF(F66="",0,VLOOKUP(AL66,DATA!$L$2:$N$1910,IF(LEFT(E66,1)="F",3,2)))</f>
        <v>0.85629999999999995</v>
      </c>
      <c r="I66" s="19"/>
      <c r="J66" s="19" t="s">
        <v>533</v>
      </c>
      <c r="K66" s="233">
        <v>142.5</v>
      </c>
      <c r="L66" s="233">
        <v>157.5</v>
      </c>
      <c r="M66" s="233">
        <v>167.5</v>
      </c>
      <c r="N66" s="133"/>
      <c r="O66" s="134">
        <f t="shared" si="46"/>
        <v>167.5</v>
      </c>
      <c r="P66" s="224"/>
      <c r="Q66" s="233">
        <v>72.5</v>
      </c>
      <c r="R66" s="233">
        <v>80</v>
      </c>
      <c r="S66" s="133">
        <v>-85</v>
      </c>
      <c r="T66" s="133"/>
      <c r="U66" s="134">
        <f t="shared" si="47"/>
        <v>80</v>
      </c>
      <c r="V66" s="135">
        <f t="shared" si="48"/>
        <v>247.5</v>
      </c>
      <c r="W66" s="233">
        <v>132.5</v>
      </c>
      <c r="X66" s="233">
        <v>142.5</v>
      </c>
      <c r="Y66" s="233">
        <v>150</v>
      </c>
      <c r="Z66" s="133"/>
      <c r="AA66" s="134">
        <f t="shared" si="49"/>
        <v>150</v>
      </c>
      <c r="AB66" s="135">
        <f t="shared" si="50"/>
        <v>397.5</v>
      </c>
      <c r="AC66" s="136">
        <f t="shared" si="51"/>
        <v>340.37924999999996</v>
      </c>
      <c r="AD66" s="136">
        <f>IF(OR(AB66=0,D66="",AND(D66&lt;40,D66&gt;22)),0,VLOOKUP($D66,DATA!$A$2:$B$53,2,TRUE)*AC66)</f>
        <v>360.80200499999995</v>
      </c>
      <c r="AE66" s="197">
        <f ca="1">IF(E66="","",OFFSET(Setup!$Q$1,MATCH(E66,Setup!O:O,0)-1,0))</f>
        <v>1</v>
      </c>
      <c r="AF66" s="134" t="str">
        <f t="shared" ca="1" si="52"/>
        <v>1-F-T3-165</v>
      </c>
      <c r="AG66" s="42">
        <f ca="1">IF(OR(AB66=0),0,VLOOKUP(AV66,Setup!$S$6:$T$15,2,TRUE))</f>
        <v>7</v>
      </c>
      <c r="AH66" s="137"/>
      <c r="AI66" s="132" t="s">
        <v>216</v>
      </c>
      <c r="AJ66" s="124">
        <f t="shared" si="53"/>
        <v>1</v>
      </c>
      <c r="AK66" s="42">
        <f t="shared" si="54"/>
        <v>7</v>
      </c>
      <c r="AL66" s="29">
        <f t="shared" si="55"/>
        <v>72.400000000000006</v>
      </c>
      <c r="AM66" s="29">
        <f t="shared" si="56"/>
        <v>397.5</v>
      </c>
      <c r="AN66" s="29">
        <f t="shared" si="57"/>
        <v>230</v>
      </c>
      <c r="AO66" s="41" t="str">
        <f t="shared" si="58"/>
        <v>F</v>
      </c>
      <c r="AP66" s="41"/>
      <c r="AQ66" s="31">
        <f t="shared" si="59"/>
        <v>1</v>
      </c>
      <c r="AR66" s="217">
        <f t="shared" ca="1" si="60"/>
        <v>409036037</v>
      </c>
      <c r="AS66" s="41">
        <f t="shared" ca="1" si="61"/>
        <v>35</v>
      </c>
      <c r="AT66" s="177">
        <f t="shared" ca="1" si="62"/>
        <v>409</v>
      </c>
      <c r="AU66" s="115">
        <f t="shared" ca="1" si="63"/>
        <v>35</v>
      </c>
      <c r="AV66" s="198">
        <f t="shared" ca="1" si="64"/>
        <v>1</v>
      </c>
      <c r="AW66" s="181">
        <f t="shared" si="65"/>
        <v>159.6</v>
      </c>
      <c r="AX66" s="29">
        <f t="shared" si="66"/>
        <v>37</v>
      </c>
      <c r="AY66" s="217">
        <f ca="1">IF(OR(E66="",F66="",ISERROR(AE66)),0,(100000000*MATCH(E66,INDIRECT($AI$1),0)+IF(AE66=1,(16-IF(AO66="M",MATCH(G66,Setup!$K$9:$K$23,0),MATCH(G66,Setup!$M$9:$M$23)))*1000000,0)+IF(AB66&gt;0,IF(AE66=1,RANK(AB66,AB:AB,-1)*1000+AX66,IF(AE66=2,AC66,AD66)),0)))</f>
        <v>409036037</v>
      </c>
      <c r="AZ66" s="42"/>
      <c r="BA66" s="42"/>
      <c r="BB66" s="42"/>
      <c r="BC66" s="42"/>
      <c r="BD66" s="42"/>
      <c r="BE66" s="42"/>
      <c r="BF66" s="42"/>
      <c r="BG66" s="42"/>
      <c r="BH66" s="96"/>
      <c r="BI66" s="96"/>
      <c r="BJ66" s="96"/>
      <c r="BK66" s="96"/>
      <c r="BL66" s="96"/>
      <c r="BM66" s="96"/>
      <c r="BN66" s="33"/>
      <c r="CJ66" s="31">
        <v>0</v>
      </c>
      <c r="CK66" s="31">
        <v>1</v>
      </c>
      <c r="CL66" s="31">
        <v>1</v>
      </c>
      <c r="CM66" s="31">
        <v>1</v>
      </c>
      <c r="CN66" s="31">
        <v>0</v>
      </c>
      <c r="CO66" s="31">
        <v>0</v>
      </c>
      <c r="CP66" s="31">
        <v>0</v>
      </c>
      <c r="CQ66" s="31">
        <v>1</v>
      </c>
      <c r="CR66" s="31">
        <v>1</v>
      </c>
      <c r="CS66" s="31">
        <v>-1</v>
      </c>
      <c r="CT66" s="31">
        <v>0</v>
      </c>
      <c r="CU66" s="31">
        <v>0</v>
      </c>
      <c r="CV66" s="31">
        <v>0</v>
      </c>
      <c r="CW66" s="31">
        <v>1</v>
      </c>
      <c r="CX66" s="31">
        <v>1</v>
      </c>
      <c r="CY66" s="31">
        <v>1</v>
      </c>
      <c r="CZ66" s="31">
        <v>0</v>
      </c>
    </row>
    <row r="67" spans="1:104" s="31" customFormat="1" x14ac:dyDescent="0.2">
      <c r="A67" s="31">
        <f t="shared" si="45"/>
        <v>135</v>
      </c>
      <c r="B67" s="19" t="s">
        <v>34</v>
      </c>
      <c r="C67" s="219" t="s">
        <v>534</v>
      </c>
      <c r="D67" s="19">
        <v>17</v>
      </c>
      <c r="E67" s="19" t="s">
        <v>220</v>
      </c>
      <c r="F67" s="19">
        <v>129.19999999999999</v>
      </c>
      <c r="G67" s="42">
        <f>IF(OR(E67="",F67=""),"",IF(LEFT(E67,1)="M",VLOOKUP(F67,Setup!$J$9:$K$23,2,TRUE),VLOOKUP(F67,Setup!$L$9:$M$23,2,TRUE)))</f>
        <v>132</v>
      </c>
      <c r="H67" s="42">
        <f>IF(F67="",0,VLOOKUP(AL67,DATA!$L$2:$N$1910,IF(LEFT(E67,1)="F",3,2)))</f>
        <v>1.0065</v>
      </c>
      <c r="I67" s="19"/>
      <c r="J67" s="19" t="s">
        <v>524</v>
      </c>
      <c r="K67" s="233">
        <v>120</v>
      </c>
      <c r="L67" s="233">
        <v>132.5</v>
      </c>
      <c r="M67" s="233">
        <v>137.5</v>
      </c>
      <c r="N67" s="133"/>
      <c r="O67" s="134">
        <f t="shared" si="46"/>
        <v>137.5</v>
      </c>
      <c r="P67" s="224"/>
      <c r="Q67" s="233">
        <v>60</v>
      </c>
      <c r="R67" s="233">
        <v>62.5</v>
      </c>
      <c r="S67" s="233">
        <v>65</v>
      </c>
      <c r="T67" s="133"/>
      <c r="U67" s="134">
        <f t="shared" si="47"/>
        <v>65</v>
      </c>
      <c r="V67" s="135">
        <f t="shared" si="48"/>
        <v>202.5</v>
      </c>
      <c r="W67" s="233">
        <v>135</v>
      </c>
      <c r="X67" s="133">
        <v>-142.5</v>
      </c>
      <c r="Y67" s="233">
        <v>142.5</v>
      </c>
      <c r="Z67" s="133"/>
      <c r="AA67" s="134">
        <f t="shared" si="49"/>
        <v>142.5</v>
      </c>
      <c r="AB67" s="135">
        <f t="shared" si="50"/>
        <v>345</v>
      </c>
      <c r="AC67" s="136">
        <f t="shared" si="51"/>
        <v>347.24250000000001</v>
      </c>
      <c r="AD67" s="136">
        <f>IF(OR(AB67=0,D67="",AND(D67&lt;40,D67&gt;22)),0,VLOOKUP($D67,DATA!$A$2:$B$53,2,TRUE)*AC67)</f>
        <v>375.02190000000002</v>
      </c>
      <c r="AE67" s="197">
        <f ca="1">IF(E67="","",OFFSET(Setup!$Q$1,MATCH(E67,Setup!O:O,0)-1,0))</f>
        <v>1</v>
      </c>
      <c r="AF67" s="134" t="str">
        <f t="shared" ca="1" si="52"/>
        <v>3-F-T2-132</v>
      </c>
      <c r="AG67" s="42">
        <f ca="1">IF(OR(AB67=0),0,VLOOKUP(AV67,Setup!$S$6:$T$15,2,TRUE))</f>
        <v>3</v>
      </c>
      <c r="AH67" s="137"/>
      <c r="AI67" s="132" t="s">
        <v>216</v>
      </c>
      <c r="AJ67" s="124">
        <f t="shared" si="53"/>
        <v>1</v>
      </c>
      <c r="AK67" s="42">
        <f t="shared" si="54"/>
        <v>7</v>
      </c>
      <c r="AL67" s="29">
        <f t="shared" si="55"/>
        <v>58.6</v>
      </c>
      <c r="AM67" s="29">
        <f t="shared" si="56"/>
        <v>345</v>
      </c>
      <c r="AN67" s="29">
        <f t="shared" si="57"/>
        <v>207.5</v>
      </c>
      <c r="AO67" s="41" t="str">
        <f t="shared" si="58"/>
        <v>F</v>
      </c>
      <c r="AP67" s="41"/>
      <c r="AQ67" s="31">
        <f t="shared" si="59"/>
        <v>1</v>
      </c>
      <c r="AR67" s="217">
        <f t="shared" ca="1" si="60"/>
        <v>311030049</v>
      </c>
      <c r="AS67" s="41">
        <f t="shared" ca="1" si="61"/>
        <v>41</v>
      </c>
      <c r="AT67" s="177">
        <f t="shared" ca="1" si="62"/>
        <v>311</v>
      </c>
      <c r="AU67" s="115">
        <f t="shared" ca="1" si="63"/>
        <v>39</v>
      </c>
      <c r="AV67" s="198">
        <f t="shared" ca="1" si="64"/>
        <v>3</v>
      </c>
      <c r="AW67" s="181">
        <f t="shared" si="65"/>
        <v>129.19999999999999</v>
      </c>
      <c r="AX67" s="29">
        <f t="shared" si="66"/>
        <v>49</v>
      </c>
      <c r="AY67" s="217">
        <f ca="1">IF(OR(E67="",F67="",ISERROR(AE67)),0,(100000000*MATCH(E67,INDIRECT($AI$1),0)+IF(AE67=1,(16-IF(AO67="M",MATCH(G67,Setup!$K$9:$K$23,0),MATCH(G67,Setup!$M$9:$M$23)))*1000000,0)+IF(AB67&gt;0,IF(AE67=1,RANK(AB67,AB:AB,-1)*1000+AX67,IF(AE67=2,AC67,AD67)),0)))</f>
        <v>311030049</v>
      </c>
      <c r="AZ67" s="42"/>
      <c r="BA67" s="42"/>
      <c r="BB67" s="42"/>
      <c r="BC67" s="42"/>
      <c r="BD67" s="42"/>
      <c r="BE67" s="42"/>
      <c r="BF67" s="42"/>
      <c r="BG67" s="42"/>
      <c r="BH67" s="96"/>
      <c r="BI67" s="96"/>
      <c r="BJ67" s="96"/>
      <c r="BK67" s="96"/>
      <c r="BL67" s="96"/>
      <c r="BM67" s="96"/>
      <c r="BN67" s="33"/>
      <c r="CJ67" s="31">
        <v>0</v>
      </c>
      <c r="CK67" s="31">
        <v>1</v>
      </c>
      <c r="CL67" s="31">
        <v>1</v>
      </c>
      <c r="CM67" s="31">
        <v>1</v>
      </c>
      <c r="CN67" s="31">
        <v>0</v>
      </c>
      <c r="CO67" s="31">
        <v>0</v>
      </c>
      <c r="CP67" s="31">
        <v>0</v>
      </c>
      <c r="CQ67" s="31">
        <v>1</v>
      </c>
      <c r="CR67" s="31">
        <v>1</v>
      </c>
      <c r="CS67" s="31">
        <v>1</v>
      </c>
      <c r="CT67" s="31">
        <v>0</v>
      </c>
      <c r="CU67" s="31">
        <v>0</v>
      </c>
      <c r="CV67" s="31">
        <v>0</v>
      </c>
      <c r="CW67" s="31">
        <v>1</v>
      </c>
      <c r="CX67" s="31">
        <v>-1</v>
      </c>
      <c r="CY67" s="31">
        <v>1</v>
      </c>
      <c r="CZ67" s="31">
        <v>0</v>
      </c>
    </row>
    <row r="68" spans="1:104" s="31" customFormat="1" x14ac:dyDescent="0.2">
      <c r="A68" s="31">
        <f t="shared" si="45"/>
        <v>137.5</v>
      </c>
      <c r="B68" s="19" t="s">
        <v>34</v>
      </c>
      <c r="C68" s="219" t="s">
        <v>547</v>
      </c>
      <c r="D68" s="19">
        <v>54</v>
      </c>
      <c r="E68" s="19" t="s">
        <v>227</v>
      </c>
      <c r="F68" s="19">
        <v>122</v>
      </c>
      <c r="G68" s="42">
        <f>IF(OR(E68="",F68=""),"",IF(LEFT(E68,1)="M",VLOOKUP(F68,Setup!$J$9:$K$23,2,TRUE),VLOOKUP(F68,Setup!$L$9:$M$23,2,TRUE)))</f>
        <v>123</v>
      </c>
      <c r="H68" s="42">
        <f>IF(F68="",0,VLOOKUP(AL68,DATA!$L$2:$N$1910,IF(LEFT(E68,1)="F",3,2)))</f>
        <v>1.0545</v>
      </c>
      <c r="I68" s="19"/>
      <c r="J68" s="19"/>
      <c r="K68" s="133"/>
      <c r="L68" s="133"/>
      <c r="M68" s="133"/>
      <c r="N68" s="133"/>
      <c r="O68" s="134">
        <f t="shared" si="46"/>
        <v>0</v>
      </c>
      <c r="P68" s="224"/>
      <c r="Q68" s="133"/>
      <c r="R68" s="133"/>
      <c r="S68" s="133"/>
      <c r="T68" s="133"/>
      <c r="U68" s="134">
        <f t="shared" si="47"/>
        <v>0</v>
      </c>
      <c r="V68" s="135">
        <f t="shared" si="48"/>
        <v>0</v>
      </c>
      <c r="W68" s="233">
        <v>137.5</v>
      </c>
      <c r="X68" s="233">
        <v>147.5</v>
      </c>
      <c r="Y68" s="133">
        <v>-150</v>
      </c>
      <c r="Z68" s="133"/>
      <c r="AA68" s="134">
        <f t="shared" si="49"/>
        <v>147.5</v>
      </c>
      <c r="AB68" s="135">
        <f t="shared" si="50"/>
        <v>0</v>
      </c>
      <c r="AC68" s="136">
        <f t="shared" si="51"/>
        <v>0</v>
      </c>
      <c r="AD68" s="136">
        <f>IF(OR(AB68=0,D68="",AND(D68&lt;40,D68&gt;22)),0,VLOOKUP($D68,DATA!$A$2:$B$53,2,TRUE)*AC68)</f>
        <v>0</v>
      </c>
      <c r="AE68" s="197">
        <f ca="1">IF(E68="","",OFFSET(Setup!$Q$1,MATCH(E68,Setup!O:O,0)-1,0))</f>
        <v>1</v>
      </c>
      <c r="AF68" s="134">
        <f t="shared" ca="1" si="52"/>
        <v>0</v>
      </c>
      <c r="AG68" s="42">
        <f>IF(OR(AB68=0),0,VLOOKUP(AV68,Setup!$S$6:$T$15,2,TRUE))</f>
        <v>0</v>
      </c>
      <c r="AH68" s="137"/>
      <c r="AI68" s="132" t="s">
        <v>468</v>
      </c>
      <c r="AJ68" s="124">
        <f t="shared" si="53"/>
        <v>0</v>
      </c>
      <c r="AK68" s="42">
        <f t="shared" si="54"/>
        <v>7</v>
      </c>
      <c r="AL68" s="29">
        <f t="shared" si="55"/>
        <v>55.3</v>
      </c>
      <c r="AM68" s="29">
        <f t="shared" si="56"/>
        <v>0</v>
      </c>
      <c r="AN68" s="29">
        <f t="shared" si="57"/>
        <v>0</v>
      </c>
      <c r="AO68" s="41" t="str">
        <f t="shared" si="58"/>
        <v>F</v>
      </c>
      <c r="AP68" s="41"/>
      <c r="AQ68" s="31">
        <f t="shared" si="59"/>
        <v>0</v>
      </c>
      <c r="AR68" s="217">
        <f t="shared" ca="1" si="60"/>
        <v>1012000000</v>
      </c>
      <c r="AS68" s="41">
        <f t="shared" ca="1" si="61"/>
        <v>28</v>
      </c>
      <c r="AT68" s="177">
        <f t="shared" ca="1" si="62"/>
        <v>1012</v>
      </c>
      <c r="AU68" s="115">
        <f t="shared" ca="1" si="63"/>
        <v>28</v>
      </c>
      <c r="AV68" s="198">
        <f t="shared" ca="1" si="64"/>
        <v>1</v>
      </c>
      <c r="AW68" s="181">
        <f t="shared" si="65"/>
        <v>122</v>
      </c>
      <c r="AX68" s="29">
        <f t="shared" si="66"/>
        <v>51</v>
      </c>
      <c r="AY68" s="217">
        <f ca="1">IF(OR(E68="",F68="",ISERROR(AE68)),0,(100000000*MATCH(E68,INDIRECT($AI$1),0)+IF(AE68=1,(16-IF(AO68="M",MATCH(G68,Setup!$K$9:$K$23,0),MATCH(G68,Setup!$M$9:$M$23)))*1000000,0)+IF(AB68&gt;0,IF(AE68=1,RANK(AB68,AB:AB,-1)*1000+AX68,IF(AE68=2,AC68,AD68)),0)))</f>
        <v>1012000000</v>
      </c>
      <c r="AZ68" s="42"/>
      <c r="BA68" s="42"/>
      <c r="BB68" s="42"/>
      <c r="BC68" s="42"/>
      <c r="BD68" s="42"/>
      <c r="BE68" s="42"/>
      <c r="BF68" s="42"/>
      <c r="BG68" s="42"/>
      <c r="BH68" s="96"/>
      <c r="BI68" s="96"/>
      <c r="BJ68" s="96"/>
      <c r="BK68" s="96"/>
      <c r="BL68" s="96"/>
      <c r="BM68" s="96"/>
      <c r="BN68" s="33"/>
      <c r="CJ68" s="31">
        <v>0</v>
      </c>
      <c r="CK68" s="31">
        <v>0</v>
      </c>
      <c r="CL68" s="31">
        <v>0</v>
      </c>
      <c r="CM68" s="31">
        <v>0</v>
      </c>
      <c r="CN68" s="31">
        <v>0</v>
      </c>
      <c r="CO68" s="31">
        <v>0</v>
      </c>
      <c r="CP68" s="31">
        <v>0</v>
      </c>
      <c r="CQ68" s="31">
        <v>0</v>
      </c>
      <c r="CR68" s="31">
        <v>0</v>
      </c>
      <c r="CS68" s="31">
        <v>0</v>
      </c>
      <c r="CT68" s="31">
        <v>0</v>
      </c>
      <c r="CU68" s="31">
        <v>0</v>
      </c>
      <c r="CV68" s="31">
        <v>0</v>
      </c>
      <c r="CW68" s="31">
        <v>1</v>
      </c>
      <c r="CX68" s="31">
        <v>1</v>
      </c>
      <c r="CY68" s="31">
        <v>-1</v>
      </c>
      <c r="CZ68" s="31">
        <v>0</v>
      </c>
    </row>
    <row r="69" spans="1:104" s="31" customFormat="1" x14ac:dyDescent="0.2">
      <c r="A69" s="31">
        <f t="shared" si="45"/>
        <v>137.5</v>
      </c>
      <c r="B69" s="19" t="s">
        <v>34</v>
      </c>
      <c r="C69" s="219" t="s">
        <v>537</v>
      </c>
      <c r="D69" s="19">
        <v>18</v>
      </c>
      <c r="E69" s="19" t="s">
        <v>220</v>
      </c>
      <c r="F69" s="19">
        <v>129.19999999999999</v>
      </c>
      <c r="G69" s="42">
        <f>IF(OR(E69="",F69=""),"",IF(LEFT(E69,1)="M",VLOOKUP(F69,Setup!$J$9:$K$23,2,TRUE),VLOOKUP(F69,Setup!$L$9:$M$23,2,TRUE)))</f>
        <v>132</v>
      </c>
      <c r="H69" s="42">
        <f>IF(F69="",0,VLOOKUP(AL69,DATA!$L$2:$N$1910,IF(LEFT(E69,1)="F",3,2)))</f>
        <v>1.0065</v>
      </c>
      <c r="I69" s="19"/>
      <c r="J69" s="19" t="s">
        <v>524</v>
      </c>
      <c r="K69" s="233">
        <v>130</v>
      </c>
      <c r="L69" s="233">
        <v>142.5</v>
      </c>
      <c r="M69" s="233">
        <v>152.5</v>
      </c>
      <c r="N69" s="133"/>
      <c r="O69" s="134">
        <f t="shared" si="46"/>
        <v>152.5</v>
      </c>
      <c r="P69" s="224"/>
      <c r="Q69" s="133">
        <v>-72.5</v>
      </c>
      <c r="R69" s="233">
        <v>72.5</v>
      </c>
      <c r="S69" s="233">
        <v>75</v>
      </c>
      <c r="T69" s="133"/>
      <c r="U69" s="134">
        <f t="shared" si="47"/>
        <v>75</v>
      </c>
      <c r="V69" s="135">
        <f t="shared" si="48"/>
        <v>227.5</v>
      </c>
      <c r="W69" s="233">
        <v>137.5</v>
      </c>
      <c r="X69" s="233">
        <v>145</v>
      </c>
      <c r="Y69" s="133">
        <v>-152.5</v>
      </c>
      <c r="Z69" s="133"/>
      <c r="AA69" s="134">
        <f t="shared" si="49"/>
        <v>145</v>
      </c>
      <c r="AB69" s="135">
        <f t="shared" si="50"/>
        <v>372.5</v>
      </c>
      <c r="AC69" s="136">
        <f t="shared" si="51"/>
        <v>374.92124999999999</v>
      </c>
      <c r="AD69" s="136">
        <f>IF(OR(AB69=0,D69="",AND(D69&lt;40,D69&gt;22)),0,VLOOKUP($D69,DATA!$A$2:$B$53,2,TRUE)*AC69)</f>
        <v>397.41652499999998</v>
      </c>
      <c r="AE69" s="197">
        <f ca="1">IF(E69="","",OFFSET(Setup!$Q$1,MATCH(E69,Setup!O:O,0)-1,0))</f>
        <v>1</v>
      </c>
      <c r="AF69" s="134" t="str">
        <f t="shared" ca="1" si="52"/>
        <v>2-F-T2-132</v>
      </c>
      <c r="AG69" s="42">
        <f ca="1">IF(OR(AB69=0),0,VLOOKUP(AV69,Setup!$S$6:$T$15,2,TRUE))</f>
        <v>5</v>
      </c>
      <c r="AH69" s="137"/>
      <c r="AI69" s="132" t="s">
        <v>216</v>
      </c>
      <c r="AJ69" s="124">
        <f t="shared" si="53"/>
        <v>1</v>
      </c>
      <c r="AK69" s="42">
        <f t="shared" si="54"/>
        <v>7</v>
      </c>
      <c r="AL69" s="29">
        <f t="shared" si="55"/>
        <v>58.6</v>
      </c>
      <c r="AM69" s="29">
        <f t="shared" si="56"/>
        <v>372.5</v>
      </c>
      <c r="AN69" s="29">
        <f t="shared" si="57"/>
        <v>220</v>
      </c>
      <c r="AO69" s="41" t="str">
        <f t="shared" si="58"/>
        <v>F</v>
      </c>
      <c r="AP69" s="41"/>
      <c r="AQ69" s="31">
        <f t="shared" si="59"/>
        <v>1</v>
      </c>
      <c r="AR69" s="217">
        <f t="shared" ca="1" si="60"/>
        <v>311032049</v>
      </c>
      <c r="AS69" s="41">
        <f t="shared" ca="1" si="61"/>
        <v>40</v>
      </c>
      <c r="AT69" s="177">
        <f t="shared" ca="1" si="62"/>
        <v>311</v>
      </c>
      <c r="AU69" s="115">
        <f t="shared" ca="1" si="63"/>
        <v>39</v>
      </c>
      <c r="AV69" s="198">
        <f t="shared" ca="1" si="64"/>
        <v>2</v>
      </c>
      <c r="AW69" s="181">
        <f t="shared" si="65"/>
        <v>129.19999999999999</v>
      </c>
      <c r="AX69" s="29">
        <f t="shared" si="66"/>
        <v>49</v>
      </c>
      <c r="AY69" s="217">
        <f ca="1">IF(OR(E69="",F69="",ISERROR(AE69)),0,(100000000*MATCH(E69,INDIRECT($AI$1),0)+IF(AE69=1,(16-IF(AO69="M",MATCH(G69,Setup!$K$9:$K$23,0),MATCH(G69,Setup!$M$9:$M$23)))*1000000,0)+IF(AB69&gt;0,IF(AE69=1,RANK(AB69,AB:AB,-1)*1000+AX69,IF(AE69=2,AC69,AD69)),0)))</f>
        <v>311032049</v>
      </c>
      <c r="AZ69" s="42"/>
      <c r="BA69" s="42"/>
      <c r="BB69" s="42"/>
      <c r="BC69" s="42"/>
      <c r="BD69" s="42"/>
      <c r="BE69" s="42"/>
      <c r="BF69" s="42"/>
      <c r="BG69" s="42"/>
      <c r="BH69" s="96"/>
      <c r="BI69" s="96"/>
      <c r="BJ69" s="96"/>
      <c r="BK69" s="96"/>
      <c r="BL69" s="96"/>
      <c r="BM69" s="96"/>
      <c r="BN69" s="33"/>
      <c r="CJ69" s="31">
        <v>0</v>
      </c>
      <c r="CK69" s="31">
        <v>1</v>
      </c>
      <c r="CL69" s="31">
        <v>1</v>
      </c>
      <c r="CM69" s="31">
        <v>1</v>
      </c>
      <c r="CN69" s="31">
        <v>0</v>
      </c>
      <c r="CO69" s="31">
        <v>0</v>
      </c>
      <c r="CP69" s="31">
        <v>0</v>
      </c>
      <c r="CQ69" s="31">
        <v>-1</v>
      </c>
      <c r="CR69" s="31">
        <v>1</v>
      </c>
      <c r="CS69" s="31">
        <v>1</v>
      </c>
      <c r="CT69" s="31">
        <v>0</v>
      </c>
      <c r="CU69" s="31">
        <v>0</v>
      </c>
      <c r="CV69" s="31">
        <v>0</v>
      </c>
      <c r="CW69" s="31">
        <v>1</v>
      </c>
      <c r="CX69" s="31">
        <v>1</v>
      </c>
      <c r="CY69" s="31">
        <v>-1</v>
      </c>
      <c r="CZ69" s="31">
        <v>0</v>
      </c>
    </row>
    <row r="70" spans="1:104" s="31" customFormat="1" x14ac:dyDescent="0.2">
      <c r="A70" s="31">
        <f t="shared" si="45"/>
        <v>152.5</v>
      </c>
      <c r="B70" s="19" t="s">
        <v>34</v>
      </c>
      <c r="C70" s="219" t="s">
        <v>567</v>
      </c>
      <c r="D70" s="19">
        <v>25</v>
      </c>
      <c r="E70" s="19" t="s">
        <v>223</v>
      </c>
      <c r="F70" s="19">
        <v>146.19999999999999</v>
      </c>
      <c r="G70" s="42">
        <f>IF(OR(E70="",F70=""),"",IF(LEFT(E70,1)="M",VLOOKUP(F70,Setup!$J$9:$K$23,2,TRUE),VLOOKUP(F70,Setup!$L$9:$M$23,2,TRUE)))</f>
        <v>148</v>
      </c>
      <c r="H70" s="42">
        <f>IF(F70="",0,VLOOKUP(AL70,DATA!$L$2:$N$1910,IF(LEFT(E70,1)="F",3,2)))</f>
        <v>0.91234999999999999</v>
      </c>
      <c r="I70" s="19"/>
      <c r="J70" s="19" t="s">
        <v>536</v>
      </c>
      <c r="K70" s="233">
        <v>162.5</v>
      </c>
      <c r="L70" s="233">
        <v>177.5</v>
      </c>
      <c r="M70" s="233">
        <v>185</v>
      </c>
      <c r="N70" s="133"/>
      <c r="O70" s="134">
        <f t="shared" si="46"/>
        <v>185</v>
      </c>
      <c r="P70" s="224"/>
      <c r="Q70" s="233">
        <v>82.5</v>
      </c>
      <c r="R70" s="133">
        <v>-97.5</v>
      </c>
      <c r="S70" s="233">
        <v>97.5</v>
      </c>
      <c r="T70" s="133"/>
      <c r="U70" s="134">
        <f t="shared" si="47"/>
        <v>97.5</v>
      </c>
      <c r="V70" s="135">
        <f t="shared" si="48"/>
        <v>282.5</v>
      </c>
      <c r="W70" s="233">
        <v>152.5</v>
      </c>
      <c r="X70" s="233">
        <v>165</v>
      </c>
      <c r="Y70" s="233">
        <v>172.5</v>
      </c>
      <c r="Z70" s="133"/>
      <c r="AA70" s="134">
        <f t="shared" si="49"/>
        <v>172.5</v>
      </c>
      <c r="AB70" s="135">
        <f t="shared" si="50"/>
        <v>455</v>
      </c>
      <c r="AC70" s="136">
        <f t="shared" si="51"/>
        <v>415.11925000000002</v>
      </c>
      <c r="AD70" s="136">
        <f>IF(OR(AB70=0,D70="",AND(D70&lt;40,D70&gt;22)),0,VLOOKUP($D70,DATA!$A$2:$B$53,2,TRUE)*AC70)</f>
        <v>0</v>
      </c>
      <c r="AE70" s="197">
        <f ca="1">IF(E70="","",OFFSET(Setup!$Q$1,MATCH(E70,Setup!O:O,0)-1,0))</f>
        <v>1</v>
      </c>
      <c r="AF70" s="134" t="str">
        <f t="shared" ca="1" si="52"/>
        <v>1-F-O-148</v>
      </c>
      <c r="AG70" s="42">
        <f ca="1">IF(OR(AB70=0),0,VLOOKUP(AV70,Setup!$S$6:$T$15,2,TRUE))</f>
        <v>7</v>
      </c>
      <c r="AH70" s="137"/>
      <c r="AI70" s="132" t="s">
        <v>216</v>
      </c>
      <c r="AJ70" s="124">
        <f t="shared" si="53"/>
        <v>1</v>
      </c>
      <c r="AK70" s="42">
        <f t="shared" si="54"/>
        <v>7</v>
      </c>
      <c r="AL70" s="29">
        <f t="shared" si="55"/>
        <v>66.3</v>
      </c>
      <c r="AM70" s="29">
        <f t="shared" si="56"/>
        <v>455</v>
      </c>
      <c r="AN70" s="29">
        <f t="shared" si="57"/>
        <v>270</v>
      </c>
      <c r="AO70" s="41" t="str">
        <f t="shared" si="58"/>
        <v>F</v>
      </c>
      <c r="AP70" s="41"/>
      <c r="AQ70" s="31">
        <f t="shared" si="59"/>
        <v>1</v>
      </c>
      <c r="AR70" s="217">
        <f t="shared" ca="1" si="60"/>
        <v>610041043</v>
      </c>
      <c r="AS70" s="41">
        <f t="shared" ca="1" si="61"/>
        <v>32</v>
      </c>
      <c r="AT70" s="177">
        <f t="shared" ca="1" si="62"/>
        <v>610</v>
      </c>
      <c r="AU70" s="115">
        <f t="shared" ca="1" si="63"/>
        <v>32</v>
      </c>
      <c r="AV70" s="198">
        <f t="shared" ca="1" si="64"/>
        <v>1</v>
      </c>
      <c r="AW70" s="181">
        <f t="shared" si="65"/>
        <v>146.19999999999999</v>
      </c>
      <c r="AX70" s="29">
        <f t="shared" si="66"/>
        <v>43</v>
      </c>
      <c r="AY70" s="217">
        <f ca="1">IF(OR(E70="",F70="",ISERROR(AE70)),0,(100000000*MATCH(E70,INDIRECT($AI$1),0)+IF(AE70=1,(16-IF(AO70="M",MATCH(G70,Setup!$K$9:$K$23,0),MATCH(G70,Setup!$M$9:$M$23)))*1000000,0)+IF(AB70&gt;0,IF(AE70=1,RANK(AB70,AB:AB,-1)*1000+AX70,IF(AE70=2,AC70,AD70)),0)))</f>
        <v>610041043</v>
      </c>
      <c r="AZ70" s="42"/>
      <c r="BA70" s="42"/>
      <c r="BB70" s="42"/>
      <c r="BC70" s="42"/>
      <c r="BD70" s="42"/>
      <c r="BE70" s="42"/>
      <c r="BF70" s="42"/>
      <c r="BG70" s="42"/>
      <c r="BH70" s="96"/>
      <c r="BI70" s="96"/>
      <c r="BJ70" s="96"/>
      <c r="BK70" s="96"/>
      <c r="BL70" s="96"/>
      <c r="BM70" s="96"/>
      <c r="BN70" s="33"/>
      <c r="CJ70" s="31">
        <v>0</v>
      </c>
      <c r="CK70" s="31">
        <v>1</v>
      </c>
      <c r="CL70" s="31">
        <v>1</v>
      </c>
      <c r="CM70" s="31">
        <v>1</v>
      </c>
      <c r="CN70" s="31">
        <v>0</v>
      </c>
      <c r="CO70" s="31">
        <v>0</v>
      </c>
      <c r="CP70" s="31">
        <v>0</v>
      </c>
      <c r="CQ70" s="31">
        <v>1</v>
      </c>
      <c r="CR70" s="31">
        <v>-1</v>
      </c>
      <c r="CS70" s="31">
        <v>1</v>
      </c>
      <c r="CT70" s="31">
        <v>0</v>
      </c>
      <c r="CU70" s="31">
        <v>0</v>
      </c>
      <c r="CV70" s="31">
        <v>0</v>
      </c>
      <c r="CW70" s="31">
        <v>1</v>
      </c>
      <c r="CX70" s="31">
        <v>1</v>
      </c>
      <c r="CY70" s="31">
        <v>1</v>
      </c>
      <c r="CZ70" s="31">
        <v>0</v>
      </c>
    </row>
    <row r="71" spans="1:104" s="31" customFormat="1" x14ac:dyDescent="0.2">
      <c r="A71" s="31" t="str">
        <f t="shared" si="45"/>
        <v/>
      </c>
      <c r="B71" s="19" t="s">
        <v>34</v>
      </c>
      <c r="C71" s="219" t="s">
        <v>546</v>
      </c>
      <c r="D71" s="19">
        <v>54</v>
      </c>
      <c r="E71" s="19" t="s">
        <v>227</v>
      </c>
      <c r="F71" s="19">
        <v>122</v>
      </c>
      <c r="G71" s="42">
        <f>IF(OR(E71="",F71=""),"",IF(LEFT(E71,1)="M",VLOOKUP(F71,Setup!$J$9:$K$23,2,TRUE),VLOOKUP(F71,Setup!$L$9:$M$23,2,TRUE)))</f>
        <v>123</v>
      </c>
      <c r="H71" s="42">
        <f>IF(F71="",0,VLOOKUP(AL71,DATA!$L$2:$N$1910,IF(LEFT(E71,1)="F",3,2)))</f>
        <v>1.0545</v>
      </c>
      <c r="I71" s="19"/>
      <c r="J71" s="19"/>
      <c r="K71" s="133"/>
      <c r="L71" s="133"/>
      <c r="M71" s="133"/>
      <c r="N71" s="133"/>
      <c r="O71" s="134">
        <f t="shared" si="46"/>
        <v>0</v>
      </c>
      <c r="P71" s="224"/>
      <c r="Q71" s="233">
        <v>70</v>
      </c>
      <c r="R71" s="233">
        <v>77.5</v>
      </c>
      <c r="S71" s="133">
        <v>-82.5</v>
      </c>
      <c r="T71" s="133"/>
      <c r="U71" s="134">
        <f t="shared" si="47"/>
        <v>77.5</v>
      </c>
      <c r="V71" s="135">
        <f t="shared" si="48"/>
        <v>0</v>
      </c>
      <c r="W71" s="133"/>
      <c r="X71" s="133"/>
      <c r="Y71" s="133"/>
      <c r="Z71" s="133"/>
      <c r="AA71" s="134">
        <f t="shared" si="49"/>
        <v>0</v>
      </c>
      <c r="AB71" s="135">
        <f t="shared" si="50"/>
        <v>0</v>
      </c>
      <c r="AC71" s="136">
        <f t="shared" si="51"/>
        <v>0</v>
      </c>
      <c r="AD71" s="136">
        <f>IF(OR(AB71=0,D71="",AND(D71&lt;40,D71&gt;22)),0,VLOOKUP($D71,DATA!$A$2:$B$53,2,TRUE)*AC71)</f>
        <v>0</v>
      </c>
      <c r="AE71" s="197">
        <f ca="1">IF(E71="","",OFFSET(Setup!$Q$1,MATCH(E71,Setup!O:O,0)-1,0))</f>
        <v>1</v>
      </c>
      <c r="AF71" s="134">
        <f t="shared" ca="1" si="52"/>
        <v>0</v>
      </c>
      <c r="AG71" s="42">
        <f>IF(OR(AB71=0),0,VLOOKUP(AV71,Setup!$S$6:$T$15,2,TRUE))</f>
        <v>0</v>
      </c>
      <c r="AH71" s="137"/>
      <c r="AI71" s="132" t="s">
        <v>339</v>
      </c>
      <c r="AJ71" s="124">
        <f t="shared" si="53"/>
        <v>0</v>
      </c>
      <c r="AK71" s="42">
        <f t="shared" si="54"/>
        <v>7</v>
      </c>
      <c r="AL71" s="29">
        <f t="shared" si="55"/>
        <v>55.3</v>
      </c>
      <c r="AM71" s="29">
        <f t="shared" si="56"/>
        <v>0</v>
      </c>
      <c r="AN71" s="29">
        <f t="shared" si="57"/>
        <v>0</v>
      </c>
      <c r="AO71" s="41" t="str">
        <f t="shared" si="58"/>
        <v>F</v>
      </c>
      <c r="AP71" s="41"/>
      <c r="AQ71" s="31">
        <f t="shared" si="59"/>
        <v>0</v>
      </c>
      <c r="AR71" s="217">
        <f t="shared" ca="1" si="60"/>
        <v>1012000000</v>
      </c>
      <c r="AS71" s="41">
        <f t="shared" ca="1" si="61"/>
        <v>28</v>
      </c>
      <c r="AT71" s="177">
        <f t="shared" ca="1" si="62"/>
        <v>1012</v>
      </c>
      <c r="AU71" s="115">
        <f t="shared" ca="1" si="63"/>
        <v>28</v>
      </c>
      <c r="AV71" s="198">
        <f t="shared" ca="1" si="64"/>
        <v>1</v>
      </c>
      <c r="AW71" s="181">
        <f t="shared" si="65"/>
        <v>122</v>
      </c>
      <c r="AX71" s="29">
        <f t="shared" si="66"/>
        <v>51</v>
      </c>
      <c r="AY71" s="217">
        <f ca="1">IF(OR(E71="",F71="",ISERROR(AE71)),0,(100000000*MATCH(E71,INDIRECT($AI$1),0)+IF(AE71=1,(16-IF(AO71="M",MATCH(G71,Setup!$K$9:$K$23,0),MATCH(G71,Setup!$M$9:$M$23)))*1000000,0)+IF(AB71&gt;0,IF(AE71=1,RANK(AB71,AB:AB,-1)*1000+AX71,IF(AE71=2,AC71,AD71)),0)))</f>
        <v>1012000000</v>
      </c>
      <c r="AZ71" s="42"/>
      <c r="BA71" s="42"/>
      <c r="BB71" s="42"/>
      <c r="BC71" s="42"/>
      <c r="BD71" s="42"/>
      <c r="BE71" s="42"/>
      <c r="BF71" s="42"/>
      <c r="BG71" s="42"/>
      <c r="BH71" s="96"/>
      <c r="BI71" s="96"/>
      <c r="BJ71" s="96"/>
      <c r="BK71" s="96"/>
      <c r="BL71" s="96"/>
      <c r="BM71" s="96"/>
      <c r="BN71" s="33"/>
      <c r="CJ71" s="31">
        <v>0</v>
      </c>
      <c r="CK71" s="31">
        <v>0</v>
      </c>
      <c r="CL71" s="31">
        <v>0</v>
      </c>
      <c r="CM71" s="31">
        <v>0</v>
      </c>
      <c r="CN71" s="31">
        <v>0</v>
      </c>
      <c r="CO71" s="31">
        <v>0</v>
      </c>
      <c r="CP71" s="31">
        <v>0</v>
      </c>
      <c r="CQ71" s="31">
        <v>1</v>
      </c>
      <c r="CR71" s="31">
        <v>1</v>
      </c>
      <c r="CS71" s="31">
        <v>-1</v>
      </c>
      <c r="CT71" s="31">
        <v>0</v>
      </c>
      <c r="CU71" s="31">
        <v>0</v>
      </c>
      <c r="CV71" s="31">
        <v>0</v>
      </c>
      <c r="CW71" s="31">
        <v>0</v>
      </c>
      <c r="CX71" s="31">
        <v>0</v>
      </c>
      <c r="CY71" s="31">
        <v>0</v>
      </c>
      <c r="CZ71" s="31">
        <v>0</v>
      </c>
    </row>
    <row r="72" spans="1:104" s="31" customFormat="1" x14ac:dyDescent="0.2">
      <c r="A72" s="31" t="str">
        <f t="shared" si="45"/>
        <v/>
      </c>
      <c r="B72" s="19" t="s">
        <v>34</v>
      </c>
      <c r="C72" s="219" t="s">
        <v>548</v>
      </c>
      <c r="D72" s="19">
        <v>25</v>
      </c>
      <c r="E72" s="19" t="s">
        <v>223</v>
      </c>
      <c r="F72" s="19">
        <v>136.19999999999999</v>
      </c>
      <c r="G72" s="42">
        <f>IF(OR(E72="",F72=""),"",IF(LEFT(E72,1)="M",VLOOKUP(F72,Setup!$J$9:$K$23,2,TRUE),VLOOKUP(F72,Setup!$L$9:$M$23,2,TRUE)))</f>
        <v>148</v>
      </c>
      <c r="H72" s="42">
        <f>IF(F72="",0,VLOOKUP(AL72,DATA!$L$2:$N$1910,IF(LEFT(E72,1)="F",3,2)))</f>
        <v>0.96450000000000002</v>
      </c>
      <c r="I72" s="19"/>
      <c r="J72" s="19"/>
      <c r="K72" s="133"/>
      <c r="L72" s="133"/>
      <c r="M72" s="133"/>
      <c r="N72" s="133"/>
      <c r="O72" s="134">
        <f t="shared" si="46"/>
        <v>0</v>
      </c>
      <c r="P72" s="224"/>
      <c r="Q72" s="233">
        <v>75</v>
      </c>
      <c r="R72" s="233">
        <v>87.5</v>
      </c>
      <c r="S72" s="233">
        <v>95</v>
      </c>
      <c r="T72" s="133"/>
      <c r="U72" s="134">
        <f t="shared" si="47"/>
        <v>95</v>
      </c>
      <c r="V72" s="135">
        <f t="shared" si="48"/>
        <v>0</v>
      </c>
      <c r="W72" s="133"/>
      <c r="X72" s="133"/>
      <c r="Y72" s="133"/>
      <c r="Z72" s="133"/>
      <c r="AA72" s="134">
        <f t="shared" si="49"/>
        <v>0</v>
      </c>
      <c r="AB72" s="135">
        <f t="shared" si="50"/>
        <v>0</v>
      </c>
      <c r="AC72" s="136">
        <f t="shared" si="51"/>
        <v>0</v>
      </c>
      <c r="AD72" s="136">
        <f>IF(OR(AB72=0,D72="",AND(D72&lt;40,D72&gt;22)),0,VLOOKUP($D72,DATA!$A$2:$B$53,2,TRUE)*AC72)</f>
        <v>0</v>
      </c>
      <c r="AE72" s="197">
        <f ca="1">IF(E72="","",OFFSET(Setup!$Q$1,MATCH(E72,Setup!O:O,0)-1,0))</f>
        <v>1</v>
      </c>
      <c r="AF72" s="134">
        <f t="shared" ca="1" si="52"/>
        <v>0</v>
      </c>
      <c r="AG72" s="42">
        <f>IF(OR(AB72=0),0,VLOOKUP(AV72,Setup!$S$6:$T$15,2,TRUE))</f>
        <v>0</v>
      </c>
      <c r="AH72" s="137"/>
      <c r="AI72" s="132" t="s">
        <v>339</v>
      </c>
      <c r="AJ72" s="124">
        <f t="shared" si="53"/>
        <v>0</v>
      </c>
      <c r="AK72" s="42">
        <f t="shared" si="54"/>
        <v>7</v>
      </c>
      <c r="AL72" s="29">
        <f t="shared" si="55"/>
        <v>61.8</v>
      </c>
      <c r="AM72" s="29">
        <f t="shared" si="56"/>
        <v>0</v>
      </c>
      <c r="AN72" s="29">
        <f t="shared" si="57"/>
        <v>0</v>
      </c>
      <c r="AO72" s="41" t="str">
        <f t="shared" si="58"/>
        <v>F</v>
      </c>
      <c r="AP72" s="41"/>
      <c r="AQ72" s="31">
        <f t="shared" si="59"/>
        <v>0</v>
      </c>
      <c r="AR72" s="217">
        <f t="shared" ca="1" si="60"/>
        <v>610000000</v>
      </c>
      <c r="AS72" s="41">
        <f t="shared" ca="1" si="61"/>
        <v>33</v>
      </c>
      <c r="AT72" s="177">
        <f t="shared" ca="1" si="62"/>
        <v>610</v>
      </c>
      <c r="AU72" s="115">
        <f t="shared" ca="1" si="63"/>
        <v>32</v>
      </c>
      <c r="AV72" s="198">
        <f t="shared" ca="1" si="64"/>
        <v>2</v>
      </c>
      <c r="AW72" s="181">
        <f t="shared" si="65"/>
        <v>136.19999999999999</v>
      </c>
      <c r="AX72" s="29">
        <f t="shared" si="66"/>
        <v>45</v>
      </c>
      <c r="AY72" s="217">
        <f ca="1">IF(OR(E72="",F72="",ISERROR(AE72)),0,(100000000*MATCH(E72,INDIRECT($AI$1),0)+IF(AE72=1,(16-IF(AO72="M",MATCH(G72,Setup!$K$9:$K$23,0),MATCH(G72,Setup!$M$9:$M$23)))*1000000,0)+IF(AB72&gt;0,IF(AE72=1,RANK(AB72,AB:AB,-1)*1000+AX72,IF(AE72=2,AC72,AD72)),0)))</f>
        <v>610000000</v>
      </c>
      <c r="AZ72" s="42"/>
      <c r="BA72" s="42"/>
      <c r="BB72" s="42"/>
      <c r="BC72" s="42"/>
      <c r="BD72" s="42"/>
      <c r="BE72" s="42"/>
      <c r="BF72" s="42"/>
      <c r="BG72" s="42"/>
      <c r="BH72" s="96"/>
      <c r="BI72" s="96"/>
      <c r="BJ72" s="96"/>
      <c r="BK72" s="96"/>
      <c r="BL72" s="96"/>
      <c r="BM72" s="96"/>
      <c r="BN72" s="33"/>
      <c r="CJ72" s="31">
        <v>0</v>
      </c>
      <c r="CK72" s="31">
        <v>0</v>
      </c>
      <c r="CL72" s="31">
        <v>0</v>
      </c>
      <c r="CM72" s="31">
        <v>0</v>
      </c>
      <c r="CN72" s="31">
        <v>0</v>
      </c>
      <c r="CO72" s="31">
        <v>0</v>
      </c>
      <c r="CP72" s="31">
        <v>0</v>
      </c>
      <c r="CQ72" s="31">
        <v>1</v>
      </c>
      <c r="CR72" s="31">
        <v>1</v>
      </c>
      <c r="CS72" s="31">
        <v>1</v>
      </c>
      <c r="CT72" s="31">
        <v>0</v>
      </c>
      <c r="CU72" s="31">
        <v>0</v>
      </c>
      <c r="CV72" s="31">
        <v>0</v>
      </c>
      <c r="CW72" s="31">
        <v>0</v>
      </c>
      <c r="CX72" s="31">
        <v>0</v>
      </c>
      <c r="CY72" s="31">
        <v>0</v>
      </c>
      <c r="CZ72" s="31">
        <v>0</v>
      </c>
    </row>
  </sheetData>
  <sheetProtection sheet="1" objects="1" scenarios="1"/>
  <sortState ref="A10:XFD24">
    <sortCondition ref="AK10"/>
    <sortCondition ref="A10"/>
  </sortState>
  <customSheetViews>
    <customSheetView guid="{07CDF5D6-CF56-477A-AAD4-2986DB622B49}" showRuler="0">
      <selection activeCell="N2" sqref="N2"/>
      <pageMargins left="0.75" right="0.75" top="1" bottom="1" header="0.5" footer="0.5"/>
      <pageSetup orientation="portrait" r:id="rId1"/>
      <headerFooter alignWithMargins="0"/>
    </customSheetView>
  </customSheetViews>
  <mergeCells count="11">
    <mergeCell ref="H1:I1"/>
    <mergeCell ref="F2:G2"/>
    <mergeCell ref="D4:F4"/>
    <mergeCell ref="B1:E1"/>
    <mergeCell ref="F1:G1"/>
    <mergeCell ref="AE2:AE6"/>
    <mergeCell ref="D3:F3"/>
    <mergeCell ref="B3:C3"/>
    <mergeCell ref="B4:C4"/>
    <mergeCell ref="B2:E2"/>
    <mergeCell ref="H6:I6"/>
  </mergeCells>
  <phoneticPr fontId="0" type="noConversion"/>
  <conditionalFormatting sqref="B9">
    <cfRule type="expression" dxfId="59" priority="180" stopIfTrue="1">
      <formula>AND($B9&lt;&gt;RIGHT($B$8,1))</formula>
    </cfRule>
  </conditionalFormatting>
  <conditionalFormatting sqref="C9">
    <cfRule type="cellIs" dxfId="58" priority="181" stopIfTrue="1" operator="equal">
      <formula>$B$2</formula>
    </cfRule>
    <cfRule type="expression" dxfId="57" priority="182" stopIfTrue="1">
      <formula>AND($B9&lt;&gt;RIGHT($B$8,1))</formula>
    </cfRule>
  </conditionalFormatting>
  <conditionalFormatting sqref="K9:N9 Q9:T9 W9:Z9">
    <cfRule type="expression" dxfId="56" priority="183" stopIfTrue="1">
      <formula>AND(COLUMN(K9)=$A$3,ROW(K9)=$A$4)</formula>
    </cfRule>
    <cfRule type="cellIs" dxfId="55" priority="184" stopIfTrue="1" operator="lessThan">
      <formula>0</formula>
    </cfRule>
    <cfRule type="expression" dxfId="54" priority="185" stopIfTrue="1">
      <formula>OR(AND(ROW(K9)=$A$4,COLUMN(K9)&lt;$A$3,CK9=1),AND(ROW(K9)&lt;$A$4,COLUMN(K9)=$A$3,CK9=1))</formula>
    </cfRule>
  </conditionalFormatting>
  <conditionalFormatting sqref="I9:J9 D9:F9">
    <cfRule type="expression" dxfId="53" priority="186" stopIfTrue="1">
      <formula>AND(ROW(D9)=$A$4)</formula>
    </cfRule>
    <cfRule type="expression" dxfId="52" priority="187" stopIfTrue="1">
      <formula>AND($B9&lt;&gt;RIGHT($B$8,1))</formula>
    </cfRule>
  </conditionalFormatting>
  <conditionalFormatting sqref="O9:P9 U9">
    <cfRule type="expression" dxfId="51" priority="188" stopIfTrue="1">
      <formula>AND(ROW(K9)=$A$4,COLUMN(K9)&lt;$A$3)</formula>
    </cfRule>
  </conditionalFormatting>
  <conditionalFormatting sqref="V9">
    <cfRule type="expression" dxfId="50" priority="189" stopIfTrue="1">
      <formula>AND(ROW(R9)=$A$4,COLUMN(R9)&lt;$A$3)</formula>
    </cfRule>
  </conditionalFormatting>
  <conditionalFormatting sqref="AA9">
    <cfRule type="expression" dxfId="49" priority="190" stopIfTrue="1">
      <formula>AND(ROW(W9)=$A$4,$A$3&gt;21)</formula>
    </cfRule>
  </conditionalFormatting>
  <conditionalFormatting sqref="AB9">
    <cfRule type="expression" dxfId="48" priority="197" stopIfTrue="1">
      <formula>AND(ROW(X9)=$A$4)</formula>
    </cfRule>
    <cfRule type="expression" dxfId="47" priority="198" stopIfTrue="1">
      <formula>AND(AE9=1)</formula>
    </cfRule>
  </conditionalFormatting>
  <conditionalFormatting sqref="AC9">
    <cfRule type="expression" dxfId="46" priority="199" stopIfTrue="1">
      <formula>AND(AE9=2)</formula>
    </cfRule>
  </conditionalFormatting>
  <conditionalFormatting sqref="AD9">
    <cfRule type="expression" dxfId="45" priority="200" stopIfTrue="1">
      <formula>AND(AE9=3)</formula>
    </cfRule>
  </conditionalFormatting>
  <conditionalFormatting sqref="H3:I4">
    <cfRule type="expression" dxfId="44" priority="191" stopIfTrue="1">
      <formula>AND(COLUMN(H3)=$K$3,ROW(H3)=VALUE(RIGHT(#REF!,1)))</formula>
    </cfRule>
  </conditionalFormatting>
  <conditionalFormatting sqref="D3:F4">
    <cfRule type="expression" dxfId="43" priority="192" stopIfTrue="1">
      <formula>NOT($A$2=$H$4)</formula>
    </cfRule>
    <cfRule type="cellIs" dxfId="42" priority="193" stopIfTrue="1" operator="lessThan">
      <formula>0</formula>
    </cfRule>
    <cfRule type="expression" dxfId="41" priority="194" stopIfTrue="1">
      <formula>OR($A$2=$H$4)</formula>
    </cfRule>
  </conditionalFormatting>
  <conditionalFormatting sqref="K8:N8 Q8:T8 W8:Z8">
    <cfRule type="cellIs" dxfId="40" priority="195" stopIfTrue="1" operator="equal">
      <formula>$B$3</formula>
    </cfRule>
  </conditionalFormatting>
  <conditionalFormatting sqref="G9:H9">
    <cfRule type="expression" dxfId="39" priority="196" stopIfTrue="1">
      <formula>AND(ROW(G9)=$A$4)</formula>
    </cfRule>
  </conditionalFormatting>
  <conditionalFormatting sqref="B10:B72">
    <cfRule type="expression" dxfId="38" priority="4" stopIfTrue="1">
      <formula>AND($B10&lt;&gt;RIGHT($B$8,1))</formula>
    </cfRule>
  </conditionalFormatting>
  <conditionalFormatting sqref="C10:C72">
    <cfRule type="cellIs" dxfId="37" priority="5" stopIfTrue="1" operator="equal">
      <formula>$B$2</formula>
    </cfRule>
    <cfRule type="expression" dxfId="36" priority="6" stopIfTrue="1">
      <formula>AND($B10&lt;&gt;RIGHT($B$8,1))</formula>
    </cfRule>
  </conditionalFormatting>
  <conditionalFormatting sqref="K33:N72 Q10:T72 W10:Z72 N10:N32">
    <cfRule type="expression" dxfId="35" priority="7" stopIfTrue="1">
      <formula>AND(COLUMN(K10)=$A$3,ROW(K10)=$A$4)</formula>
    </cfRule>
    <cfRule type="cellIs" dxfId="34" priority="8" stopIfTrue="1" operator="lessThan">
      <formula>0</formula>
    </cfRule>
    <cfRule type="expression" dxfId="33" priority="9" stopIfTrue="1">
      <formula>OR(AND(ROW(K10)=$A$4,COLUMN(K10)&lt;$A$3,CK10=1),AND(ROW(K10)&lt;$A$4,COLUMN(K10)=$A$3,CK10=1))</formula>
    </cfRule>
  </conditionalFormatting>
  <conditionalFormatting sqref="I10:J72 D10:F72">
    <cfRule type="expression" dxfId="32" priority="10" stopIfTrue="1">
      <formula>AND(ROW(D10)=$A$4)</formula>
    </cfRule>
    <cfRule type="expression" dxfId="31" priority="11" stopIfTrue="1">
      <formula>AND($B10&lt;&gt;RIGHT($B$8,1))</formula>
    </cfRule>
  </conditionalFormatting>
  <conditionalFormatting sqref="O10:P72 U10:U72">
    <cfRule type="expression" dxfId="30" priority="12" stopIfTrue="1">
      <formula>AND(ROW(K10)=$A$4,COLUMN(K10)&lt;$A$3)</formula>
    </cfRule>
  </conditionalFormatting>
  <conditionalFormatting sqref="V10:V72">
    <cfRule type="expression" dxfId="29" priority="13" stopIfTrue="1">
      <formula>AND(ROW(R10)=$A$4,COLUMN(R10)&lt;$A$3)</formula>
    </cfRule>
  </conditionalFormatting>
  <conditionalFormatting sqref="AA10:AA72">
    <cfRule type="expression" dxfId="28" priority="14" stopIfTrue="1">
      <formula>AND(ROW(W10)=$A$4,$A$3&gt;21)</formula>
    </cfRule>
  </conditionalFormatting>
  <conditionalFormatting sqref="AB10:AB72">
    <cfRule type="expression" dxfId="27" priority="16" stopIfTrue="1">
      <formula>AND(ROW(X10)=$A$4)</formula>
    </cfRule>
    <cfRule type="expression" dxfId="26" priority="17" stopIfTrue="1">
      <formula>AND(AE10=1)</formula>
    </cfRule>
  </conditionalFormatting>
  <conditionalFormatting sqref="AC10:AC72">
    <cfRule type="expression" dxfId="25" priority="18" stopIfTrue="1">
      <formula>AND(AE10=2)</formula>
    </cfRule>
  </conditionalFormatting>
  <conditionalFormatting sqref="AD10:AD72">
    <cfRule type="expression" dxfId="24" priority="19" stopIfTrue="1">
      <formula>AND(AE10=3)</formula>
    </cfRule>
  </conditionalFormatting>
  <conditionalFormatting sqref="G10:H72">
    <cfRule type="expression" dxfId="23" priority="15" stopIfTrue="1">
      <formula>AND(ROW(G10)=$A$4)</formula>
    </cfRule>
  </conditionalFormatting>
  <conditionalFormatting sqref="K10:M32">
    <cfRule type="expression" dxfId="22" priority="1" stopIfTrue="1">
      <formula>AND(COLUMN(K10)=$A$3,ROW(K10)=$A$4)</formula>
    </cfRule>
    <cfRule type="cellIs" dxfId="21" priority="2" stopIfTrue="1" operator="lessThan">
      <formula>0</formula>
    </cfRule>
    <cfRule type="expression" dxfId="20" priority="3" stopIfTrue="1">
      <formula>OR(AND(ROW(K10)=$A$4,COLUMN(K10)&lt;$A$3,CK10=1),AND(ROW(K10)&lt;$A$4,COLUMN(K10)=$A$3,CK10=1))</formula>
    </cfRule>
  </conditionalFormatting>
  <dataValidations count="12"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B8">
      <formula1>"Flt A,Flt B,Flt C,Flt D,Flt E,Flt F, Flt G,Flt H"</formula1>
    </dataValidation>
    <dataValidation allowBlank="1" showInputMessage="1" showErrorMessage="1" prompt="Don't enter anything here, these are calculated automatically." sqref="AG9:AG72 V9:V72 G9:H72 AB9:AD72 AU9:AU72"/>
    <dataValidation type="custom" errorStyle="warning" allowBlank="1" showInputMessage="1" showErrorMessage="1" error="Must be a multiple of 2.5 unless record attempt" sqref="W9:W72 K9:K72 Q9:Q72">
      <formula1>AND(MOD(K9,2.5)=0)</formula1>
    </dataValidation>
    <dataValidation type="list" allowBlank="1" showInputMessage="1" showErrorMessage="1" sqref="B9:B72">
      <formula1>"A,B,C,D,E,F,G,H"</formula1>
    </dataValidation>
    <dataValidation type="list" allowBlank="1" showInputMessage="1" showErrorMessage="1" sqref="B2:E2">
      <formula1>INDIRECT($A$7)</formula1>
    </dataValidation>
    <dataValidation type="list" allowBlank="1" showInputMessage="1" showErrorMessage="1" sqref="AB8">
      <formula1>"PL Total, Best Squat, Best Bench, Best Deadlift, Push Pull Total"</formula1>
    </dataValidation>
    <dataValidation type="list" allowBlank="1" showInputMessage="1" showErrorMessage="1" promptTitle="Changing attempts" prompt="The flight at the top of the lifting order is sorted by the selected attempt and lot #.  The first lifter in the flight is selected in the name block." sqref="B3:C3">
      <formula1>INDIRECT($BA$1)</formula1>
    </dataValidation>
    <dataValidation type="list" allowBlank="1" showInputMessage="1" showErrorMessage="1" prompt="1st Character must be M or F to designate male/female to compute Wilks Coef.  Examples:  M-O = open male, F-M1 = female master" sqref="E9:E72">
      <formula1>INDIRECT($AI$1)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9:AI72"/>
    <dataValidation type="list" allowBlank="1" showInputMessage="1" showErrorMessage="1" sqref="H6:I6">
      <formula1>"automatic, manual"</formula1>
    </dataValidation>
    <dataValidation type="list" errorStyle="warning" allowBlank="1" showInputMessage="1" showErrorMessage="1" promptTitle="Determine place using" prompt="1 = Division, Wt Class &amp; total_x000a_2 = Division &amp; Total x Coef_x000a_3 = Division &amp; Total x Coef x Age Coef" sqref="AE9:AE72">
      <formula1>"1,2,3"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L9:N72 R9:T72 X9:Z72">
      <formula1>AND(MOD(L9,2.5)=0,L9&gt;=ABS(K9),L9&gt;K9)</formula1>
    </dataValidation>
  </dataValidations>
  <pageMargins left="0.75" right="0.75" top="1" bottom="1" header="0.5" footer="0.5"/>
  <pageSetup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CX109"/>
  <sheetViews>
    <sheetView topLeftCell="U10" workbookViewId="0">
      <selection activeCell="AB29" sqref="AB29"/>
    </sheetView>
  </sheetViews>
  <sheetFormatPr defaultRowHeight="15" x14ac:dyDescent="0.2"/>
  <cols>
    <col min="1" max="1" width="9.140625" style="259"/>
    <col min="2" max="2" width="5.7109375" style="260" customWidth="1"/>
    <col min="3" max="3" width="6.28515625" style="260" customWidth="1"/>
    <col min="4" max="4" width="6.5703125" style="260" customWidth="1"/>
    <col min="5" max="22" width="7.5703125" style="260" customWidth="1"/>
    <col min="23" max="25" width="9.7109375" style="261" customWidth="1"/>
    <col min="26" max="26" width="11.7109375" style="262" customWidth="1"/>
    <col min="27" max="27" width="25.42578125" style="259" customWidth="1"/>
    <col min="28" max="28" width="14.5703125" style="262" customWidth="1"/>
    <col min="29" max="30" width="9.140625" style="260"/>
    <col min="31" max="16384" width="9.140625" style="259"/>
  </cols>
  <sheetData>
    <row r="1" spans="2:102" s="245" customFormat="1" ht="30" customHeight="1" thickBot="1" x14ac:dyDescent="0.25">
      <c r="B1" s="245" t="s">
        <v>616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7"/>
      <c r="X1" s="247"/>
      <c r="Y1" s="247"/>
      <c r="Z1" s="248"/>
      <c r="AA1" s="249">
        <v>2018</v>
      </c>
      <c r="AB1" s="248"/>
      <c r="AC1" s="246"/>
      <c r="AD1" s="246"/>
    </row>
    <row r="2" spans="2:102" s="250" customFormat="1" ht="28.5" customHeight="1" thickBot="1" x14ac:dyDescent="0.25">
      <c r="B2" s="251" t="s">
        <v>1</v>
      </c>
      <c r="C2" s="252" t="s">
        <v>29</v>
      </c>
      <c r="D2" s="252" t="s">
        <v>208</v>
      </c>
      <c r="E2" s="252" t="s">
        <v>576</v>
      </c>
      <c r="F2" s="253" t="s">
        <v>217</v>
      </c>
      <c r="G2" s="252" t="s">
        <v>22</v>
      </c>
      <c r="H2" s="252" t="s">
        <v>23</v>
      </c>
      <c r="I2" s="252" t="s">
        <v>24</v>
      </c>
      <c r="J2" s="252" t="s">
        <v>25</v>
      </c>
      <c r="K2" s="252" t="s">
        <v>11</v>
      </c>
      <c r="L2" s="252" t="s">
        <v>12</v>
      </c>
      <c r="M2" s="252" t="s">
        <v>13</v>
      </c>
      <c r="N2" s="252" t="s">
        <v>14</v>
      </c>
      <c r="O2" s="252" t="s">
        <v>157</v>
      </c>
      <c r="P2" s="252" t="s">
        <v>15</v>
      </c>
      <c r="Q2" s="252" t="s">
        <v>16</v>
      </c>
      <c r="R2" s="252" t="s">
        <v>17</v>
      </c>
      <c r="S2" s="252" t="s">
        <v>18</v>
      </c>
      <c r="T2" s="252" t="s">
        <v>19</v>
      </c>
      <c r="U2" s="252" t="s">
        <v>20</v>
      </c>
      <c r="V2" s="252" t="s">
        <v>21</v>
      </c>
      <c r="W2" s="254" t="s">
        <v>69</v>
      </c>
      <c r="X2" s="255" t="s">
        <v>134</v>
      </c>
      <c r="Y2" s="255" t="s">
        <v>139</v>
      </c>
      <c r="Z2" s="256" t="s">
        <v>180</v>
      </c>
      <c r="AA2" s="257" t="s">
        <v>0</v>
      </c>
      <c r="AB2" s="256" t="s">
        <v>31</v>
      </c>
      <c r="AC2" s="252" t="s">
        <v>181</v>
      </c>
      <c r="AD2" s="258" t="s">
        <v>45</v>
      </c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</row>
    <row r="3" spans="2:102" x14ac:dyDescent="0.2">
      <c r="B3" s="260">
        <v>62</v>
      </c>
      <c r="C3" s="260" t="s">
        <v>245</v>
      </c>
      <c r="D3" s="260">
        <v>161.4</v>
      </c>
      <c r="E3" s="260">
        <v>165</v>
      </c>
      <c r="F3" s="260">
        <v>0.84989999999999999</v>
      </c>
      <c r="G3" s="260">
        <v>107.5</v>
      </c>
      <c r="H3" s="260">
        <v>115</v>
      </c>
      <c r="I3" s="260">
        <v>122.5</v>
      </c>
      <c r="K3" s="260">
        <v>122.5</v>
      </c>
      <c r="L3" s="260">
        <v>57.5</v>
      </c>
      <c r="M3" s="260">
        <v>62.5</v>
      </c>
      <c r="N3" s="260">
        <v>65</v>
      </c>
      <c r="P3" s="260">
        <v>65</v>
      </c>
      <c r="Q3" s="260">
        <v>187.5</v>
      </c>
      <c r="R3" s="260">
        <v>142.5</v>
      </c>
      <c r="S3" s="260">
        <v>152.5</v>
      </c>
      <c r="T3" s="260">
        <v>-155</v>
      </c>
      <c r="V3" s="260">
        <v>152.5</v>
      </c>
      <c r="W3" s="261">
        <v>340</v>
      </c>
      <c r="X3" s="261">
        <v>288.96600000000001</v>
      </c>
      <c r="Y3" s="261">
        <v>402.52963800000003</v>
      </c>
      <c r="Z3" s="262">
        <v>1</v>
      </c>
      <c r="AA3" s="259" t="s">
        <v>478</v>
      </c>
      <c r="AB3" s="262" t="s">
        <v>589</v>
      </c>
      <c r="AC3" s="260">
        <v>7</v>
      </c>
    </row>
    <row r="4" spans="2:102" x14ac:dyDescent="0.2">
      <c r="B4" s="260">
        <v>26</v>
      </c>
      <c r="C4" s="260" t="s">
        <v>239</v>
      </c>
      <c r="D4" s="260">
        <v>129.6</v>
      </c>
      <c r="E4" s="260">
        <v>132</v>
      </c>
      <c r="F4" s="260">
        <v>1.0037</v>
      </c>
      <c r="G4" s="260">
        <v>105</v>
      </c>
      <c r="H4" s="260">
        <v>110</v>
      </c>
      <c r="I4" s="260">
        <v>117.5</v>
      </c>
      <c r="K4" s="260">
        <v>117.5</v>
      </c>
      <c r="L4" s="260">
        <v>60</v>
      </c>
      <c r="M4" s="260">
        <v>65</v>
      </c>
      <c r="N4" s="260">
        <v>72.5</v>
      </c>
      <c r="P4" s="260">
        <v>72.5</v>
      </c>
      <c r="Q4" s="260">
        <v>190</v>
      </c>
      <c r="R4" s="260">
        <v>122.5</v>
      </c>
      <c r="S4" s="260">
        <v>132.5</v>
      </c>
      <c r="T4" s="260">
        <v>-137.5</v>
      </c>
      <c r="V4" s="260">
        <v>132.5</v>
      </c>
      <c r="W4" s="261">
        <v>322.5</v>
      </c>
      <c r="X4" s="261">
        <v>323.69325000000003</v>
      </c>
      <c r="Y4" s="261">
        <v>0</v>
      </c>
      <c r="Z4" s="262">
        <v>1</v>
      </c>
      <c r="AA4" s="259" t="s">
        <v>476</v>
      </c>
      <c r="AB4" s="262" t="s">
        <v>588</v>
      </c>
      <c r="AC4" s="260">
        <v>7</v>
      </c>
    </row>
    <row r="5" spans="2:102" x14ac:dyDescent="0.2">
      <c r="B5" s="260">
        <v>35</v>
      </c>
      <c r="C5" s="260" t="s">
        <v>224</v>
      </c>
      <c r="D5" s="260">
        <v>111.4</v>
      </c>
      <c r="E5" s="260">
        <v>114</v>
      </c>
      <c r="F5" s="260">
        <v>1.1334</v>
      </c>
      <c r="G5" s="260">
        <v>115</v>
      </c>
      <c r="H5" s="260">
        <v>130</v>
      </c>
      <c r="I5" s="260">
        <v>-137.5</v>
      </c>
      <c r="K5" s="260">
        <v>130</v>
      </c>
      <c r="L5" s="260">
        <v>52.5</v>
      </c>
      <c r="M5" s="260">
        <v>-57.5</v>
      </c>
      <c r="N5" s="260">
        <v>-57.5</v>
      </c>
      <c r="P5" s="260">
        <v>52.5</v>
      </c>
      <c r="Q5" s="260">
        <v>182.5</v>
      </c>
      <c r="R5" s="260">
        <v>125</v>
      </c>
      <c r="S5" s="260">
        <v>137.5</v>
      </c>
      <c r="T5" s="260">
        <v>-142.5</v>
      </c>
      <c r="V5" s="260">
        <v>137.5</v>
      </c>
      <c r="W5" s="261">
        <v>320</v>
      </c>
      <c r="X5" s="261">
        <v>362.68799999999999</v>
      </c>
      <c r="Y5" s="261">
        <v>0</v>
      </c>
      <c r="Z5" s="262">
        <v>1</v>
      </c>
      <c r="AA5" s="259" t="s">
        <v>568</v>
      </c>
      <c r="AB5" s="262" t="s">
        <v>606</v>
      </c>
      <c r="AC5" s="260">
        <v>7</v>
      </c>
    </row>
    <row r="6" spans="2:102" x14ac:dyDescent="0.2">
      <c r="B6" s="260">
        <v>31</v>
      </c>
      <c r="C6" s="260" t="s">
        <v>223</v>
      </c>
      <c r="D6" s="260">
        <v>100.4</v>
      </c>
      <c r="E6" s="260">
        <v>105</v>
      </c>
      <c r="F6" s="260">
        <v>1.2275</v>
      </c>
      <c r="G6" s="260">
        <v>-125</v>
      </c>
      <c r="H6" s="260">
        <v>125</v>
      </c>
      <c r="I6" s="260">
        <v>-137.5</v>
      </c>
      <c r="K6" s="260">
        <v>125</v>
      </c>
      <c r="L6" s="260">
        <v>70</v>
      </c>
      <c r="M6" s="260">
        <v>75</v>
      </c>
      <c r="N6" s="260">
        <v>-80</v>
      </c>
      <c r="P6" s="260">
        <v>75</v>
      </c>
      <c r="Q6" s="260">
        <v>200</v>
      </c>
      <c r="R6" s="260">
        <v>107.5</v>
      </c>
      <c r="S6" s="260">
        <v>117.5</v>
      </c>
      <c r="T6" s="260">
        <v>125</v>
      </c>
      <c r="V6" s="260">
        <v>125</v>
      </c>
      <c r="W6" s="261">
        <v>325</v>
      </c>
      <c r="X6" s="261">
        <v>398.9375</v>
      </c>
      <c r="Y6" s="261">
        <v>0</v>
      </c>
      <c r="Z6" s="262">
        <v>1</v>
      </c>
      <c r="AA6" s="259" t="s">
        <v>535</v>
      </c>
      <c r="AB6" s="262" t="s">
        <v>604</v>
      </c>
      <c r="AC6" s="260">
        <v>7</v>
      </c>
    </row>
    <row r="7" spans="2:102" x14ac:dyDescent="0.2">
      <c r="B7" s="260">
        <v>25</v>
      </c>
      <c r="C7" s="260" t="s">
        <v>223</v>
      </c>
      <c r="D7" s="260">
        <v>146.19999999999999</v>
      </c>
      <c r="E7" s="260">
        <v>148</v>
      </c>
      <c r="F7" s="260">
        <v>0.91234999999999999</v>
      </c>
      <c r="G7" s="260">
        <v>162.5</v>
      </c>
      <c r="H7" s="260">
        <v>177.5</v>
      </c>
      <c r="I7" s="260">
        <v>185</v>
      </c>
      <c r="K7" s="260">
        <v>185</v>
      </c>
      <c r="L7" s="260">
        <v>82.5</v>
      </c>
      <c r="M7" s="260">
        <v>-97.5</v>
      </c>
      <c r="N7" s="260">
        <v>97.5</v>
      </c>
      <c r="P7" s="260">
        <v>97.5</v>
      </c>
      <c r="Q7" s="260">
        <v>282.5</v>
      </c>
      <c r="R7" s="260">
        <v>152.5</v>
      </c>
      <c r="S7" s="260">
        <v>165</v>
      </c>
      <c r="T7" s="260">
        <v>172.5</v>
      </c>
      <c r="V7" s="260">
        <v>172.5</v>
      </c>
      <c r="W7" s="261">
        <v>455</v>
      </c>
      <c r="X7" s="261">
        <v>415.11925000000002</v>
      </c>
      <c r="Y7" s="261">
        <v>0</v>
      </c>
      <c r="Z7" s="262">
        <v>1</v>
      </c>
      <c r="AA7" s="259" t="s">
        <v>567</v>
      </c>
      <c r="AB7" s="262" t="s">
        <v>615</v>
      </c>
      <c r="AC7" s="260">
        <v>7</v>
      </c>
    </row>
    <row r="8" spans="2:102" s="245" customFormat="1" ht="30" customHeight="1" x14ac:dyDescent="0.2">
      <c r="B8" s="260">
        <v>18</v>
      </c>
      <c r="C8" s="260" t="s">
        <v>221</v>
      </c>
      <c r="D8" s="260">
        <v>144.80000000000001</v>
      </c>
      <c r="E8" s="260">
        <v>148</v>
      </c>
      <c r="F8" s="260">
        <v>0.91884999999999994</v>
      </c>
      <c r="G8" s="260">
        <v>142.5</v>
      </c>
      <c r="H8" s="260">
        <v>157.5</v>
      </c>
      <c r="I8" s="260">
        <v>165</v>
      </c>
      <c r="J8" s="260"/>
      <c r="K8" s="260">
        <v>165</v>
      </c>
      <c r="L8" s="260">
        <v>75</v>
      </c>
      <c r="M8" s="260">
        <v>-82.5</v>
      </c>
      <c r="N8" s="260">
        <v>82.5</v>
      </c>
      <c r="O8" s="260"/>
      <c r="P8" s="260">
        <v>82.5</v>
      </c>
      <c r="Q8" s="260">
        <v>247.5</v>
      </c>
      <c r="R8" s="260">
        <v>130</v>
      </c>
      <c r="S8" s="260">
        <v>140</v>
      </c>
      <c r="T8" s="260">
        <v>-142.5</v>
      </c>
      <c r="U8" s="260"/>
      <c r="V8" s="260">
        <v>140</v>
      </c>
      <c r="W8" s="261">
        <v>387.5</v>
      </c>
      <c r="X8" s="261">
        <v>356.05437499999999</v>
      </c>
      <c r="Y8" s="261">
        <v>377.41763750000001</v>
      </c>
      <c r="Z8" s="262">
        <v>1</v>
      </c>
      <c r="AA8" s="259" t="s">
        <v>544</v>
      </c>
      <c r="AB8" s="262" t="s">
        <v>610</v>
      </c>
      <c r="AC8" s="260">
        <v>7</v>
      </c>
      <c r="AD8" s="260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/>
      <c r="BA8" s="259"/>
      <c r="BB8" s="259"/>
      <c r="BC8" s="259"/>
      <c r="BD8" s="259"/>
      <c r="BE8" s="259"/>
      <c r="BF8" s="259"/>
      <c r="BG8" s="259"/>
      <c r="BH8" s="259"/>
      <c r="BI8" s="259"/>
      <c r="BJ8" s="259"/>
      <c r="BK8" s="259"/>
      <c r="BL8" s="259"/>
      <c r="BM8" s="259"/>
      <c r="BN8" s="259"/>
      <c r="BO8" s="259"/>
      <c r="BP8" s="259"/>
      <c r="BQ8" s="259"/>
      <c r="BR8" s="259"/>
      <c r="BS8" s="259"/>
      <c r="BT8" s="259"/>
      <c r="BU8" s="259"/>
      <c r="BV8" s="259"/>
      <c r="BW8" s="259"/>
      <c r="BX8" s="259"/>
      <c r="BY8" s="259"/>
      <c r="BZ8" s="259"/>
      <c r="CA8" s="259"/>
      <c r="CB8" s="259"/>
      <c r="CC8" s="259"/>
      <c r="CD8" s="259"/>
      <c r="CE8" s="259"/>
      <c r="CF8" s="259"/>
      <c r="CG8" s="259"/>
      <c r="CH8" s="259"/>
      <c r="CI8" s="259"/>
      <c r="CJ8" s="259"/>
      <c r="CK8" s="259"/>
      <c r="CL8" s="259"/>
      <c r="CM8" s="259"/>
      <c r="CN8" s="259"/>
      <c r="CO8" s="259"/>
      <c r="CP8" s="259"/>
      <c r="CQ8" s="259"/>
      <c r="CR8" s="259"/>
      <c r="CS8" s="259"/>
      <c r="CT8" s="259"/>
      <c r="CU8" s="259"/>
      <c r="CV8" s="259"/>
      <c r="CW8" s="259"/>
      <c r="CX8" s="259"/>
    </row>
    <row r="9" spans="2:102" x14ac:dyDescent="0.2">
      <c r="B9" s="260">
        <v>18</v>
      </c>
      <c r="C9" s="260" t="s">
        <v>221</v>
      </c>
      <c r="D9" s="260">
        <v>159.6</v>
      </c>
      <c r="E9" s="260">
        <v>165</v>
      </c>
      <c r="F9" s="260">
        <v>0.85629999999999995</v>
      </c>
      <c r="G9" s="260">
        <v>142.5</v>
      </c>
      <c r="H9" s="260">
        <v>157.5</v>
      </c>
      <c r="I9" s="260">
        <v>167.5</v>
      </c>
      <c r="K9" s="260">
        <v>167.5</v>
      </c>
      <c r="L9" s="260">
        <v>72.5</v>
      </c>
      <c r="M9" s="260">
        <v>80</v>
      </c>
      <c r="N9" s="260">
        <v>-85</v>
      </c>
      <c r="P9" s="260">
        <v>80</v>
      </c>
      <c r="Q9" s="260">
        <v>247.5</v>
      </c>
      <c r="R9" s="260">
        <v>132.5</v>
      </c>
      <c r="S9" s="260">
        <v>142.5</v>
      </c>
      <c r="T9" s="260">
        <v>150</v>
      </c>
      <c r="V9" s="260">
        <v>150</v>
      </c>
      <c r="W9" s="261">
        <v>397.5</v>
      </c>
      <c r="X9" s="261">
        <v>340.37924999999996</v>
      </c>
      <c r="Y9" s="261">
        <v>360.80200499999995</v>
      </c>
      <c r="Z9" s="262">
        <v>1</v>
      </c>
      <c r="AA9" s="259" t="s">
        <v>541</v>
      </c>
      <c r="AB9" s="262" t="s">
        <v>612</v>
      </c>
      <c r="AC9" s="260">
        <v>7</v>
      </c>
    </row>
    <row r="10" spans="2:102" x14ac:dyDescent="0.2">
      <c r="B10" s="246">
        <v>16</v>
      </c>
      <c r="C10" s="246" t="s">
        <v>220</v>
      </c>
      <c r="D10" s="246">
        <v>112.8</v>
      </c>
      <c r="E10" s="246">
        <v>114</v>
      </c>
      <c r="F10" s="246">
        <v>1.1212</v>
      </c>
      <c r="G10" s="246">
        <v>142.5</v>
      </c>
      <c r="H10" s="246">
        <v>155</v>
      </c>
      <c r="I10" s="246">
        <v>-162.5</v>
      </c>
      <c r="J10" s="246"/>
      <c r="K10" s="246">
        <v>155</v>
      </c>
      <c r="L10" s="246">
        <v>67.5</v>
      </c>
      <c r="M10" s="246">
        <v>75</v>
      </c>
      <c r="N10" s="246">
        <v>-77.5</v>
      </c>
      <c r="O10" s="246"/>
      <c r="P10" s="246">
        <v>75</v>
      </c>
      <c r="Q10" s="246">
        <v>230</v>
      </c>
      <c r="R10" s="246">
        <v>127.5</v>
      </c>
      <c r="S10" s="246">
        <v>137.5</v>
      </c>
      <c r="T10" s="246">
        <v>142.5</v>
      </c>
      <c r="U10" s="246"/>
      <c r="V10" s="246">
        <v>142.5</v>
      </c>
      <c r="W10" s="247">
        <v>372.5</v>
      </c>
      <c r="X10" s="247">
        <v>417.64699999999999</v>
      </c>
      <c r="Y10" s="247">
        <v>471.94110999999992</v>
      </c>
      <c r="Z10" s="248">
        <v>1</v>
      </c>
      <c r="AA10" s="245" t="s">
        <v>542</v>
      </c>
      <c r="AB10" s="248" t="s">
        <v>608</v>
      </c>
      <c r="AC10" s="246">
        <v>7</v>
      </c>
      <c r="AD10" s="246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  <c r="CC10" s="245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245"/>
      <c r="CU10" s="245"/>
      <c r="CV10" s="245"/>
      <c r="CW10" s="245"/>
      <c r="CX10" s="245"/>
    </row>
    <row r="11" spans="2:102" x14ac:dyDescent="0.2">
      <c r="B11" s="260">
        <v>16</v>
      </c>
      <c r="C11" s="260" t="s">
        <v>220</v>
      </c>
      <c r="D11" s="260">
        <v>108.8</v>
      </c>
      <c r="E11" s="260">
        <v>114</v>
      </c>
      <c r="F11" s="260">
        <v>1.1531</v>
      </c>
      <c r="G11" s="260">
        <v>85</v>
      </c>
      <c r="H11" s="260">
        <v>92.5</v>
      </c>
      <c r="I11" s="260">
        <v>-95</v>
      </c>
      <c r="K11" s="260">
        <v>92.5</v>
      </c>
      <c r="L11" s="260">
        <v>45</v>
      </c>
      <c r="M11" s="260">
        <v>50</v>
      </c>
      <c r="N11" s="260">
        <v>52.5</v>
      </c>
      <c r="P11" s="260">
        <v>52.5</v>
      </c>
      <c r="Q11" s="260">
        <v>145</v>
      </c>
      <c r="R11" s="260">
        <v>92.5</v>
      </c>
      <c r="S11" s="260">
        <v>97.5</v>
      </c>
      <c r="T11" s="260">
        <v>102.5</v>
      </c>
      <c r="V11" s="260">
        <v>102.5</v>
      </c>
      <c r="W11" s="261">
        <v>247.5</v>
      </c>
      <c r="X11" s="261">
        <v>285.39224999999999</v>
      </c>
      <c r="Y11" s="261">
        <v>322.49324249999995</v>
      </c>
      <c r="Z11" s="262">
        <v>1</v>
      </c>
      <c r="AA11" s="259" t="s">
        <v>521</v>
      </c>
      <c r="AB11" s="262" t="s">
        <v>598</v>
      </c>
      <c r="AC11" s="260">
        <v>5</v>
      </c>
    </row>
    <row r="12" spans="2:102" x14ac:dyDescent="0.2">
      <c r="B12" s="260">
        <v>17</v>
      </c>
      <c r="C12" s="260" t="s">
        <v>220</v>
      </c>
      <c r="D12" s="260">
        <v>120</v>
      </c>
      <c r="E12" s="260">
        <v>123</v>
      </c>
      <c r="F12" s="260">
        <v>1.0684</v>
      </c>
      <c r="G12" s="260">
        <v>132.5</v>
      </c>
      <c r="H12" s="260">
        <v>-140</v>
      </c>
      <c r="I12" s="260">
        <v>-140</v>
      </c>
      <c r="K12" s="260">
        <v>132.5</v>
      </c>
      <c r="L12" s="260">
        <v>57.5</v>
      </c>
      <c r="M12" s="260">
        <v>60</v>
      </c>
      <c r="N12" s="260">
        <v>-62.5</v>
      </c>
      <c r="P12" s="260">
        <v>60</v>
      </c>
      <c r="Q12" s="260">
        <v>192.5</v>
      </c>
      <c r="R12" s="260">
        <v>127.5</v>
      </c>
      <c r="S12" s="260">
        <v>-137.5</v>
      </c>
      <c r="T12" s="260">
        <v>-137.5</v>
      </c>
      <c r="V12" s="260">
        <v>127.5</v>
      </c>
      <c r="W12" s="261">
        <v>320</v>
      </c>
      <c r="X12" s="261">
        <v>341.88800000000003</v>
      </c>
      <c r="Y12" s="261">
        <v>369.23904000000005</v>
      </c>
      <c r="Z12" s="262">
        <v>1</v>
      </c>
      <c r="AA12" s="259" t="s">
        <v>538</v>
      </c>
      <c r="AB12" s="262" t="s">
        <v>607</v>
      </c>
      <c r="AC12" s="260">
        <v>7</v>
      </c>
    </row>
    <row r="13" spans="2:102" x14ac:dyDescent="0.2">
      <c r="B13" s="260">
        <v>16</v>
      </c>
      <c r="C13" s="260" t="s">
        <v>220</v>
      </c>
      <c r="D13" s="260">
        <v>131.19999999999999</v>
      </c>
      <c r="E13" s="260">
        <v>132</v>
      </c>
      <c r="F13" s="260">
        <v>0.99424999999999997</v>
      </c>
      <c r="G13" s="260">
        <v>137.5</v>
      </c>
      <c r="H13" s="260">
        <v>147.5</v>
      </c>
      <c r="I13" s="260">
        <v>155</v>
      </c>
      <c r="K13" s="260">
        <v>155</v>
      </c>
      <c r="L13" s="260">
        <v>77.5</v>
      </c>
      <c r="M13" s="260">
        <v>85</v>
      </c>
      <c r="N13" s="260">
        <v>87.5</v>
      </c>
      <c r="P13" s="260">
        <v>87.5</v>
      </c>
      <c r="Q13" s="260">
        <v>242.5</v>
      </c>
      <c r="R13" s="260">
        <v>130</v>
      </c>
      <c r="S13" s="260">
        <v>145</v>
      </c>
      <c r="T13" s="260">
        <v>-150</v>
      </c>
      <c r="V13" s="260">
        <v>145</v>
      </c>
      <c r="W13" s="261">
        <v>387.5</v>
      </c>
      <c r="X13" s="261">
        <v>385.27187499999997</v>
      </c>
      <c r="Y13" s="261">
        <v>435.3572187499999</v>
      </c>
      <c r="Z13" s="262">
        <v>1</v>
      </c>
      <c r="AA13" s="259" t="s">
        <v>540</v>
      </c>
      <c r="AB13" s="262" t="s">
        <v>611</v>
      </c>
      <c r="AC13" s="260">
        <v>7</v>
      </c>
    </row>
    <row r="14" spans="2:102" x14ac:dyDescent="0.2">
      <c r="B14" s="260">
        <v>18</v>
      </c>
      <c r="C14" s="260" t="s">
        <v>220</v>
      </c>
      <c r="D14" s="260">
        <v>129.19999999999999</v>
      </c>
      <c r="E14" s="260">
        <v>132</v>
      </c>
      <c r="F14" s="260">
        <v>1.0065</v>
      </c>
      <c r="G14" s="260">
        <v>130</v>
      </c>
      <c r="H14" s="260">
        <v>142.5</v>
      </c>
      <c r="I14" s="260">
        <v>152.5</v>
      </c>
      <c r="K14" s="260">
        <v>152.5</v>
      </c>
      <c r="L14" s="260">
        <v>-72.5</v>
      </c>
      <c r="M14" s="260">
        <v>72.5</v>
      </c>
      <c r="N14" s="260">
        <v>75</v>
      </c>
      <c r="P14" s="260">
        <v>75</v>
      </c>
      <c r="Q14" s="260">
        <v>227.5</v>
      </c>
      <c r="R14" s="260">
        <v>137.5</v>
      </c>
      <c r="S14" s="260">
        <v>145</v>
      </c>
      <c r="T14" s="260">
        <v>-152.5</v>
      </c>
      <c r="V14" s="260">
        <v>145</v>
      </c>
      <c r="W14" s="261">
        <v>372.5</v>
      </c>
      <c r="X14" s="261">
        <v>374.92124999999999</v>
      </c>
      <c r="Y14" s="261">
        <v>397.41652499999998</v>
      </c>
      <c r="Z14" s="262">
        <v>1</v>
      </c>
      <c r="AA14" s="259" t="s">
        <v>537</v>
      </c>
      <c r="AB14" s="262" t="s">
        <v>614</v>
      </c>
      <c r="AC14" s="260">
        <v>5</v>
      </c>
    </row>
    <row r="15" spans="2:102" x14ac:dyDescent="0.2">
      <c r="B15" s="260">
        <v>17</v>
      </c>
      <c r="C15" s="260" t="s">
        <v>220</v>
      </c>
      <c r="D15" s="260">
        <v>129.19999999999999</v>
      </c>
      <c r="E15" s="260">
        <v>132</v>
      </c>
      <c r="F15" s="260">
        <v>1.0065</v>
      </c>
      <c r="G15" s="260">
        <v>120</v>
      </c>
      <c r="H15" s="260">
        <v>132.5</v>
      </c>
      <c r="I15" s="260">
        <v>137.5</v>
      </c>
      <c r="K15" s="260">
        <v>137.5</v>
      </c>
      <c r="L15" s="260">
        <v>60</v>
      </c>
      <c r="M15" s="260">
        <v>62.5</v>
      </c>
      <c r="N15" s="260">
        <v>65</v>
      </c>
      <c r="P15" s="260">
        <v>65</v>
      </c>
      <c r="Q15" s="260">
        <v>202.5</v>
      </c>
      <c r="R15" s="260">
        <v>135</v>
      </c>
      <c r="S15" s="260">
        <v>-142.5</v>
      </c>
      <c r="T15" s="260">
        <v>142.5</v>
      </c>
      <c r="V15" s="260">
        <v>142.5</v>
      </c>
      <c r="W15" s="261">
        <v>345</v>
      </c>
      <c r="X15" s="261">
        <v>347.24250000000001</v>
      </c>
      <c r="Y15" s="261">
        <v>375.02190000000002</v>
      </c>
      <c r="Z15" s="262">
        <v>1</v>
      </c>
      <c r="AA15" s="259" t="s">
        <v>534</v>
      </c>
      <c r="AB15" s="262" t="s">
        <v>613</v>
      </c>
      <c r="AC15" s="260">
        <v>3</v>
      </c>
    </row>
    <row r="16" spans="2:102" x14ac:dyDescent="0.2">
      <c r="B16" s="260">
        <v>16</v>
      </c>
      <c r="C16" s="260" t="s">
        <v>220</v>
      </c>
      <c r="D16" s="260">
        <v>147.80000000000001</v>
      </c>
      <c r="E16" s="260">
        <v>148</v>
      </c>
      <c r="F16" s="260">
        <v>0.90490000000000004</v>
      </c>
      <c r="G16" s="260">
        <v>135</v>
      </c>
      <c r="H16" s="260">
        <v>-150</v>
      </c>
      <c r="I16" s="260">
        <v>157.5</v>
      </c>
      <c r="K16" s="260">
        <v>157.5</v>
      </c>
      <c r="L16" s="260">
        <v>-45</v>
      </c>
      <c r="M16" s="260">
        <v>-52.5</v>
      </c>
      <c r="N16" s="260">
        <v>52.5</v>
      </c>
      <c r="P16" s="260">
        <v>52.5</v>
      </c>
      <c r="Q16" s="260">
        <v>210</v>
      </c>
      <c r="R16" s="260">
        <v>127.5</v>
      </c>
      <c r="S16" s="260">
        <v>142.5</v>
      </c>
      <c r="T16" s="260">
        <v>157.5</v>
      </c>
      <c r="V16" s="260">
        <v>157.5</v>
      </c>
      <c r="W16" s="261">
        <v>367.5</v>
      </c>
      <c r="X16" s="261">
        <v>332.55074999999999</v>
      </c>
      <c r="Y16" s="261">
        <v>375.78234749999996</v>
      </c>
      <c r="Z16" s="262">
        <v>1</v>
      </c>
      <c r="AA16" s="259" t="s">
        <v>539</v>
      </c>
      <c r="AB16" s="262" t="s">
        <v>609</v>
      </c>
      <c r="AC16" s="260">
        <v>7</v>
      </c>
    </row>
    <row r="17" spans="2:30" x14ac:dyDescent="0.2">
      <c r="B17" s="260">
        <v>17</v>
      </c>
      <c r="C17" s="260" t="s">
        <v>220</v>
      </c>
      <c r="D17" s="260">
        <v>157</v>
      </c>
      <c r="E17" s="260">
        <v>165</v>
      </c>
      <c r="F17" s="260">
        <v>0.86619999999999997</v>
      </c>
      <c r="G17" s="260">
        <v>112.5</v>
      </c>
      <c r="H17" s="260">
        <v>120</v>
      </c>
      <c r="I17" s="260">
        <v>-122.5</v>
      </c>
      <c r="K17" s="260">
        <v>120</v>
      </c>
      <c r="L17" s="260">
        <v>57.5</v>
      </c>
      <c r="M17" s="260">
        <v>-60</v>
      </c>
      <c r="N17" s="260">
        <v>60</v>
      </c>
      <c r="P17" s="260">
        <v>60</v>
      </c>
      <c r="Q17" s="260">
        <v>180</v>
      </c>
      <c r="R17" s="260">
        <v>110</v>
      </c>
      <c r="S17" s="260">
        <v>-117.5</v>
      </c>
      <c r="T17" s="260">
        <v>117.5</v>
      </c>
      <c r="V17" s="260">
        <v>117.5</v>
      </c>
      <c r="W17" s="261">
        <v>297.5</v>
      </c>
      <c r="X17" s="261">
        <v>257.69450000000001</v>
      </c>
      <c r="Y17" s="261">
        <v>278.31006000000002</v>
      </c>
      <c r="Z17" s="262">
        <v>1</v>
      </c>
      <c r="AA17" s="259" t="s">
        <v>531</v>
      </c>
      <c r="AB17" s="262" t="s">
        <v>605</v>
      </c>
      <c r="AC17" s="260">
        <v>7</v>
      </c>
    </row>
    <row r="18" spans="2:30" x14ac:dyDescent="0.2">
      <c r="B18" s="260">
        <v>17</v>
      </c>
      <c r="C18" s="260" t="s">
        <v>220</v>
      </c>
      <c r="D18" s="260">
        <v>171.2</v>
      </c>
      <c r="E18" s="260">
        <v>181</v>
      </c>
      <c r="F18" s="260">
        <v>0.81689999999999996</v>
      </c>
      <c r="G18" s="260">
        <v>-95</v>
      </c>
      <c r="H18" s="260">
        <v>95</v>
      </c>
      <c r="I18" s="260">
        <v>110</v>
      </c>
      <c r="K18" s="260">
        <v>110</v>
      </c>
      <c r="L18" s="260">
        <v>50</v>
      </c>
      <c r="M18" s="260">
        <v>55</v>
      </c>
      <c r="N18" s="260">
        <v>-60</v>
      </c>
      <c r="P18" s="260">
        <v>55</v>
      </c>
      <c r="Q18" s="260">
        <v>165</v>
      </c>
      <c r="R18" s="260">
        <v>97.5</v>
      </c>
      <c r="S18" s="260">
        <v>105</v>
      </c>
      <c r="T18" s="260">
        <v>112.5</v>
      </c>
      <c r="V18" s="260">
        <v>112.5</v>
      </c>
      <c r="W18" s="261">
        <v>277.5</v>
      </c>
      <c r="X18" s="261">
        <v>226.68974999999998</v>
      </c>
      <c r="Y18" s="261">
        <v>244.82492999999999</v>
      </c>
      <c r="Z18" s="262">
        <v>1</v>
      </c>
      <c r="AA18" s="259" t="s">
        <v>523</v>
      </c>
      <c r="AB18" s="262" t="s">
        <v>600</v>
      </c>
      <c r="AC18" s="260">
        <v>7</v>
      </c>
    </row>
    <row r="19" spans="2:30" x14ac:dyDescent="0.2">
      <c r="B19" s="260">
        <v>17</v>
      </c>
      <c r="C19" s="260" t="s">
        <v>220</v>
      </c>
      <c r="D19" s="260">
        <v>178.4</v>
      </c>
      <c r="E19" s="260">
        <v>181</v>
      </c>
      <c r="F19" s="260">
        <v>0.79615000000000002</v>
      </c>
      <c r="G19" s="260">
        <v>87.5</v>
      </c>
      <c r="H19" s="260">
        <v>97.5</v>
      </c>
      <c r="I19" s="260">
        <v>100</v>
      </c>
      <c r="K19" s="260">
        <v>100</v>
      </c>
      <c r="L19" s="260">
        <v>45</v>
      </c>
      <c r="M19" s="260">
        <v>50</v>
      </c>
      <c r="N19" s="260">
        <v>52.5</v>
      </c>
      <c r="P19" s="260">
        <v>52.5</v>
      </c>
      <c r="Q19" s="260">
        <v>152.5</v>
      </c>
      <c r="R19" s="260">
        <v>95</v>
      </c>
      <c r="S19" s="260">
        <v>102.5</v>
      </c>
      <c r="T19" s="260">
        <v>-107.5</v>
      </c>
      <c r="V19" s="260">
        <v>102.5</v>
      </c>
      <c r="W19" s="261">
        <v>255</v>
      </c>
      <c r="X19" s="261">
        <v>203.01824999999999</v>
      </c>
      <c r="Y19" s="261">
        <v>219.25971000000001</v>
      </c>
      <c r="Z19" s="262">
        <v>1</v>
      </c>
      <c r="AA19" s="259" t="s">
        <v>522</v>
      </c>
      <c r="AB19" s="262" t="s">
        <v>599</v>
      </c>
      <c r="AC19" s="260">
        <v>5</v>
      </c>
    </row>
    <row r="20" spans="2:30" x14ac:dyDescent="0.2">
      <c r="B20" s="260">
        <v>14</v>
      </c>
      <c r="C20" s="260" t="s">
        <v>219</v>
      </c>
      <c r="D20" s="260">
        <v>97</v>
      </c>
      <c r="E20" s="260">
        <v>97</v>
      </c>
      <c r="F20" s="260">
        <v>1.258</v>
      </c>
      <c r="G20" s="260">
        <v>100</v>
      </c>
      <c r="H20" s="260">
        <v>107.5</v>
      </c>
      <c r="I20" s="260">
        <v>-112.5</v>
      </c>
      <c r="K20" s="260">
        <v>107.5</v>
      </c>
      <c r="L20" s="260">
        <v>50</v>
      </c>
      <c r="M20" s="260">
        <v>57.5</v>
      </c>
      <c r="N20" s="260">
        <v>-62.5</v>
      </c>
      <c r="P20" s="260">
        <v>57.5</v>
      </c>
      <c r="Q20" s="260">
        <v>165</v>
      </c>
      <c r="R20" s="260">
        <v>90</v>
      </c>
      <c r="S20" s="260">
        <v>-102.5</v>
      </c>
      <c r="T20" s="260">
        <v>102.5</v>
      </c>
      <c r="V20" s="260">
        <v>102.5</v>
      </c>
      <c r="W20" s="261">
        <v>267.5</v>
      </c>
      <c r="X20" s="261">
        <v>336.51499999999999</v>
      </c>
      <c r="Y20" s="261">
        <v>413.91344999999995</v>
      </c>
      <c r="Z20" s="262">
        <v>1</v>
      </c>
      <c r="AA20" s="259" t="s">
        <v>527</v>
      </c>
      <c r="AB20" s="262" t="s">
        <v>597</v>
      </c>
      <c r="AC20" s="260">
        <v>7</v>
      </c>
    </row>
    <row r="21" spans="2:30" x14ac:dyDescent="0.2">
      <c r="B21" s="260">
        <v>14</v>
      </c>
      <c r="C21" s="260" t="s">
        <v>219</v>
      </c>
      <c r="D21" s="260">
        <v>101.2</v>
      </c>
      <c r="E21" s="260">
        <v>105</v>
      </c>
      <c r="F21" s="260">
        <v>1.2195</v>
      </c>
      <c r="G21" s="260">
        <v>97.5</v>
      </c>
      <c r="H21" s="260">
        <v>105</v>
      </c>
      <c r="I21" s="260">
        <v>112.5</v>
      </c>
      <c r="K21" s="260">
        <v>112.5</v>
      </c>
      <c r="L21" s="260">
        <v>50</v>
      </c>
      <c r="M21" s="260">
        <v>57.5</v>
      </c>
      <c r="N21" s="260">
        <v>60</v>
      </c>
      <c r="P21" s="260">
        <v>60</v>
      </c>
      <c r="Q21" s="260">
        <v>172.5</v>
      </c>
      <c r="R21" s="260">
        <v>97.5</v>
      </c>
      <c r="S21" s="260">
        <v>107.5</v>
      </c>
      <c r="T21" s="260">
        <v>117.5</v>
      </c>
      <c r="V21" s="260">
        <v>117.5</v>
      </c>
      <c r="W21" s="261">
        <v>290</v>
      </c>
      <c r="X21" s="261">
        <v>353.65500000000003</v>
      </c>
      <c r="Y21" s="261">
        <v>434.99565000000001</v>
      </c>
      <c r="Z21" s="262">
        <v>1</v>
      </c>
      <c r="AA21" s="259" t="s">
        <v>525</v>
      </c>
      <c r="AB21" s="262" t="s">
        <v>601</v>
      </c>
      <c r="AC21" s="260">
        <v>7</v>
      </c>
    </row>
    <row r="22" spans="2:30" x14ac:dyDescent="0.2">
      <c r="B22" s="260">
        <v>14</v>
      </c>
      <c r="C22" s="260" t="s">
        <v>219</v>
      </c>
      <c r="D22" s="260">
        <v>106.8</v>
      </c>
      <c r="E22" s="260">
        <v>114</v>
      </c>
      <c r="F22" s="260">
        <v>1.1715</v>
      </c>
      <c r="G22" s="260">
        <v>100</v>
      </c>
      <c r="H22" s="260">
        <v>110</v>
      </c>
      <c r="I22" s="260">
        <v>117.5</v>
      </c>
      <c r="K22" s="260">
        <v>117.5</v>
      </c>
      <c r="L22" s="260">
        <v>47.5</v>
      </c>
      <c r="M22" s="260">
        <v>52.5</v>
      </c>
      <c r="N22" s="260">
        <v>55</v>
      </c>
      <c r="P22" s="260">
        <v>55</v>
      </c>
      <c r="Q22" s="260">
        <v>172.5</v>
      </c>
      <c r="R22" s="260">
        <v>100</v>
      </c>
      <c r="S22" s="260">
        <v>110</v>
      </c>
      <c r="T22" s="260">
        <v>-120</v>
      </c>
      <c r="V22" s="260">
        <v>110</v>
      </c>
      <c r="W22" s="261">
        <v>282.5</v>
      </c>
      <c r="X22" s="261">
        <v>330.94875000000002</v>
      </c>
      <c r="Y22" s="261">
        <v>407.06696249999999</v>
      </c>
      <c r="Z22" s="262">
        <v>1</v>
      </c>
      <c r="AA22" s="259" t="s">
        <v>528</v>
      </c>
      <c r="AB22" s="262" t="s">
        <v>603</v>
      </c>
      <c r="AC22" s="260">
        <v>7</v>
      </c>
    </row>
    <row r="23" spans="2:30" x14ac:dyDescent="0.2">
      <c r="B23" s="260">
        <v>15</v>
      </c>
      <c r="C23" s="260" t="s">
        <v>219</v>
      </c>
      <c r="D23" s="260">
        <v>120</v>
      </c>
      <c r="E23" s="260">
        <v>123</v>
      </c>
      <c r="F23" s="260">
        <v>1.0684</v>
      </c>
      <c r="G23" s="260">
        <v>100</v>
      </c>
      <c r="H23" s="260">
        <v>107.5</v>
      </c>
      <c r="I23" s="260">
        <v>115</v>
      </c>
      <c r="K23" s="260">
        <v>115</v>
      </c>
      <c r="L23" s="260">
        <v>45</v>
      </c>
      <c r="M23" s="260">
        <v>50</v>
      </c>
      <c r="N23" s="260">
        <v>-55</v>
      </c>
      <c r="P23" s="260">
        <v>50</v>
      </c>
      <c r="Q23" s="260">
        <v>165</v>
      </c>
      <c r="R23" s="260">
        <v>100</v>
      </c>
      <c r="S23" s="260">
        <v>-110</v>
      </c>
      <c r="T23" s="260">
        <v>-110</v>
      </c>
      <c r="V23" s="260">
        <v>100</v>
      </c>
      <c r="W23" s="261">
        <v>265</v>
      </c>
      <c r="X23" s="261">
        <v>283.12599999999998</v>
      </c>
      <c r="Y23" s="261">
        <v>334.08867999999995</v>
      </c>
      <c r="Z23" s="262">
        <v>1</v>
      </c>
      <c r="AA23" s="259" t="s">
        <v>529</v>
      </c>
      <c r="AB23" s="262" t="s">
        <v>602</v>
      </c>
      <c r="AC23" s="260">
        <v>7</v>
      </c>
    </row>
    <row r="24" spans="2:30" x14ac:dyDescent="0.2">
      <c r="B24" s="260">
        <v>30</v>
      </c>
      <c r="C24" s="260" t="s">
        <v>471</v>
      </c>
      <c r="D24" s="260">
        <v>159.6</v>
      </c>
      <c r="E24" s="260">
        <v>165</v>
      </c>
      <c r="F24" s="260">
        <v>0.85629999999999995</v>
      </c>
      <c r="G24" s="260">
        <v>82.5</v>
      </c>
      <c r="H24" s="260">
        <v>97.5</v>
      </c>
      <c r="I24" s="260">
        <v>-102.5</v>
      </c>
      <c r="K24" s="260">
        <v>97.5</v>
      </c>
      <c r="L24" s="260">
        <v>50</v>
      </c>
      <c r="M24" s="260">
        <v>55</v>
      </c>
      <c r="N24" s="260">
        <v>-60</v>
      </c>
      <c r="P24" s="260">
        <v>55</v>
      </c>
      <c r="Q24" s="260">
        <v>152.5</v>
      </c>
      <c r="R24" s="260">
        <v>102.5</v>
      </c>
      <c r="S24" s="260">
        <v>112.5</v>
      </c>
      <c r="T24" s="260">
        <v>120</v>
      </c>
      <c r="V24" s="260">
        <v>120</v>
      </c>
      <c r="W24" s="261">
        <v>272.5</v>
      </c>
      <c r="X24" s="261">
        <v>233.34174999999999</v>
      </c>
      <c r="Y24" s="261">
        <v>0</v>
      </c>
      <c r="Z24" s="262" t="e">
        <v>#N/A</v>
      </c>
      <c r="AA24" s="259" t="s">
        <v>574</v>
      </c>
      <c r="AB24" s="262">
        <v>0</v>
      </c>
      <c r="AC24" s="260">
        <v>7</v>
      </c>
    </row>
    <row r="25" spans="2:30" x14ac:dyDescent="0.2">
      <c r="B25" s="260">
        <v>61</v>
      </c>
      <c r="C25" s="260" t="s">
        <v>474</v>
      </c>
      <c r="D25" s="260">
        <v>223</v>
      </c>
      <c r="E25" s="260" t="s">
        <v>125</v>
      </c>
      <c r="F25" s="260">
        <v>0.71235000000000004</v>
      </c>
      <c r="G25" s="260">
        <v>-100</v>
      </c>
      <c r="H25" s="260">
        <v>-100</v>
      </c>
      <c r="I25" s="260">
        <v>100</v>
      </c>
      <c r="K25" s="260">
        <v>100</v>
      </c>
      <c r="L25" s="260">
        <v>52.5</v>
      </c>
      <c r="M25" s="260">
        <v>57.5</v>
      </c>
      <c r="N25" s="260">
        <v>-62.5</v>
      </c>
      <c r="P25" s="260">
        <v>57.5</v>
      </c>
      <c r="Q25" s="260">
        <v>157.5</v>
      </c>
      <c r="R25" s="260">
        <v>115</v>
      </c>
      <c r="S25" s="260">
        <v>127.5</v>
      </c>
      <c r="T25" s="260">
        <v>137.5</v>
      </c>
      <c r="V25" s="260">
        <v>137.5</v>
      </c>
      <c r="W25" s="261">
        <v>295</v>
      </c>
      <c r="X25" s="261">
        <v>210.14325000000002</v>
      </c>
      <c r="Y25" s="261">
        <v>287.05567950000005</v>
      </c>
      <c r="Z25" s="262" t="e">
        <v>#N/A</v>
      </c>
      <c r="AA25" s="259" t="s">
        <v>473</v>
      </c>
      <c r="AB25" s="262">
        <v>0</v>
      </c>
      <c r="AC25" s="260">
        <v>7</v>
      </c>
    </row>
    <row r="26" spans="2:30" x14ac:dyDescent="0.2">
      <c r="B26" s="260">
        <v>35</v>
      </c>
      <c r="C26" s="260" t="s">
        <v>481</v>
      </c>
      <c r="D26" s="260">
        <v>146.6</v>
      </c>
      <c r="E26" s="260">
        <v>148</v>
      </c>
      <c r="F26" s="260">
        <v>0.91020000000000001</v>
      </c>
      <c r="G26" s="260">
        <v>112.5</v>
      </c>
      <c r="H26" s="260">
        <v>125</v>
      </c>
      <c r="I26" s="260">
        <v>130</v>
      </c>
      <c r="K26" s="260">
        <v>130</v>
      </c>
      <c r="L26" s="260">
        <v>57.5</v>
      </c>
      <c r="M26" s="260">
        <v>62.5</v>
      </c>
      <c r="N26" s="260">
        <v>65</v>
      </c>
      <c r="P26" s="260">
        <v>65</v>
      </c>
      <c r="Q26" s="260">
        <v>195</v>
      </c>
      <c r="R26" s="260">
        <v>125</v>
      </c>
      <c r="S26" s="260">
        <v>137.5</v>
      </c>
      <c r="T26" s="260">
        <v>142.5</v>
      </c>
      <c r="V26" s="260">
        <v>142.5</v>
      </c>
      <c r="W26" s="261">
        <v>337.5</v>
      </c>
      <c r="X26" s="261">
        <v>307.1925</v>
      </c>
      <c r="Y26" s="261">
        <v>0</v>
      </c>
      <c r="Z26" s="262" t="e">
        <v>#N/A</v>
      </c>
      <c r="AA26" s="259" t="s">
        <v>480</v>
      </c>
      <c r="AB26" s="262">
        <v>0</v>
      </c>
      <c r="AC26" s="260">
        <v>7</v>
      </c>
    </row>
    <row r="27" spans="2:30" x14ac:dyDescent="0.2">
      <c r="B27" s="260">
        <v>45</v>
      </c>
      <c r="C27" s="260" t="s">
        <v>267</v>
      </c>
      <c r="D27" s="260">
        <v>178.5</v>
      </c>
      <c r="E27" s="260">
        <v>181</v>
      </c>
      <c r="F27" s="260">
        <v>0.65234999999999999</v>
      </c>
      <c r="G27" s="260">
        <v>165</v>
      </c>
      <c r="H27" s="260">
        <v>-182.5</v>
      </c>
      <c r="I27" s="260">
        <v>182.5</v>
      </c>
      <c r="K27" s="260">
        <v>182.5</v>
      </c>
      <c r="L27" s="260">
        <v>125</v>
      </c>
      <c r="M27" s="260">
        <v>137.5</v>
      </c>
      <c r="N27" s="260">
        <v>142.5</v>
      </c>
      <c r="P27" s="260">
        <v>142.5</v>
      </c>
      <c r="Q27" s="260">
        <v>325</v>
      </c>
      <c r="R27" s="260">
        <v>215</v>
      </c>
      <c r="S27" s="260">
        <v>227.5</v>
      </c>
      <c r="T27" s="260">
        <v>230</v>
      </c>
      <c r="V27" s="260">
        <v>230</v>
      </c>
      <c r="W27" s="261">
        <v>555</v>
      </c>
      <c r="X27" s="261">
        <v>362.05424999999997</v>
      </c>
      <c r="Y27" s="261">
        <v>381.96723374999993</v>
      </c>
      <c r="Z27" s="262">
        <v>1</v>
      </c>
      <c r="AA27" s="259" t="s">
        <v>492</v>
      </c>
      <c r="AB27" s="262" t="s">
        <v>593</v>
      </c>
      <c r="AC27" s="260">
        <v>7</v>
      </c>
    </row>
    <row r="28" spans="2:30" x14ac:dyDescent="0.2">
      <c r="B28" s="260">
        <v>37</v>
      </c>
      <c r="C28" s="260" t="s">
        <v>265</v>
      </c>
      <c r="D28" s="260">
        <v>192</v>
      </c>
      <c r="E28" s="260">
        <v>198</v>
      </c>
      <c r="F28" s="260">
        <v>0.62339999999999995</v>
      </c>
      <c r="G28" s="260">
        <v>157.5</v>
      </c>
      <c r="H28" s="260">
        <v>170</v>
      </c>
      <c r="I28" s="260">
        <v>-182.5</v>
      </c>
      <c r="K28" s="260">
        <v>170</v>
      </c>
      <c r="L28" s="260">
        <v>125</v>
      </c>
      <c r="M28" s="260">
        <v>-140</v>
      </c>
      <c r="N28" s="260">
        <v>-140</v>
      </c>
      <c r="P28" s="260">
        <v>125</v>
      </c>
      <c r="Q28" s="260">
        <v>295</v>
      </c>
      <c r="R28" s="260">
        <v>217.5</v>
      </c>
      <c r="S28" s="260">
        <v>242.5</v>
      </c>
      <c r="T28" s="260">
        <v>-250</v>
      </c>
      <c r="V28" s="260">
        <v>242.5</v>
      </c>
      <c r="W28" s="261">
        <v>537.5</v>
      </c>
      <c r="X28" s="261">
        <v>335.07749999999999</v>
      </c>
      <c r="Y28" s="261">
        <v>0</v>
      </c>
      <c r="Z28" s="262">
        <v>1</v>
      </c>
      <c r="AA28" s="259" t="s">
        <v>491</v>
      </c>
      <c r="AB28" s="262" t="s">
        <v>595</v>
      </c>
      <c r="AC28" s="260">
        <v>7</v>
      </c>
    </row>
    <row r="29" spans="2:30" x14ac:dyDescent="0.2">
      <c r="B29" s="260">
        <v>30</v>
      </c>
      <c r="C29" s="260" t="s">
        <v>264</v>
      </c>
      <c r="D29" s="260">
        <v>181</v>
      </c>
      <c r="E29" s="260">
        <v>181</v>
      </c>
      <c r="F29" s="260">
        <v>0.64664999999999995</v>
      </c>
      <c r="G29" s="260">
        <v>125</v>
      </c>
      <c r="H29" s="260">
        <v>132.5</v>
      </c>
      <c r="I29" s="260">
        <v>140</v>
      </c>
      <c r="K29" s="260">
        <v>140</v>
      </c>
      <c r="L29" s="260">
        <v>85</v>
      </c>
      <c r="M29" s="260">
        <v>97.5</v>
      </c>
      <c r="N29" s="260">
        <v>102.5</v>
      </c>
      <c r="P29" s="260">
        <v>102.5</v>
      </c>
      <c r="Q29" s="260">
        <v>242.5</v>
      </c>
      <c r="R29" s="260">
        <v>152.5</v>
      </c>
      <c r="S29" s="260">
        <v>175</v>
      </c>
      <c r="T29" s="260">
        <v>185</v>
      </c>
      <c r="V29" s="260">
        <v>185</v>
      </c>
      <c r="W29" s="261">
        <v>427.5</v>
      </c>
      <c r="X29" s="261">
        <v>276.44287499999996</v>
      </c>
      <c r="Y29" s="261">
        <v>0</v>
      </c>
      <c r="Z29" s="262">
        <v>1</v>
      </c>
      <c r="AA29" s="259" t="s">
        <v>483</v>
      </c>
      <c r="AB29" s="262" t="s">
        <v>592</v>
      </c>
      <c r="AC29" s="260">
        <v>7</v>
      </c>
    </row>
    <row r="30" spans="2:30" x14ac:dyDescent="0.2">
      <c r="B30" s="260">
        <v>18</v>
      </c>
      <c r="C30" s="260" t="s">
        <v>264</v>
      </c>
      <c r="D30" s="260">
        <v>175</v>
      </c>
      <c r="E30" s="260">
        <v>181</v>
      </c>
      <c r="F30" s="260">
        <v>0.66120000000000001</v>
      </c>
      <c r="G30" s="260">
        <v>130</v>
      </c>
      <c r="H30" s="260">
        <v>145</v>
      </c>
      <c r="I30" s="260">
        <v>147.5</v>
      </c>
      <c r="K30" s="260">
        <v>147.5</v>
      </c>
      <c r="L30" s="260">
        <v>77.5</v>
      </c>
      <c r="M30" s="260">
        <v>82.5</v>
      </c>
      <c r="N30" s="260">
        <v>85</v>
      </c>
      <c r="P30" s="260">
        <v>85</v>
      </c>
      <c r="Q30" s="260">
        <v>232.5</v>
      </c>
      <c r="R30" s="260">
        <v>147.5</v>
      </c>
      <c r="S30" s="260">
        <v>170</v>
      </c>
      <c r="T30" s="260">
        <v>177.5</v>
      </c>
      <c r="V30" s="260">
        <v>177.5</v>
      </c>
      <c r="W30" s="261">
        <v>410</v>
      </c>
      <c r="X30" s="261">
        <v>271.09199999999998</v>
      </c>
      <c r="Y30" s="261">
        <v>287.35752000000002</v>
      </c>
      <c r="Z30" s="262">
        <v>1</v>
      </c>
      <c r="AA30" s="259" t="s">
        <v>485</v>
      </c>
      <c r="AB30" s="262" t="s">
        <v>590</v>
      </c>
      <c r="AC30" s="260">
        <v>5</v>
      </c>
      <c r="AD30" s="260" t="s">
        <v>487</v>
      </c>
    </row>
    <row r="31" spans="2:30" x14ac:dyDescent="0.2">
      <c r="B31" s="260">
        <v>29</v>
      </c>
      <c r="C31" s="260" t="s">
        <v>264</v>
      </c>
      <c r="D31" s="260">
        <v>192.5</v>
      </c>
      <c r="E31" s="260">
        <v>198</v>
      </c>
      <c r="F31" s="260">
        <v>0.62260000000000004</v>
      </c>
      <c r="G31" s="260">
        <v>215</v>
      </c>
      <c r="H31" s="260">
        <v>227.5</v>
      </c>
      <c r="I31" s="260">
        <v>242.5</v>
      </c>
      <c r="K31" s="260">
        <v>242.5</v>
      </c>
      <c r="L31" s="260">
        <v>140</v>
      </c>
      <c r="M31" s="260">
        <v>150</v>
      </c>
      <c r="N31" s="260">
        <v>160</v>
      </c>
      <c r="P31" s="260">
        <v>160</v>
      </c>
      <c r="Q31" s="260">
        <v>402.5</v>
      </c>
      <c r="R31" s="260">
        <v>260</v>
      </c>
      <c r="S31" s="260">
        <v>272.5</v>
      </c>
      <c r="T31" s="260">
        <v>277.5</v>
      </c>
      <c r="V31" s="260">
        <v>277.5</v>
      </c>
      <c r="W31" s="261">
        <v>680</v>
      </c>
      <c r="X31" s="261">
        <v>423.36800000000005</v>
      </c>
      <c r="Y31" s="261">
        <v>0</v>
      </c>
      <c r="Z31" s="262">
        <v>1</v>
      </c>
      <c r="AA31" s="259" t="s">
        <v>508</v>
      </c>
      <c r="AB31" s="262" t="s">
        <v>596</v>
      </c>
      <c r="AC31" s="260">
        <v>7</v>
      </c>
    </row>
    <row r="32" spans="2:30" x14ac:dyDescent="0.2">
      <c r="B32" s="260">
        <v>37</v>
      </c>
      <c r="C32" s="260" t="s">
        <v>264</v>
      </c>
      <c r="D32" s="260">
        <v>192</v>
      </c>
      <c r="E32" s="260">
        <v>198</v>
      </c>
      <c r="F32" s="260">
        <v>0.62339999999999995</v>
      </c>
      <c r="G32" s="260">
        <v>157.5</v>
      </c>
      <c r="H32" s="260">
        <v>170</v>
      </c>
      <c r="I32" s="260">
        <v>-182.5</v>
      </c>
      <c r="K32" s="260">
        <v>170</v>
      </c>
      <c r="L32" s="260">
        <v>125</v>
      </c>
      <c r="M32" s="260">
        <v>-140</v>
      </c>
      <c r="N32" s="260">
        <v>-140</v>
      </c>
      <c r="P32" s="260">
        <v>125</v>
      </c>
      <c r="Q32" s="260">
        <v>295</v>
      </c>
      <c r="R32" s="260">
        <v>217.5</v>
      </c>
      <c r="S32" s="260">
        <v>242.5</v>
      </c>
      <c r="T32" s="260">
        <v>-250</v>
      </c>
      <c r="V32" s="260">
        <v>242.5</v>
      </c>
      <c r="W32" s="261">
        <v>537.5</v>
      </c>
      <c r="X32" s="261">
        <v>335.07749999999999</v>
      </c>
      <c r="Y32" s="261">
        <v>0</v>
      </c>
      <c r="Z32" s="262">
        <v>1</v>
      </c>
      <c r="AA32" s="259" t="s">
        <v>489</v>
      </c>
      <c r="AB32" s="262" t="s">
        <v>594</v>
      </c>
      <c r="AC32" s="260">
        <v>5</v>
      </c>
    </row>
    <row r="33" spans="2:30" x14ac:dyDescent="0.2">
      <c r="B33" s="260">
        <v>18</v>
      </c>
      <c r="C33" s="260" t="s">
        <v>262</v>
      </c>
      <c r="D33" s="260">
        <v>175</v>
      </c>
      <c r="E33" s="260">
        <v>181</v>
      </c>
      <c r="F33" s="260">
        <v>0.66120000000000001</v>
      </c>
      <c r="G33" s="260">
        <v>130</v>
      </c>
      <c r="H33" s="260">
        <v>145</v>
      </c>
      <c r="I33" s="260">
        <v>147.5</v>
      </c>
      <c r="K33" s="260">
        <v>147.5</v>
      </c>
      <c r="L33" s="260">
        <v>77.5</v>
      </c>
      <c r="M33" s="260">
        <v>82.5</v>
      </c>
      <c r="N33" s="260">
        <v>85</v>
      </c>
      <c r="P33" s="260">
        <v>85</v>
      </c>
      <c r="Q33" s="260">
        <v>232.5</v>
      </c>
      <c r="R33" s="260">
        <v>147.5</v>
      </c>
      <c r="S33" s="260">
        <v>170</v>
      </c>
      <c r="T33" s="260">
        <v>177.5</v>
      </c>
      <c r="V33" s="260">
        <v>177.5</v>
      </c>
      <c r="W33" s="261">
        <v>410</v>
      </c>
      <c r="X33" s="261">
        <v>271.09199999999998</v>
      </c>
      <c r="Y33" s="261">
        <v>287.35752000000002</v>
      </c>
      <c r="Z33" s="262">
        <v>1</v>
      </c>
      <c r="AA33" s="259" t="s">
        <v>488</v>
      </c>
      <c r="AB33" s="262" t="s">
        <v>591</v>
      </c>
      <c r="AC33" s="260">
        <v>7</v>
      </c>
      <c r="AD33" s="260" t="s">
        <v>487</v>
      </c>
    </row>
    <row r="34" spans="2:30" x14ac:dyDescent="0.2">
      <c r="B34" s="260">
        <v>61</v>
      </c>
      <c r="C34" s="260" t="s">
        <v>254</v>
      </c>
      <c r="D34" s="260">
        <v>240</v>
      </c>
      <c r="E34" s="260">
        <v>242</v>
      </c>
      <c r="F34" s="260">
        <v>0.56475000000000009</v>
      </c>
      <c r="G34" s="260">
        <v>290</v>
      </c>
      <c r="H34" s="260">
        <v>320</v>
      </c>
      <c r="I34" s="260">
        <v>-347.5</v>
      </c>
      <c r="K34" s="260">
        <v>320</v>
      </c>
      <c r="L34" s="260">
        <v>210</v>
      </c>
      <c r="M34" s="260">
        <v>-232.5</v>
      </c>
      <c r="N34" s="260">
        <v>-250</v>
      </c>
      <c r="P34" s="260">
        <v>210</v>
      </c>
      <c r="Q34" s="260">
        <v>530</v>
      </c>
      <c r="R34" s="260">
        <v>210</v>
      </c>
      <c r="S34" s="260">
        <v>232.5</v>
      </c>
      <c r="T34" s="260">
        <v>-250</v>
      </c>
      <c r="V34" s="260">
        <v>232.5</v>
      </c>
      <c r="W34" s="261">
        <v>762.5</v>
      </c>
      <c r="X34" s="261">
        <v>430.62187500000005</v>
      </c>
      <c r="Y34" s="261">
        <v>588.22948125000016</v>
      </c>
      <c r="Z34" s="262">
        <v>1</v>
      </c>
      <c r="AA34" s="259" t="s">
        <v>559</v>
      </c>
      <c r="AB34" s="262" t="s">
        <v>582</v>
      </c>
      <c r="AC34" s="260">
        <v>7</v>
      </c>
    </row>
    <row r="35" spans="2:30" x14ac:dyDescent="0.2">
      <c r="B35" s="260">
        <v>27</v>
      </c>
      <c r="C35" s="260" t="s">
        <v>251</v>
      </c>
      <c r="D35" s="260">
        <v>197.2</v>
      </c>
      <c r="E35" s="260">
        <v>198</v>
      </c>
      <c r="F35" s="260">
        <v>0.61414999999999997</v>
      </c>
      <c r="G35" s="260">
        <v>285</v>
      </c>
      <c r="H35" s="260">
        <v>-305</v>
      </c>
      <c r="I35" s="260">
        <v>305</v>
      </c>
      <c r="K35" s="260">
        <v>305</v>
      </c>
      <c r="L35" s="260">
        <v>-215</v>
      </c>
      <c r="M35" s="260">
        <v>222.5</v>
      </c>
      <c r="N35" s="260">
        <v>-237.5</v>
      </c>
      <c r="P35" s="260">
        <v>222.5</v>
      </c>
      <c r="Q35" s="260">
        <v>527.5</v>
      </c>
      <c r="R35" s="260">
        <v>227.5</v>
      </c>
      <c r="S35" s="260">
        <v>260</v>
      </c>
      <c r="T35" s="260">
        <v>-272.5</v>
      </c>
      <c r="V35" s="260">
        <v>260</v>
      </c>
      <c r="W35" s="261">
        <v>787.5</v>
      </c>
      <c r="X35" s="261">
        <v>483.643125</v>
      </c>
      <c r="Y35" s="261">
        <v>0</v>
      </c>
      <c r="Z35" s="262">
        <v>1</v>
      </c>
      <c r="AA35" s="259" t="s">
        <v>557</v>
      </c>
      <c r="AB35" s="262" t="s">
        <v>584</v>
      </c>
      <c r="AC35" s="260">
        <v>7</v>
      </c>
    </row>
    <row r="36" spans="2:30" s="245" customFormat="1" ht="30" customHeight="1" x14ac:dyDescent="0.2">
      <c r="B36" s="246">
        <v>28</v>
      </c>
      <c r="C36" s="246" t="s">
        <v>251</v>
      </c>
      <c r="D36" s="246">
        <v>212.8</v>
      </c>
      <c r="E36" s="246">
        <v>220</v>
      </c>
      <c r="F36" s="246">
        <v>0.59050000000000002</v>
      </c>
      <c r="G36" s="246">
        <v>250</v>
      </c>
      <c r="H36" s="246">
        <v>-255</v>
      </c>
      <c r="I36" s="246">
        <v>-255</v>
      </c>
      <c r="J36" s="246"/>
      <c r="K36" s="246">
        <v>250</v>
      </c>
      <c r="L36" s="246">
        <v>220</v>
      </c>
      <c r="M36" s="246">
        <v>-227.5</v>
      </c>
      <c r="N36" s="246">
        <v>245</v>
      </c>
      <c r="O36" s="246"/>
      <c r="P36" s="246">
        <v>245</v>
      </c>
      <c r="Q36" s="246">
        <v>495</v>
      </c>
      <c r="R36" s="246">
        <v>205</v>
      </c>
      <c r="S36" s="246">
        <v>230</v>
      </c>
      <c r="T36" s="246">
        <v>-240</v>
      </c>
      <c r="U36" s="246"/>
      <c r="V36" s="246">
        <v>230</v>
      </c>
      <c r="W36" s="247">
        <v>725</v>
      </c>
      <c r="X36" s="247">
        <v>428.11250000000001</v>
      </c>
      <c r="Y36" s="247">
        <v>0</v>
      </c>
      <c r="Z36" s="248">
        <v>1</v>
      </c>
      <c r="AA36" s="245" t="s">
        <v>555</v>
      </c>
      <c r="AB36" s="248" t="s">
        <v>581</v>
      </c>
      <c r="AC36" s="246">
        <v>7</v>
      </c>
      <c r="AD36" s="246"/>
    </row>
    <row r="37" spans="2:30" x14ac:dyDescent="0.2">
      <c r="B37" s="260">
        <v>22</v>
      </c>
      <c r="C37" s="260" t="s">
        <v>251</v>
      </c>
      <c r="D37" s="260">
        <v>272</v>
      </c>
      <c r="E37" s="260">
        <v>275</v>
      </c>
      <c r="F37" s="260">
        <v>0.54730000000000001</v>
      </c>
      <c r="G37" s="260">
        <v>365</v>
      </c>
      <c r="H37" s="260">
        <v>-385</v>
      </c>
      <c r="I37" s="260">
        <v>-385</v>
      </c>
      <c r="K37" s="260">
        <v>365</v>
      </c>
      <c r="L37" s="260">
        <v>240</v>
      </c>
      <c r="M37" s="260">
        <v>-252.5</v>
      </c>
      <c r="N37" s="260">
        <v>260</v>
      </c>
      <c r="P37" s="260">
        <v>260</v>
      </c>
      <c r="Q37" s="260">
        <v>625</v>
      </c>
      <c r="R37" s="260">
        <v>-305</v>
      </c>
      <c r="S37" s="260">
        <v>322.5</v>
      </c>
      <c r="T37" s="260">
        <v>330</v>
      </c>
      <c r="V37" s="260">
        <v>330</v>
      </c>
      <c r="W37" s="261">
        <v>955</v>
      </c>
      <c r="X37" s="261">
        <v>522.67150000000004</v>
      </c>
      <c r="Y37" s="261">
        <v>527.89821500000005</v>
      </c>
      <c r="Z37" s="262">
        <v>1</v>
      </c>
      <c r="AA37" s="259" t="s">
        <v>562</v>
      </c>
      <c r="AB37" s="262" t="s">
        <v>586</v>
      </c>
      <c r="AC37" s="260">
        <v>7</v>
      </c>
    </row>
    <row r="38" spans="2:30" x14ac:dyDescent="0.2">
      <c r="B38" s="260">
        <v>21</v>
      </c>
      <c r="C38" s="260" t="s">
        <v>212</v>
      </c>
      <c r="D38" s="260">
        <v>210.5</v>
      </c>
      <c r="E38" s="260">
        <v>220</v>
      </c>
      <c r="F38" s="260">
        <v>0.59345000000000003</v>
      </c>
      <c r="G38" s="260">
        <v>335</v>
      </c>
      <c r="H38" s="260">
        <v>355</v>
      </c>
      <c r="I38" s="260">
        <v>367.5</v>
      </c>
      <c r="K38" s="260">
        <v>367.5</v>
      </c>
      <c r="L38" s="260">
        <v>227.5</v>
      </c>
      <c r="M38" s="260">
        <v>-242.5</v>
      </c>
      <c r="N38" s="260">
        <v>250</v>
      </c>
      <c r="P38" s="260">
        <v>250</v>
      </c>
      <c r="Q38" s="260">
        <v>617.5</v>
      </c>
      <c r="R38" s="260">
        <v>320</v>
      </c>
      <c r="S38" s="260">
        <v>-340</v>
      </c>
      <c r="T38" s="260">
        <v>-340</v>
      </c>
      <c r="V38" s="260">
        <v>320</v>
      </c>
      <c r="W38" s="261">
        <v>937.5</v>
      </c>
      <c r="X38" s="261">
        <v>556.359375</v>
      </c>
      <c r="Y38" s="261">
        <v>567.48656249999999</v>
      </c>
      <c r="Z38" s="262">
        <v>1</v>
      </c>
      <c r="AA38" s="259" t="s">
        <v>561</v>
      </c>
      <c r="AB38" s="262" t="s">
        <v>587</v>
      </c>
      <c r="AC38" s="260">
        <v>7</v>
      </c>
    </row>
    <row r="39" spans="2:30" x14ac:dyDescent="0.2">
      <c r="B39" s="260">
        <v>17</v>
      </c>
      <c r="C39" s="260" t="s">
        <v>214</v>
      </c>
      <c r="D39" s="260">
        <v>151.5</v>
      </c>
      <c r="E39" s="260">
        <v>165</v>
      </c>
      <c r="F39" s="260">
        <v>0.73744999999999994</v>
      </c>
      <c r="G39" s="260">
        <v>-250</v>
      </c>
      <c r="H39" s="260">
        <v>-250</v>
      </c>
      <c r="I39" s="260">
        <v>250</v>
      </c>
      <c r="K39" s="260">
        <v>250</v>
      </c>
      <c r="L39" s="260">
        <v>145</v>
      </c>
      <c r="M39" s="260">
        <v>-155</v>
      </c>
      <c r="N39" s="260">
        <v>-155</v>
      </c>
      <c r="P39" s="260">
        <v>145</v>
      </c>
      <c r="Q39" s="260">
        <v>395</v>
      </c>
      <c r="R39" s="260">
        <v>227.5</v>
      </c>
      <c r="S39" s="260">
        <v>250</v>
      </c>
      <c r="T39" s="260">
        <v>260</v>
      </c>
      <c r="V39" s="260">
        <v>260</v>
      </c>
      <c r="W39" s="261">
        <v>655</v>
      </c>
      <c r="X39" s="261">
        <v>483.02974999999998</v>
      </c>
      <c r="Y39" s="261">
        <v>521.67213000000004</v>
      </c>
      <c r="Z39" s="262">
        <v>1</v>
      </c>
      <c r="AA39" s="259" t="s">
        <v>554</v>
      </c>
      <c r="AB39" s="262" t="s">
        <v>583</v>
      </c>
      <c r="AC39" s="260">
        <v>7</v>
      </c>
    </row>
    <row r="40" spans="2:30" x14ac:dyDescent="0.2">
      <c r="B40" s="260">
        <v>16</v>
      </c>
      <c r="C40" s="260" t="s">
        <v>214</v>
      </c>
      <c r="D40" s="260">
        <v>208.5</v>
      </c>
      <c r="E40" s="260">
        <v>220</v>
      </c>
      <c r="F40" s="260">
        <v>0.59614999999999996</v>
      </c>
      <c r="G40" s="260">
        <v>227.5</v>
      </c>
      <c r="H40" s="260">
        <v>245</v>
      </c>
      <c r="I40" s="260">
        <v>-260</v>
      </c>
      <c r="K40" s="260">
        <v>245</v>
      </c>
      <c r="L40" s="260">
        <v>155</v>
      </c>
      <c r="M40" s="260">
        <v>-160</v>
      </c>
      <c r="N40" s="260">
        <v>160</v>
      </c>
      <c r="P40" s="260">
        <v>160</v>
      </c>
      <c r="Q40" s="260">
        <v>405</v>
      </c>
      <c r="R40" s="260">
        <v>242.5</v>
      </c>
      <c r="S40" s="260">
        <v>260</v>
      </c>
      <c r="T40" s="260">
        <v>275</v>
      </c>
      <c r="V40" s="260">
        <v>275</v>
      </c>
      <c r="W40" s="261">
        <v>680</v>
      </c>
      <c r="X40" s="261">
        <v>405.38199999999995</v>
      </c>
      <c r="Y40" s="261">
        <v>458.08165999999989</v>
      </c>
      <c r="Z40" s="262">
        <v>1</v>
      </c>
      <c r="AA40" s="259" t="s">
        <v>552</v>
      </c>
      <c r="AB40" s="262" t="s">
        <v>585</v>
      </c>
      <c r="AC40" s="260">
        <v>7</v>
      </c>
    </row>
    <row r="41" spans="2:30" x14ac:dyDescent="0.2">
      <c r="B41" s="260">
        <v>16</v>
      </c>
      <c r="C41" s="260" t="s">
        <v>214</v>
      </c>
      <c r="D41" s="260">
        <v>229</v>
      </c>
      <c r="E41" s="260">
        <v>242</v>
      </c>
      <c r="F41" s="260">
        <v>0.57374999999999998</v>
      </c>
      <c r="G41" s="260">
        <v>272.5</v>
      </c>
      <c r="H41" s="260">
        <v>290</v>
      </c>
      <c r="I41" s="260">
        <v>300</v>
      </c>
      <c r="K41" s="260">
        <v>300</v>
      </c>
      <c r="L41" s="260">
        <v>140</v>
      </c>
      <c r="M41" s="260">
        <v>157.5</v>
      </c>
      <c r="N41" s="260">
        <v>162.5</v>
      </c>
      <c r="P41" s="260">
        <v>162.5</v>
      </c>
      <c r="Q41" s="260">
        <v>462.5</v>
      </c>
      <c r="R41" s="260">
        <v>-210</v>
      </c>
      <c r="S41" s="260">
        <v>-215</v>
      </c>
      <c r="T41" s="260">
        <v>215</v>
      </c>
      <c r="V41" s="260">
        <v>215</v>
      </c>
      <c r="W41" s="261">
        <v>677.5</v>
      </c>
      <c r="X41" s="261">
        <v>388.71562499999999</v>
      </c>
      <c r="Y41" s="261">
        <v>439.24865624999995</v>
      </c>
      <c r="Z41" s="262">
        <v>1</v>
      </c>
      <c r="AA41" s="259" t="s">
        <v>553</v>
      </c>
      <c r="AB41" s="262" t="s">
        <v>579</v>
      </c>
      <c r="AC41" s="260">
        <v>7</v>
      </c>
    </row>
    <row r="42" spans="2:30" x14ac:dyDescent="0.2">
      <c r="B42" s="260">
        <v>15</v>
      </c>
      <c r="C42" s="260" t="s">
        <v>213</v>
      </c>
      <c r="D42" s="260">
        <v>113.5</v>
      </c>
      <c r="E42" s="260">
        <v>114</v>
      </c>
      <c r="F42" s="260">
        <v>0.9768</v>
      </c>
      <c r="G42" s="260">
        <v>137.5</v>
      </c>
      <c r="H42" s="260">
        <v>150</v>
      </c>
      <c r="I42" s="260">
        <v>-162.5</v>
      </c>
      <c r="K42" s="260">
        <v>150</v>
      </c>
      <c r="L42" s="260">
        <v>90</v>
      </c>
      <c r="M42" s="260">
        <v>97.5</v>
      </c>
      <c r="N42" s="260">
        <v>102.5</v>
      </c>
      <c r="P42" s="260">
        <v>102.5</v>
      </c>
      <c r="Q42" s="260">
        <v>252.5</v>
      </c>
      <c r="R42" s="260">
        <v>140</v>
      </c>
      <c r="S42" s="260">
        <v>150</v>
      </c>
      <c r="T42" s="260">
        <v>160</v>
      </c>
      <c r="V42" s="260">
        <v>160</v>
      </c>
      <c r="W42" s="261">
        <v>412.5</v>
      </c>
      <c r="X42" s="261">
        <v>402.93</v>
      </c>
      <c r="Y42" s="261">
        <v>475.45740000000001</v>
      </c>
      <c r="Z42" s="262">
        <v>1</v>
      </c>
      <c r="AA42" s="259" t="s">
        <v>550</v>
      </c>
      <c r="AB42" s="262" t="s">
        <v>578</v>
      </c>
      <c r="AC42" s="260">
        <v>7</v>
      </c>
    </row>
    <row r="43" spans="2:30" x14ac:dyDescent="0.2">
      <c r="B43" s="260">
        <v>14</v>
      </c>
      <c r="C43" s="260" t="s">
        <v>213</v>
      </c>
      <c r="D43" s="260">
        <v>112</v>
      </c>
      <c r="E43" s="260">
        <v>114</v>
      </c>
      <c r="F43" s="260">
        <v>0.9919</v>
      </c>
      <c r="G43" s="260">
        <v>87.5</v>
      </c>
      <c r="H43" s="260">
        <v>-97.5</v>
      </c>
      <c r="I43" s="260">
        <v>97.5</v>
      </c>
      <c r="K43" s="260">
        <v>97.5</v>
      </c>
      <c r="L43" s="260">
        <v>50</v>
      </c>
      <c r="M43" s="260">
        <v>-55</v>
      </c>
      <c r="N43" s="260">
        <v>55</v>
      </c>
      <c r="P43" s="260">
        <v>55</v>
      </c>
      <c r="Q43" s="260">
        <v>152.5</v>
      </c>
      <c r="R43" s="260">
        <v>112.5</v>
      </c>
      <c r="S43" s="260">
        <v>120</v>
      </c>
      <c r="T43" s="260">
        <v>-130</v>
      </c>
      <c r="V43" s="260">
        <v>120</v>
      </c>
      <c r="W43" s="261">
        <v>272.5</v>
      </c>
      <c r="X43" s="261">
        <v>270.29275000000001</v>
      </c>
      <c r="Y43" s="261">
        <v>332.4600825</v>
      </c>
      <c r="Z43" s="262">
        <v>1</v>
      </c>
      <c r="AA43" s="259" t="s">
        <v>549</v>
      </c>
      <c r="AB43" s="262" t="s">
        <v>577</v>
      </c>
      <c r="AC43" s="260">
        <v>5</v>
      </c>
    </row>
    <row r="44" spans="2:30" x14ac:dyDescent="0.2">
      <c r="B44" s="260">
        <v>15</v>
      </c>
      <c r="C44" s="260" t="s">
        <v>213</v>
      </c>
      <c r="D44" s="260">
        <v>180.7</v>
      </c>
      <c r="E44" s="260">
        <v>181</v>
      </c>
      <c r="F44" s="260">
        <v>0.64715</v>
      </c>
      <c r="G44" s="260">
        <v>210</v>
      </c>
      <c r="H44" s="260">
        <v>222.5</v>
      </c>
      <c r="I44" s="260">
        <v>-232.5</v>
      </c>
      <c r="K44" s="260">
        <v>222.5</v>
      </c>
      <c r="L44" s="260">
        <v>115</v>
      </c>
      <c r="M44" s="260">
        <v>122.5</v>
      </c>
      <c r="N44" s="260">
        <v>137.5</v>
      </c>
      <c r="P44" s="260">
        <v>137.5</v>
      </c>
      <c r="Q44" s="260">
        <v>360</v>
      </c>
      <c r="R44" s="260">
        <v>205</v>
      </c>
      <c r="S44" s="260">
        <v>220</v>
      </c>
      <c r="T44" s="260">
        <v>227.5</v>
      </c>
      <c r="V44" s="260">
        <v>227.5</v>
      </c>
      <c r="W44" s="261">
        <v>587.5</v>
      </c>
      <c r="X44" s="261">
        <v>380.200625</v>
      </c>
      <c r="Y44" s="261">
        <v>448.63673749999998</v>
      </c>
      <c r="Z44" s="262">
        <v>1</v>
      </c>
      <c r="AA44" s="259" t="s">
        <v>551</v>
      </c>
      <c r="AB44" s="262" t="s">
        <v>580</v>
      </c>
      <c r="AC44" s="260">
        <v>7</v>
      </c>
    </row>
    <row r="45" spans="2:30" x14ac:dyDescent="0.2">
      <c r="B45" s="260">
        <v>41</v>
      </c>
      <c r="C45" s="260" t="s">
        <v>517</v>
      </c>
      <c r="D45" s="260">
        <v>254.5</v>
      </c>
      <c r="E45" s="260">
        <v>275</v>
      </c>
      <c r="F45" s="260">
        <v>0.55574999999999997</v>
      </c>
      <c r="G45" s="260">
        <v>250</v>
      </c>
      <c r="H45" s="260">
        <v>275</v>
      </c>
      <c r="I45" s="260">
        <v>-290</v>
      </c>
      <c r="K45" s="260">
        <v>275</v>
      </c>
      <c r="L45" s="260">
        <v>185</v>
      </c>
      <c r="M45" s="260">
        <v>195</v>
      </c>
      <c r="N45" s="260">
        <v>212.5</v>
      </c>
      <c r="P45" s="260">
        <v>212.5</v>
      </c>
      <c r="Q45" s="260">
        <v>487.5</v>
      </c>
      <c r="R45" s="260">
        <v>150</v>
      </c>
      <c r="S45" s="260">
        <v>160</v>
      </c>
      <c r="T45" s="260">
        <v>185</v>
      </c>
      <c r="V45" s="260">
        <v>185</v>
      </c>
      <c r="W45" s="261">
        <v>672.5</v>
      </c>
      <c r="X45" s="261">
        <v>373.74187499999999</v>
      </c>
      <c r="Y45" s="261">
        <v>377.47929375000001</v>
      </c>
      <c r="Z45" s="262" t="e">
        <v>#N/A</v>
      </c>
      <c r="AA45" s="259" t="s">
        <v>516</v>
      </c>
      <c r="AB45" s="262">
        <v>0</v>
      </c>
      <c r="AC45" s="260">
        <v>7</v>
      </c>
    </row>
    <row r="46" spans="2:30" x14ac:dyDescent="0.2">
      <c r="B46" s="260">
        <v>41</v>
      </c>
      <c r="C46" s="260" t="s">
        <v>505</v>
      </c>
      <c r="D46" s="260">
        <v>254.4</v>
      </c>
      <c r="E46" s="260">
        <v>275</v>
      </c>
      <c r="F46" s="260">
        <v>0.55574999999999997</v>
      </c>
      <c r="G46" s="260">
        <v>250</v>
      </c>
      <c r="H46" s="260">
        <v>275</v>
      </c>
      <c r="I46" s="260">
        <v>-290</v>
      </c>
      <c r="K46" s="260">
        <v>275</v>
      </c>
      <c r="L46" s="260">
        <v>185</v>
      </c>
      <c r="M46" s="260">
        <v>195</v>
      </c>
      <c r="N46" s="260">
        <v>212.5</v>
      </c>
      <c r="P46" s="260">
        <v>212.5</v>
      </c>
      <c r="Q46" s="260">
        <v>487.5</v>
      </c>
      <c r="R46" s="260">
        <v>150</v>
      </c>
      <c r="S46" s="260">
        <v>160</v>
      </c>
      <c r="T46" s="260">
        <v>185</v>
      </c>
      <c r="V46" s="260">
        <v>185</v>
      </c>
      <c r="W46" s="261">
        <v>672.5</v>
      </c>
      <c r="X46" s="261">
        <v>373.74187499999999</v>
      </c>
      <c r="Y46" s="261">
        <v>377.47929375000001</v>
      </c>
      <c r="Z46" s="262" t="e">
        <v>#N/A</v>
      </c>
      <c r="AA46" s="259" t="s">
        <v>515</v>
      </c>
      <c r="AB46" s="262">
        <v>0</v>
      </c>
      <c r="AC46" s="260">
        <v>7</v>
      </c>
    </row>
    <row r="47" spans="2:30" x14ac:dyDescent="0.2">
      <c r="B47" s="260">
        <v>38</v>
      </c>
      <c r="C47" s="260" t="s">
        <v>498</v>
      </c>
      <c r="D47" s="260">
        <v>213</v>
      </c>
      <c r="E47" s="260">
        <v>220</v>
      </c>
      <c r="F47" s="260">
        <v>0.59019999999999995</v>
      </c>
      <c r="G47" s="260">
        <v>182.5</v>
      </c>
      <c r="H47" s="260">
        <v>200</v>
      </c>
      <c r="I47" s="260">
        <v>-215</v>
      </c>
      <c r="K47" s="260">
        <v>200</v>
      </c>
      <c r="L47" s="260">
        <v>102.5</v>
      </c>
      <c r="M47" s="260">
        <v>120</v>
      </c>
      <c r="N47" s="260">
        <v>-127.5</v>
      </c>
      <c r="P47" s="260">
        <v>120</v>
      </c>
      <c r="Q47" s="260">
        <v>320</v>
      </c>
      <c r="R47" s="260">
        <v>165</v>
      </c>
      <c r="S47" s="260">
        <v>-182.5</v>
      </c>
      <c r="T47" s="260">
        <v>182.5</v>
      </c>
      <c r="V47" s="260">
        <v>182.5</v>
      </c>
      <c r="W47" s="261">
        <v>502.5</v>
      </c>
      <c r="X47" s="261">
        <v>296.57549999999998</v>
      </c>
      <c r="Y47" s="261">
        <v>0</v>
      </c>
      <c r="Z47" s="262" t="e">
        <v>#N/A</v>
      </c>
      <c r="AA47" s="259" t="s">
        <v>497</v>
      </c>
      <c r="AB47" s="262">
        <v>0</v>
      </c>
      <c r="AC47" s="260">
        <v>7</v>
      </c>
    </row>
    <row r="48" spans="2:30" x14ac:dyDescent="0.2">
      <c r="B48" s="260">
        <v>59</v>
      </c>
      <c r="C48" s="260" t="s">
        <v>501</v>
      </c>
      <c r="D48" s="260">
        <v>214.2</v>
      </c>
      <c r="E48" s="260">
        <v>220</v>
      </c>
      <c r="F48" s="260">
        <v>0.58855000000000002</v>
      </c>
      <c r="G48" s="260">
        <v>192.5</v>
      </c>
      <c r="H48" s="260">
        <v>205</v>
      </c>
      <c r="I48" s="260">
        <v>220</v>
      </c>
      <c r="K48" s="260">
        <v>220</v>
      </c>
      <c r="L48" s="260">
        <v>175</v>
      </c>
      <c r="M48" s="260">
        <v>-182.5</v>
      </c>
      <c r="P48" s="260">
        <v>175</v>
      </c>
      <c r="Q48" s="260">
        <v>395</v>
      </c>
      <c r="R48" s="260">
        <v>205</v>
      </c>
      <c r="S48" s="260">
        <v>220</v>
      </c>
      <c r="T48" s="260">
        <v>-227.5</v>
      </c>
      <c r="V48" s="260">
        <v>220</v>
      </c>
      <c r="W48" s="261">
        <v>615</v>
      </c>
      <c r="X48" s="261">
        <v>361.95825000000002</v>
      </c>
      <c r="Y48" s="261">
        <v>475.97509875000003</v>
      </c>
      <c r="Z48" s="262" t="e">
        <v>#N/A</v>
      </c>
      <c r="AA48" s="259" t="s">
        <v>500</v>
      </c>
      <c r="AB48" s="262">
        <v>0</v>
      </c>
      <c r="AC48" s="260">
        <v>7</v>
      </c>
    </row>
    <row r="49" spans="2:102" x14ac:dyDescent="0.2">
      <c r="B49" s="260">
        <v>20</v>
      </c>
      <c r="C49" s="260" t="s">
        <v>495</v>
      </c>
      <c r="D49" s="260">
        <v>235.5</v>
      </c>
      <c r="E49" s="260">
        <v>242</v>
      </c>
      <c r="F49" s="260">
        <v>0.56745000000000001</v>
      </c>
      <c r="G49" s="260">
        <v>175</v>
      </c>
      <c r="H49" s="260">
        <v>185</v>
      </c>
      <c r="I49" s="260">
        <v>190</v>
      </c>
      <c r="K49" s="260">
        <v>190</v>
      </c>
      <c r="L49" s="260">
        <v>122.5</v>
      </c>
      <c r="M49" s="260">
        <v>132.5</v>
      </c>
      <c r="N49" s="260">
        <v>-140</v>
      </c>
      <c r="P49" s="260">
        <v>132.5</v>
      </c>
      <c r="Q49" s="260">
        <v>322.5</v>
      </c>
      <c r="R49" s="260">
        <v>205</v>
      </c>
      <c r="S49" s="260">
        <v>215</v>
      </c>
      <c r="T49" s="260">
        <v>227.5</v>
      </c>
      <c r="V49" s="260">
        <v>227.5</v>
      </c>
      <c r="W49" s="261">
        <v>550</v>
      </c>
      <c r="X49" s="261">
        <v>312.09750000000003</v>
      </c>
      <c r="Y49" s="261">
        <v>321.46042500000004</v>
      </c>
      <c r="Z49" s="262" t="e">
        <v>#N/A</v>
      </c>
      <c r="AA49" s="259" t="s">
        <v>494</v>
      </c>
      <c r="AB49" s="262">
        <v>0</v>
      </c>
      <c r="AC49" s="260">
        <v>7</v>
      </c>
    </row>
    <row r="50" spans="2:102" x14ac:dyDescent="0.2">
      <c r="B50" s="246">
        <v>27</v>
      </c>
      <c r="C50" s="246" t="s">
        <v>505</v>
      </c>
      <c r="D50" s="246">
        <v>238</v>
      </c>
      <c r="E50" s="246">
        <v>242</v>
      </c>
      <c r="F50" s="246">
        <v>0.5655</v>
      </c>
      <c r="G50" s="246">
        <v>220</v>
      </c>
      <c r="H50" s="246">
        <v>-235</v>
      </c>
      <c r="I50" s="246">
        <v>235</v>
      </c>
      <c r="J50" s="246"/>
      <c r="K50" s="246">
        <v>235</v>
      </c>
      <c r="L50" s="246">
        <v>167.5</v>
      </c>
      <c r="M50" s="246">
        <v>175</v>
      </c>
      <c r="N50" s="246">
        <v>-182.5</v>
      </c>
      <c r="O50" s="246"/>
      <c r="P50" s="246">
        <v>175</v>
      </c>
      <c r="Q50" s="246">
        <v>410</v>
      </c>
      <c r="R50" s="246">
        <v>230</v>
      </c>
      <c r="S50" s="246">
        <v>245</v>
      </c>
      <c r="T50" s="246">
        <v>-257.5</v>
      </c>
      <c r="U50" s="246"/>
      <c r="V50" s="246">
        <v>245</v>
      </c>
      <c r="W50" s="247">
        <v>655</v>
      </c>
      <c r="X50" s="247">
        <v>370.40249999999997</v>
      </c>
      <c r="Y50" s="247">
        <v>0</v>
      </c>
      <c r="Z50" s="248" t="e">
        <v>#N/A</v>
      </c>
      <c r="AA50" s="245" t="s">
        <v>510</v>
      </c>
      <c r="AB50" s="248">
        <v>0</v>
      </c>
      <c r="AC50" s="246">
        <v>7</v>
      </c>
      <c r="AD50" s="246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5"/>
      <c r="BN50" s="245"/>
      <c r="BO50" s="245"/>
      <c r="BP50" s="245"/>
      <c r="BQ50" s="245"/>
      <c r="BR50" s="245"/>
      <c r="BS50" s="245"/>
      <c r="BT50" s="245"/>
      <c r="BU50" s="245"/>
      <c r="BV50" s="245"/>
      <c r="BW50" s="245"/>
      <c r="BX50" s="245"/>
      <c r="BY50" s="245"/>
      <c r="BZ50" s="245"/>
      <c r="CA50" s="245"/>
      <c r="CB50" s="245"/>
      <c r="CC50" s="245"/>
      <c r="CD50" s="245"/>
      <c r="CE50" s="245"/>
      <c r="CF50" s="245"/>
      <c r="CG50" s="245"/>
      <c r="CH50" s="245"/>
      <c r="CI50" s="245"/>
      <c r="CJ50" s="245"/>
      <c r="CK50" s="245"/>
      <c r="CL50" s="245"/>
      <c r="CM50" s="245"/>
      <c r="CN50" s="245"/>
      <c r="CO50" s="245"/>
      <c r="CP50" s="245"/>
      <c r="CQ50" s="245"/>
      <c r="CR50" s="245"/>
      <c r="CS50" s="245"/>
      <c r="CT50" s="245"/>
      <c r="CU50" s="245"/>
      <c r="CV50" s="245"/>
      <c r="CW50" s="245"/>
      <c r="CX50" s="245"/>
    </row>
    <row r="51" spans="2:102" x14ac:dyDescent="0.2">
      <c r="B51" s="260">
        <v>26</v>
      </c>
      <c r="C51" s="260" t="s">
        <v>505</v>
      </c>
      <c r="D51" s="260">
        <v>177.6</v>
      </c>
      <c r="E51" s="260">
        <v>181</v>
      </c>
      <c r="F51" s="260">
        <v>0.65449999999999997</v>
      </c>
      <c r="G51" s="260">
        <v>-192.5</v>
      </c>
      <c r="H51" s="260">
        <v>200</v>
      </c>
      <c r="I51" s="260">
        <v>227.5</v>
      </c>
      <c r="K51" s="260">
        <v>227.5</v>
      </c>
      <c r="L51" s="260">
        <v>130</v>
      </c>
      <c r="M51" s="260">
        <v>-150</v>
      </c>
      <c r="N51" s="260">
        <v>-150</v>
      </c>
      <c r="P51" s="260">
        <v>130</v>
      </c>
      <c r="Q51" s="260">
        <v>357.5</v>
      </c>
      <c r="R51" s="260">
        <v>232.5</v>
      </c>
      <c r="S51" s="260">
        <v>250</v>
      </c>
      <c r="T51" s="260">
        <v>-260</v>
      </c>
      <c r="V51" s="260">
        <v>250</v>
      </c>
      <c r="W51" s="261">
        <v>607.5</v>
      </c>
      <c r="X51" s="261">
        <v>397.60874999999999</v>
      </c>
      <c r="Y51" s="261">
        <v>0</v>
      </c>
      <c r="Z51" s="262" t="e">
        <v>#N/A</v>
      </c>
      <c r="AA51" s="259" t="s">
        <v>504</v>
      </c>
      <c r="AB51" s="262">
        <v>0</v>
      </c>
      <c r="AC51" s="260">
        <v>7</v>
      </c>
    </row>
    <row r="52" spans="2:102" x14ac:dyDescent="0.2">
      <c r="B52" s="260">
        <v>46</v>
      </c>
      <c r="C52" s="260" t="s">
        <v>513</v>
      </c>
      <c r="D52" s="260">
        <v>237.4</v>
      </c>
      <c r="E52" s="260">
        <v>242</v>
      </c>
      <c r="F52" s="260">
        <v>0.56594999999999995</v>
      </c>
      <c r="G52" s="260">
        <v>240</v>
      </c>
      <c r="H52" s="260">
        <v>-250</v>
      </c>
      <c r="I52" s="260">
        <v>-257.5</v>
      </c>
      <c r="K52" s="260">
        <v>240</v>
      </c>
      <c r="L52" s="260">
        <v>65</v>
      </c>
      <c r="P52" s="260">
        <v>65</v>
      </c>
      <c r="Q52" s="260">
        <v>305</v>
      </c>
      <c r="R52" s="260">
        <v>252.5</v>
      </c>
      <c r="S52" s="260">
        <v>265</v>
      </c>
      <c r="V52" s="260">
        <v>265</v>
      </c>
      <c r="W52" s="261">
        <v>570</v>
      </c>
      <c r="X52" s="261">
        <v>322.5915</v>
      </c>
      <c r="Y52" s="261">
        <v>344.52772200000004</v>
      </c>
      <c r="Z52" s="262" t="e">
        <v>#N/A</v>
      </c>
      <c r="AA52" s="259" t="s">
        <v>512</v>
      </c>
      <c r="AB52" s="262">
        <v>0</v>
      </c>
      <c r="AC52" s="260">
        <v>7</v>
      </c>
    </row>
    <row r="53" spans="2:102" x14ac:dyDescent="0.2">
      <c r="B53" s="260">
        <v>25</v>
      </c>
      <c r="C53" s="260" t="s">
        <v>505</v>
      </c>
      <c r="D53" s="260">
        <v>258.5</v>
      </c>
      <c r="E53" s="260">
        <v>275</v>
      </c>
      <c r="F53" s="260">
        <v>0.55374999999999996</v>
      </c>
      <c r="G53" s="260">
        <v>227.5</v>
      </c>
      <c r="H53" s="260">
        <v>247.5</v>
      </c>
      <c r="I53" s="260">
        <v>-265</v>
      </c>
      <c r="K53" s="260">
        <v>247.5</v>
      </c>
      <c r="L53" s="260">
        <v>130</v>
      </c>
      <c r="M53" s="260">
        <v>137.5</v>
      </c>
      <c r="N53" s="260">
        <v>-142.5</v>
      </c>
      <c r="P53" s="260">
        <v>137.5</v>
      </c>
      <c r="Q53" s="260">
        <v>385</v>
      </c>
      <c r="R53" s="260">
        <v>260</v>
      </c>
      <c r="S53" s="260">
        <v>-272.5</v>
      </c>
      <c r="T53" s="260">
        <v>-272.5</v>
      </c>
      <c r="V53" s="260">
        <v>260</v>
      </c>
      <c r="W53" s="261">
        <v>645</v>
      </c>
      <c r="X53" s="261">
        <v>357.16874999999999</v>
      </c>
      <c r="Y53" s="261">
        <v>0</v>
      </c>
      <c r="Z53" s="262" t="e">
        <v>#N/A</v>
      </c>
      <c r="AA53" s="259" t="s">
        <v>511</v>
      </c>
      <c r="AB53" s="262">
        <v>0</v>
      </c>
      <c r="AC53" s="260">
        <v>7</v>
      </c>
    </row>
    <row r="54" spans="2:102" x14ac:dyDescent="0.2">
      <c r="B54" s="260">
        <v>52</v>
      </c>
      <c r="C54" s="260" t="s">
        <v>507</v>
      </c>
      <c r="D54" s="260">
        <v>288</v>
      </c>
      <c r="E54" s="260">
        <v>308</v>
      </c>
      <c r="F54" s="260">
        <v>0.53964999999999996</v>
      </c>
      <c r="G54" s="260">
        <v>205</v>
      </c>
      <c r="H54" s="260">
        <v>-230</v>
      </c>
      <c r="I54" s="260">
        <v>230</v>
      </c>
      <c r="K54" s="260">
        <v>230</v>
      </c>
      <c r="L54" s="260">
        <v>145</v>
      </c>
      <c r="M54" s="260">
        <v>160</v>
      </c>
      <c r="N54" s="260">
        <v>-170</v>
      </c>
      <c r="P54" s="260">
        <v>160</v>
      </c>
      <c r="Q54" s="260">
        <v>390</v>
      </c>
      <c r="R54" s="260">
        <v>295</v>
      </c>
      <c r="S54" s="260">
        <v>330</v>
      </c>
      <c r="V54" s="260">
        <v>330</v>
      </c>
      <c r="W54" s="261">
        <v>720</v>
      </c>
      <c r="X54" s="261">
        <v>388.548</v>
      </c>
      <c r="Y54" s="261">
        <v>452.65842000000004</v>
      </c>
      <c r="Z54" s="262" t="e">
        <v>#N/A</v>
      </c>
      <c r="AA54" s="259" t="s">
        <v>506</v>
      </c>
      <c r="AB54" s="262">
        <v>0</v>
      </c>
      <c r="AC54" s="260">
        <v>7</v>
      </c>
    </row>
    <row r="55" spans="2:102" s="245" customFormat="1" ht="30" customHeight="1" x14ac:dyDescent="0.2"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1"/>
      <c r="X55" s="261"/>
      <c r="Y55" s="261"/>
      <c r="Z55" s="262"/>
      <c r="AA55" s="259"/>
      <c r="AB55" s="262"/>
      <c r="AC55" s="260"/>
      <c r="AD55" s="260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259"/>
      <c r="AT55" s="259"/>
      <c r="AU55" s="259"/>
      <c r="AV55" s="259"/>
      <c r="AW55" s="259"/>
      <c r="AX55" s="259"/>
      <c r="AY55" s="259"/>
      <c r="AZ55" s="259"/>
      <c r="BA55" s="259"/>
      <c r="BB55" s="259"/>
      <c r="BC55" s="259"/>
      <c r="BD55" s="259"/>
      <c r="BE55" s="259"/>
      <c r="BF55" s="259"/>
      <c r="BG55" s="259"/>
      <c r="BH55" s="259"/>
      <c r="BI55" s="259"/>
      <c r="BJ55" s="259"/>
      <c r="BK55" s="259"/>
      <c r="BL55" s="259"/>
      <c r="BM55" s="259"/>
      <c r="BN55" s="259"/>
      <c r="BO55" s="259"/>
      <c r="BP55" s="259"/>
      <c r="BQ55" s="259"/>
      <c r="BR55" s="259"/>
      <c r="BS55" s="259"/>
      <c r="BT55" s="259"/>
      <c r="BU55" s="259"/>
      <c r="BV55" s="259"/>
      <c r="BW55" s="259"/>
      <c r="BX55" s="259"/>
      <c r="BY55" s="259"/>
      <c r="BZ55" s="259"/>
      <c r="CA55" s="259"/>
      <c r="CB55" s="259"/>
      <c r="CC55" s="259"/>
      <c r="CD55" s="259"/>
      <c r="CE55" s="259"/>
      <c r="CF55" s="259"/>
      <c r="CG55" s="259"/>
      <c r="CH55" s="259"/>
      <c r="CI55" s="259"/>
      <c r="CJ55" s="259"/>
      <c r="CK55" s="259"/>
      <c r="CL55" s="259"/>
      <c r="CM55" s="259"/>
      <c r="CN55" s="259"/>
      <c r="CO55" s="259"/>
      <c r="CP55" s="259"/>
      <c r="CQ55" s="259"/>
      <c r="CR55" s="259"/>
      <c r="CS55" s="259"/>
      <c r="CT55" s="259"/>
      <c r="CU55" s="259"/>
      <c r="CV55" s="259"/>
      <c r="CW55" s="259"/>
      <c r="CX55" s="259"/>
    </row>
    <row r="56" spans="2:102" s="245" customFormat="1" ht="30" customHeight="1" thickBot="1" x14ac:dyDescent="0.25">
      <c r="B56" s="245" t="s">
        <v>617</v>
      </c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7"/>
      <c r="X56" s="247"/>
      <c r="Y56" s="247"/>
      <c r="Z56" s="248"/>
      <c r="AA56" s="249"/>
      <c r="AB56" s="248"/>
      <c r="AC56" s="246"/>
      <c r="AD56" s="246"/>
    </row>
    <row r="57" spans="2:102" ht="48" thickBot="1" x14ac:dyDescent="0.25">
      <c r="B57" s="251" t="s">
        <v>1</v>
      </c>
      <c r="C57" s="252" t="s">
        <v>29</v>
      </c>
      <c r="D57" s="252" t="s">
        <v>208</v>
      </c>
      <c r="E57" s="252" t="s">
        <v>576</v>
      </c>
      <c r="F57" s="253" t="s">
        <v>217</v>
      </c>
      <c r="G57" s="252" t="s">
        <v>22</v>
      </c>
      <c r="H57" s="252" t="s">
        <v>23</v>
      </c>
      <c r="I57" s="252" t="s">
        <v>24</v>
      </c>
      <c r="J57" s="252" t="s">
        <v>25</v>
      </c>
      <c r="K57" s="252" t="s">
        <v>11</v>
      </c>
      <c r="L57" s="252" t="s">
        <v>12</v>
      </c>
      <c r="M57" s="252" t="s">
        <v>13</v>
      </c>
      <c r="N57" s="252" t="s">
        <v>14</v>
      </c>
      <c r="O57" s="252" t="s">
        <v>157</v>
      </c>
      <c r="P57" s="252" t="s">
        <v>15</v>
      </c>
      <c r="Q57" s="252" t="s">
        <v>16</v>
      </c>
      <c r="R57" s="252" t="s">
        <v>17</v>
      </c>
      <c r="S57" s="252" t="s">
        <v>18</v>
      </c>
      <c r="T57" s="252" t="s">
        <v>19</v>
      </c>
      <c r="U57" s="252" t="s">
        <v>20</v>
      </c>
      <c r="V57" s="252" t="s">
        <v>21</v>
      </c>
      <c r="W57" s="254" t="s">
        <v>69</v>
      </c>
      <c r="X57" s="255" t="s">
        <v>134</v>
      </c>
      <c r="Y57" s="255" t="s">
        <v>139</v>
      </c>
      <c r="Z57" s="256" t="s">
        <v>180</v>
      </c>
      <c r="AA57" s="257" t="s">
        <v>0</v>
      </c>
      <c r="AB57" s="256" t="s">
        <v>31</v>
      </c>
      <c r="AC57" s="252" t="s">
        <v>181</v>
      </c>
      <c r="AD57" s="258" t="s">
        <v>45</v>
      </c>
    </row>
    <row r="58" spans="2:102" x14ac:dyDescent="0.2">
      <c r="B58" s="260">
        <v>62</v>
      </c>
      <c r="C58" s="260" t="s">
        <v>245</v>
      </c>
      <c r="D58" s="260">
        <v>161.4</v>
      </c>
      <c r="E58" s="260">
        <v>165</v>
      </c>
      <c r="F58" s="260">
        <v>0.84989999999999999</v>
      </c>
      <c r="G58" s="260">
        <v>236.99450000000002</v>
      </c>
      <c r="H58" s="260">
        <v>253.52900000000002</v>
      </c>
      <c r="I58" s="260">
        <v>270.06350000000003</v>
      </c>
      <c r="J58" s="260">
        <v>0</v>
      </c>
      <c r="K58" s="260">
        <v>270.06350000000003</v>
      </c>
      <c r="L58" s="260">
        <v>126.76450000000001</v>
      </c>
      <c r="M58" s="260">
        <v>137.78749999999999</v>
      </c>
      <c r="N58" s="260">
        <v>143.29900000000001</v>
      </c>
      <c r="O58" s="260">
        <v>0</v>
      </c>
      <c r="P58" s="260">
        <v>143.29900000000001</v>
      </c>
      <c r="Q58" s="260">
        <v>413.36250000000001</v>
      </c>
      <c r="R58" s="260">
        <v>314.15550000000002</v>
      </c>
      <c r="S58" s="260">
        <v>336.20150000000001</v>
      </c>
      <c r="T58" s="260">
        <v>-341.71300000000002</v>
      </c>
      <c r="U58" s="260">
        <v>0</v>
      </c>
      <c r="V58" s="260">
        <v>336.20150000000001</v>
      </c>
      <c r="W58" s="261">
        <v>749.56400000000008</v>
      </c>
      <c r="X58" s="261">
        <v>288.96600000000001</v>
      </c>
      <c r="Y58" s="261">
        <v>402.52963800000003</v>
      </c>
      <c r="Z58" s="262">
        <v>1</v>
      </c>
      <c r="AA58" s="259" t="s">
        <v>478</v>
      </c>
      <c r="AB58" s="262" t="s">
        <v>589</v>
      </c>
      <c r="AC58" s="260">
        <v>7</v>
      </c>
    </row>
    <row r="59" spans="2:102" x14ac:dyDescent="0.2">
      <c r="B59" s="260">
        <v>26</v>
      </c>
      <c r="C59" s="260" t="s">
        <v>239</v>
      </c>
      <c r="D59" s="260">
        <v>129.6</v>
      </c>
      <c r="E59" s="260">
        <v>132</v>
      </c>
      <c r="F59" s="260">
        <v>1.0037</v>
      </c>
      <c r="G59" s="260">
        <v>231.483</v>
      </c>
      <c r="H59" s="260">
        <v>242.506</v>
      </c>
      <c r="I59" s="260">
        <v>259.04050000000001</v>
      </c>
      <c r="J59" s="260">
        <v>0</v>
      </c>
      <c r="K59" s="260">
        <v>259.04050000000001</v>
      </c>
      <c r="L59" s="260">
        <v>132.27600000000001</v>
      </c>
      <c r="M59" s="260">
        <v>143.29900000000001</v>
      </c>
      <c r="N59" s="260">
        <v>159.83350000000002</v>
      </c>
      <c r="O59" s="260">
        <v>0</v>
      </c>
      <c r="P59" s="260">
        <v>159.83350000000002</v>
      </c>
      <c r="Q59" s="260">
        <v>418.87400000000002</v>
      </c>
      <c r="R59" s="260">
        <v>270.06350000000003</v>
      </c>
      <c r="S59" s="260">
        <v>292.10950000000003</v>
      </c>
      <c r="T59" s="260">
        <v>-303.13249999999999</v>
      </c>
      <c r="U59" s="260">
        <v>0</v>
      </c>
      <c r="V59" s="260">
        <v>292.10950000000003</v>
      </c>
      <c r="W59" s="261">
        <v>710.98350000000005</v>
      </c>
      <c r="X59" s="261">
        <v>323.69325000000003</v>
      </c>
      <c r="Y59" s="261">
        <v>0</v>
      </c>
      <c r="Z59" s="262">
        <v>1</v>
      </c>
      <c r="AA59" s="259" t="s">
        <v>476</v>
      </c>
      <c r="AB59" s="262" t="s">
        <v>588</v>
      </c>
      <c r="AC59" s="260">
        <v>7</v>
      </c>
    </row>
    <row r="60" spans="2:102" x14ac:dyDescent="0.2">
      <c r="B60" s="260">
        <v>35</v>
      </c>
      <c r="C60" s="260" t="s">
        <v>224</v>
      </c>
      <c r="D60" s="260">
        <v>111.4</v>
      </c>
      <c r="E60" s="260">
        <v>114</v>
      </c>
      <c r="F60" s="260">
        <v>1.1334</v>
      </c>
      <c r="G60" s="260">
        <v>253.52900000000002</v>
      </c>
      <c r="H60" s="260">
        <v>286.59800000000001</v>
      </c>
      <c r="I60" s="260">
        <v>-303.13249999999999</v>
      </c>
      <c r="J60" s="260">
        <v>0</v>
      </c>
      <c r="K60" s="260">
        <v>286.59800000000001</v>
      </c>
      <c r="L60" s="260">
        <v>115.7415</v>
      </c>
      <c r="M60" s="260">
        <v>-126.76450000000001</v>
      </c>
      <c r="N60" s="260">
        <v>-126.76450000000001</v>
      </c>
      <c r="O60" s="260">
        <v>0</v>
      </c>
      <c r="P60" s="260">
        <v>115.7415</v>
      </c>
      <c r="Q60" s="260">
        <v>402.33950000000004</v>
      </c>
      <c r="R60" s="260">
        <v>275.57499999999999</v>
      </c>
      <c r="S60" s="260">
        <v>303.13249999999999</v>
      </c>
      <c r="T60" s="260">
        <v>-314.15550000000002</v>
      </c>
      <c r="U60" s="260">
        <v>0</v>
      </c>
      <c r="V60" s="260">
        <v>303.13249999999999</v>
      </c>
      <c r="W60" s="261">
        <v>705.47199999999998</v>
      </c>
      <c r="X60" s="261">
        <v>362.68799999999999</v>
      </c>
      <c r="Y60" s="261">
        <v>0</v>
      </c>
      <c r="Z60" s="262">
        <v>1</v>
      </c>
      <c r="AA60" s="259" t="s">
        <v>568</v>
      </c>
      <c r="AB60" s="262" t="s">
        <v>606</v>
      </c>
      <c r="AC60" s="260">
        <v>7</v>
      </c>
    </row>
    <row r="61" spans="2:102" x14ac:dyDescent="0.2">
      <c r="B61" s="260">
        <v>31</v>
      </c>
      <c r="C61" s="260" t="s">
        <v>223</v>
      </c>
      <c r="D61" s="260">
        <v>100.4</v>
      </c>
      <c r="E61" s="260">
        <v>105</v>
      </c>
      <c r="F61" s="260">
        <v>1.2275</v>
      </c>
      <c r="G61" s="260">
        <v>-275.57499999999999</v>
      </c>
      <c r="H61" s="260">
        <v>275.57499999999999</v>
      </c>
      <c r="I61" s="260">
        <v>-303.13249999999999</v>
      </c>
      <c r="J61" s="260">
        <v>0</v>
      </c>
      <c r="K61" s="260">
        <v>275.57499999999999</v>
      </c>
      <c r="L61" s="260">
        <v>154.322</v>
      </c>
      <c r="M61" s="260">
        <v>165.345</v>
      </c>
      <c r="N61" s="260">
        <v>-176.36799999999999</v>
      </c>
      <c r="O61" s="260">
        <v>0</v>
      </c>
      <c r="P61" s="260">
        <v>165.345</v>
      </c>
      <c r="Q61" s="260">
        <v>440.92</v>
      </c>
      <c r="R61" s="260">
        <v>236.99450000000002</v>
      </c>
      <c r="S61" s="260">
        <v>259.04050000000001</v>
      </c>
      <c r="T61" s="260">
        <v>275.57499999999999</v>
      </c>
      <c r="U61" s="260">
        <v>0</v>
      </c>
      <c r="V61" s="260">
        <v>275.57499999999999</v>
      </c>
      <c r="W61" s="261">
        <v>716.495</v>
      </c>
      <c r="X61" s="261">
        <v>398.9375</v>
      </c>
      <c r="Y61" s="261">
        <v>0</v>
      </c>
      <c r="Z61" s="262">
        <v>1</v>
      </c>
      <c r="AA61" s="259" t="s">
        <v>535</v>
      </c>
      <c r="AB61" s="262" t="s">
        <v>604</v>
      </c>
      <c r="AC61" s="260">
        <v>7</v>
      </c>
    </row>
    <row r="62" spans="2:102" x14ac:dyDescent="0.2">
      <c r="B62" s="260">
        <v>25</v>
      </c>
      <c r="C62" s="260" t="s">
        <v>223</v>
      </c>
      <c r="D62" s="260">
        <v>146.19999999999999</v>
      </c>
      <c r="E62" s="260">
        <v>148</v>
      </c>
      <c r="F62" s="260">
        <v>0.91234999999999999</v>
      </c>
      <c r="G62" s="260">
        <v>358.2475</v>
      </c>
      <c r="H62" s="260">
        <v>391.31650000000002</v>
      </c>
      <c r="I62" s="260">
        <v>407.851</v>
      </c>
      <c r="J62" s="260">
        <v>0</v>
      </c>
      <c r="K62" s="260">
        <v>407.851</v>
      </c>
      <c r="L62" s="260">
        <v>181.87950000000001</v>
      </c>
      <c r="M62" s="260">
        <v>-214.94850000000002</v>
      </c>
      <c r="N62" s="260">
        <v>214.94850000000002</v>
      </c>
      <c r="O62" s="260">
        <v>0</v>
      </c>
      <c r="P62" s="260">
        <v>214.94850000000002</v>
      </c>
      <c r="Q62" s="260">
        <v>622.79950000000008</v>
      </c>
      <c r="R62" s="260">
        <v>336.20150000000001</v>
      </c>
      <c r="S62" s="260">
        <v>363.75900000000001</v>
      </c>
      <c r="T62" s="260">
        <v>380.29349999999999</v>
      </c>
      <c r="U62" s="260">
        <v>0</v>
      </c>
      <c r="V62" s="260">
        <v>380.29349999999999</v>
      </c>
      <c r="W62" s="261">
        <v>1003.0930000000001</v>
      </c>
      <c r="X62" s="261">
        <v>415.11925000000002</v>
      </c>
      <c r="Y62" s="261">
        <v>0</v>
      </c>
      <c r="Z62" s="262">
        <v>1</v>
      </c>
      <c r="AA62" s="259" t="s">
        <v>567</v>
      </c>
      <c r="AB62" s="262" t="s">
        <v>615</v>
      </c>
      <c r="AC62" s="260">
        <v>7</v>
      </c>
    </row>
    <row r="63" spans="2:102" x14ac:dyDescent="0.2">
      <c r="B63" s="260">
        <v>18</v>
      </c>
      <c r="C63" s="260" t="s">
        <v>221</v>
      </c>
      <c r="D63" s="260">
        <v>144.80000000000001</v>
      </c>
      <c r="E63" s="260">
        <v>148</v>
      </c>
      <c r="F63" s="260">
        <v>0.91884999999999994</v>
      </c>
      <c r="G63" s="260">
        <v>314.15550000000002</v>
      </c>
      <c r="H63" s="260">
        <v>347.22450000000003</v>
      </c>
      <c r="I63" s="260">
        <v>363.75900000000001</v>
      </c>
      <c r="J63" s="260">
        <v>0</v>
      </c>
      <c r="K63" s="260">
        <v>363.75900000000001</v>
      </c>
      <c r="L63" s="260">
        <v>165.345</v>
      </c>
      <c r="M63" s="260">
        <v>-181.87950000000001</v>
      </c>
      <c r="N63" s="260">
        <v>181.87950000000001</v>
      </c>
      <c r="O63" s="260">
        <v>0</v>
      </c>
      <c r="P63" s="260">
        <v>181.87950000000001</v>
      </c>
      <c r="Q63" s="260">
        <v>545.63850000000002</v>
      </c>
      <c r="R63" s="260">
        <v>286.59800000000001</v>
      </c>
      <c r="S63" s="260">
        <v>308.64400000000001</v>
      </c>
      <c r="T63" s="260">
        <v>-314.15550000000002</v>
      </c>
      <c r="U63" s="260">
        <v>0</v>
      </c>
      <c r="V63" s="260">
        <v>308.64400000000001</v>
      </c>
      <c r="W63" s="261">
        <v>854.28250000000003</v>
      </c>
      <c r="X63" s="261">
        <v>356.05437499999999</v>
      </c>
      <c r="Y63" s="261">
        <v>377.41763750000001</v>
      </c>
      <c r="Z63" s="262">
        <v>1</v>
      </c>
      <c r="AA63" s="259" t="s">
        <v>544</v>
      </c>
      <c r="AB63" s="262" t="s">
        <v>610</v>
      </c>
      <c r="AC63" s="260">
        <v>7</v>
      </c>
    </row>
    <row r="64" spans="2:102" x14ac:dyDescent="0.2">
      <c r="B64" s="260">
        <v>18</v>
      </c>
      <c r="C64" s="260" t="s">
        <v>221</v>
      </c>
      <c r="D64" s="260">
        <v>159.6</v>
      </c>
      <c r="E64" s="260">
        <v>165</v>
      </c>
      <c r="F64" s="260">
        <v>0.85629999999999995</v>
      </c>
      <c r="G64" s="260">
        <v>314.15550000000002</v>
      </c>
      <c r="H64" s="260">
        <v>347.22450000000003</v>
      </c>
      <c r="I64" s="260">
        <v>369.27050000000003</v>
      </c>
      <c r="J64" s="260">
        <v>0</v>
      </c>
      <c r="K64" s="260">
        <v>369.27050000000003</v>
      </c>
      <c r="L64" s="260">
        <v>159.83350000000002</v>
      </c>
      <c r="M64" s="260">
        <v>176.36799999999999</v>
      </c>
      <c r="N64" s="260">
        <v>-187.39100000000002</v>
      </c>
      <c r="O64" s="260">
        <v>0</v>
      </c>
      <c r="P64" s="260">
        <v>176.36799999999999</v>
      </c>
      <c r="Q64" s="260">
        <v>545.63850000000002</v>
      </c>
      <c r="R64" s="260">
        <v>292.10950000000003</v>
      </c>
      <c r="S64" s="260">
        <v>314.15550000000002</v>
      </c>
      <c r="T64" s="260">
        <v>330.69</v>
      </c>
      <c r="U64" s="260">
        <v>0</v>
      </c>
      <c r="V64" s="260">
        <v>330.69</v>
      </c>
      <c r="W64" s="261">
        <v>876.32850000000008</v>
      </c>
      <c r="X64" s="261">
        <v>340.37924999999996</v>
      </c>
      <c r="Y64" s="261">
        <v>360.80200499999995</v>
      </c>
      <c r="Z64" s="262">
        <v>1</v>
      </c>
      <c r="AA64" s="259" t="s">
        <v>541</v>
      </c>
      <c r="AB64" s="262" t="s">
        <v>612</v>
      </c>
      <c r="AC64" s="260">
        <v>7</v>
      </c>
    </row>
    <row r="65" spans="2:30" x14ac:dyDescent="0.2">
      <c r="B65" s="246">
        <v>16</v>
      </c>
      <c r="C65" s="246" t="s">
        <v>220</v>
      </c>
      <c r="D65" s="246">
        <v>112.8</v>
      </c>
      <c r="E65" s="246">
        <v>114</v>
      </c>
      <c r="F65" s="246">
        <v>1.1212</v>
      </c>
      <c r="G65" s="246">
        <v>314.15550000000002</v>
      </c>
      <c r="H65" s="246">
        <v>341.71300000000002</v>
      </c>
      <c r="I65" s="246">
        <v>-358.2475</v>
      </c>
      <c r="J65" s="246">
        <v>0</v>
      </c>
      <c r="K65" s="246">
        <v>341.71300000000002</v>
      </c>
      <c r="L65" s="246">
        <v>148.81050000000002</v>
      </c>
      <c r="M65" s="246">
        <v>165.345</v>
      </c>
      <c r="N65" s="246">
        <v>-170.85650000000001</v>
      </c>
      <c r="O65" s="246">
        <v>0</v>
      </c>
      <c r="P65" s="246">
        <v>165.345</v>
      </c>
      <c r="Q65" s="246">
        <v>507.05800000000005</v>
      </c>
      <c r="R65" s="246">
        <v>281.0865</v>
      </c>
      <c r="S65" s="246">
        <v>303.13249999999999</v>
      </c>
      <c r="T65" s="246">
        <v>314.15550000000002</v>
      </c>
      <c r="U65" s="246">
        <v>0</v>
      </c>
      <c r="V65" s="246">
        <v>314.15550000000002</v>
      </c>
      <c r="W65" s="247">
        <v>821.21350000000007</v>
      </c>
      <c r="X65" s="247">
        <v>417.64699999999999</v>
      </c>
      <c r="Y65" s="247">
        <v>471.94110999999992</v>
      </c>
      <c r="Z65" s="248">
        <v>1</v>
      </c>
      <c r="AA65" s="245" t="s">
        <v>542</v>
      </c>
      <c r="AB65" s="248" t="s">
        <v>608</v>
      </c>
      <c r="AC65" s="246">
        <v>7</v>
      </c>
      <c r="AD65" s="246"/>
    </row>
    <row r="66" spans="2:30" x14ac:dyDescent="0.2">
      <c r="B66" s="260">
        <v>16</v>
      </c>
      <c r="C66" s="260" t="s">
        <v>220</v>
      </c>
      <c r="D66" s="260">
        <v>108.8</v>
      </c>
      <c r="E66" s="260">
        <v>114</v>
      </c>
      <c r="F66" s="260">
        <v>1.1531</v>
      </c>
      <c r="G66" s="260">
        <v>187.39100000000002</v>
      </c>
      <c r="H66" s="260">
        <v>203.9255</v>
      </c>
      <c r="I66" s="260">
        <v>-209.43700000000001</v>
      </c>
      <c r="J66" s="260">
        <v>0</v>
      </c>
      <c r="K66" s="260">
        <v>203.9255</v>
      </c>
      <c r="L66" s="260">
        <v>99.207000000000008</v>
      </c>
      <c r="M66" s="260">
        <v>110.23</v>
      </c>
      <c r="N66" s="260">
        <v>115.7415</v>
      </c>
      <c r="O66" s="260">
        <v>0</v>
      </c>
      <c r="P66" s="260">
        <v>115.7415</v>
      </c>
      <c r="Q66" s="260">
        <v>319.66700000000003</v>
      </c>
      <c r="R66" s="260">
        <v>203.9255</v>
      </c>
      <c r="S66" s="260">
        <v>214.94850000000002</v>
      </c>
      <c r="T66" s="260">
        <v>225.97150000000002</v>
      </c>
      <c r="U66" s="260">
        <v>0</v>
      </c>
      <c r="V66" s="260">
        <v>225.97150000000002</v>
      </c>
      <c r="W66" s="261">
        <v>545.63850000000002</v>
      </c>
      <c r="X66" s="261">
        <v>285.39224999999999</v>
      </c>
      <c r="Y66" s="261">
        <v>322.49324249999995</v>
      </c>
      <c r="Z66" s="262">
        <v>1</v>
      </c>
      <c r="AA66" s="259" t="s">
        <v>521</v>
      </c>
      <c r="AB66" s="262" t="s">
        <v>598</v>
      </c>
      <c r="AC66" s="260">
        <v>5</v>
      </c>
    </row>
    <row r="67" spans="2:30" x14ac:dyDescent="0.2">
      <c r="B67" s="260">
        <v>17</v>
      </c>
      <c r="C67" s="260" t="s">
        <v>220</v>
      </c>
      <c r="D67" s="260">
        <v>120</v>
      </c>
      <c r="E67" s="260">
        <v>123</v>
      </c>
      <c r="F67" s="260">
        <v>1.0684</v>
      </c>
      <c r="G67" s="260">
        <v>292.10950000000003</v>
      </c>
      <c r="H67" s="260">
        <v>-308.64400000000001</v>
      </c>
      <c r="I67" s="260">
        <v>-308.64400000000001</v>
      </c>
      <c r="J67" s="260">
        <v>0</v>
      </c>
      <c r="K67" s="260">
        <v>292.10950000000003</v>
      </c>
      <c r="L67" s="260">
        <v>126.76450000000001</v>
      </c>
      <c r="M67" s="260">
        <v>132.27600000000001</v>
      </c>
      <c r="N67" s="260">
        <v>-137.78749999999999</v>
      </c>
      <c r="O67" s="260">
        <v>0</v>
      </c>
      <c r="P67" s="260">
        <v>132.27600000000001</v>
      </c>
      <c r="Q67" s="260">
        <v>424.38550000000004</v>
      </c>
      <c r="R67" s="260">
        <v>281.0865</v>
      </c>
      <c r="S67" s="260">
        <v>-303.13249999999999</v>
      </c>
      <c r="T67" s="260">
        <v>-303.13249999999999</v>
      </c>
      <c r="U67" s="260">
        <v>0</v>
      </c>
      <c r="V67" s="260">
        <v>281.0865</v>
      </c>
      <c r="W67" s="261">
        <v>705.47199999999998</v>
      </c>
      <c r="X67" s="261">
        <v>341.88800000000003</v>
      </c>
      <c r="Y67" s="261">
        <v>369.23904000000005</v>
      </c>
      <c r="Z67" s="262">
        <v>1</v>
      </c>
      <c r="AA67" s="259" t="s">
        <v>538</v>
      </c>
      <c r="AB67" s="262" t="s">
        <v>607</v>
      </c>
      <c r="AC67" s="260">
        <v>7</v>
      </c>
    </row>
    <row r="68" spans="2:30" x14ac:dyDescent="0.2">
      <c r="B68" s="260">
        <v>16</v>
      </c>
      <c r="C68" s="260" t="s">
        <v>220</v>
      </c>
      <c r="D68" s="260">
        <v>131.19999999999999</v>
      </c>
      <c r="E68" s="260">
        <v>132</v>
      </c>
      <c r="F68" s="260">
        <v>0.99424999999999997</v>
      </c>
      <c r="G68" s="260">
        <v>303.13249999999999</v>
      </c>
      <c r="H68" s="260">
        <v>325.17850000000004</v>
      </c>
      <c r="I68" s="260">
        <v>341.71300000000002</v>
      </c>
      <c r="J68" s="260">
        <v>0</v>
      </c>
      <c r="K68" s="260">
        <v>341.71300000000002</v>
      </c>
      <c r="L68" s="260">
        <v>170.85650000000001</v>
      </c>
      <c r="M68" s="260">
        <v>187.39100000000002</v>
      </c>
      <c r="N68" s="260">
        <v>192.9025</v>
      </c>
      <c r="O68" s="260">
        <v>0</v>
      </c>
      <c r="P68" s="260">
        <v>192.9025</v>
      </c>
      <c r="Q68" s="260">
        <v>534.6155</v>
      </c>
      <c r="R68" s="260">
        <v>286.59800000000001</v>
      </c>
      <c r="S68" s="260">
        <v>319.66700000000003</v>
      </c>
      <c r="T68" s="260">
        <v>-330.69</v>
      </c>
      <c r="U68" s="260">
        <v>0</v>
      </c>
      <c r="V68" s="260">
        <v>319.66700000000003</v>
      </c>
      <c r="W68" s="261">
        <v>854.28250000000003</v>
      </c>
      <c r="X68" s="261">
        <v>385.27187499999997</v>
      </c>
      <c r="Y68" s="261">
        <v>435.3572187499999</v>
      </c>
      <c r="Z68" s="262">
        <v>1</v>
      </c>
      <c r="AA68" s="259" t="s">
        <v>540</v>
      </c>
      <c r="AB68" s="262" t="s">
        <v>611</v>
      </c>
      <c r="AC68" s="260">
        <v>7</v>
      </c>
    </row>
    <row r="69" spans="2:30" x14ac:dyDescent="0.2">
      <c r="B69" s="260">
        <v>18</v>
      </c>
      <c r="C69" s="260" t="s">
        <v>220</v>
      </c>
      <c r="D69" s="260">
        <v>129.19999999999999</v>
      </c>
      <c r="E69" s="260">
        <v>132</v>
      </c>
      <c r="F69" s="260">
        <v>1.0065</v>
      </c>
      <c r="G69" s="260">
        <v>286.59800000000001</v>
      </c>
      <c r="H69" s="260">
        <v>314.15550000000002</v>
      </c>
      <c r="I69" s="260">
        <v>336.20150000000001</v>
      </c>
      <c r="J69" s="260">
        <v>0</v>
      </c>
      <c r="K69" s="260">
        <v>336.20150000000001</v>
      </c>
      <c r="L69" s="260">
        <v>-159.83350000000002</v>
      </c>
      <c r="M69" s="260">
        <v>159.83350000000002</v>
      </c>
      <c r="N69" s="260">
        <v>165.345</v>
      </c>
      <c r="O69" s="260">
        <v>0</v>
      </c>
      <c r="P69" s="260">
        <v>165.345</v>
      </c>
      <c r="Q69" s="260">
        <v>501.54650000000004</v>
      </c>
      <c r="R69" s="260">
        <v>303.13249999999999</v>
      </c>
      <c r="S69" s="260">
        <v>319.66700000000003</v>
      </c>
      <c r="T69" s="260">
        <v>-336.20150000000001</v>
      </c>
      <c r="U69" s="260">
        <v>0</v>
      </c>
      <c r="V69" s="260">
        <v>319.66700000000003</v>
      </c>
      <c r="W69" s="261">
        <v>821.21350000000007</v>
      </c>
      <c r="X69" s="261">
        <v>374.92124999999999</v>
      </c>
      <c r="Y69" s="261">
        <v>397.41652499999998</v>
      </c>
      <c r="Z69" s="262">
        <v>1</v>
      </c>
      <c r="AA69" s="259" t="s">
        <v>537</v>
      </c>
      <c r="AB69" s="262" t="s">
        <v>614</v>
      </c>
      <c r="AC69" s="260">
        <v>5</v>
      </c>
    </row>
    <row r="70" spans="2:30" x14ac:dyDescent="0.2">
      <c r="B70" s="260">
        <v>17</v>
      </c>
      <c r="C70" s="260" t="s">
        <v>220</v>
      </c>
      <c r="D70" s="260">
        <v>129.19999999999999</v>
      </c>
      <c r="E70" s="260">
        <v>132</v>
      </c>
      <c r="F70" s="260">
        <v>1.0065</v>
      </c>
      <c r="G70" s="260">
        <v>264.55200000000002</v>
      </c>
      <c r="H70" s="260">
        <v>292.10950000000003</v>
      </c>
      <c r="I70" s="260">
        <v>303.13249999999999</v>
      </c>
      <c r="J70" s="260">
        <v>0</v>
      </c>
      <c r="K70" s="260">
        <v>303.13249999999999</v>
      </c>
      <c r="L70" s="260">
        <v>132.27600000000001</v>
      </c>
      <c r="M70" s="260">
        <v>137.78749999999999</v>
      </c>
      <c r="N70" s="260">
        <v>143.29900000000001</v>
      </c>
      <c r="O70" s="260">
        <v>0</v>
      </c>
      <c r="P70" s="260">
        <v>143.29900000000001</v>
      </c>
      <c r="Q70" s="260">
        <v>446.43150000000003</v>
      </c>
      <c r="R70" s="260">
        <v>297.62100000000004</v>
      </c>
      <c r="S70" s="260">
        <v>-314.15550000000002</v>
      </c>
      <c r="T70" s="260">
        <v>314.15550000000002</v>
      </c>
      <c r="U70" s="260">
        <v>0</v>
      </c>
      <c r="V70" s="260">
        <v>314.15550000000002</v>
      </c>
      <c r="W70" s="261">
        <v>760.58699999999999</v>
      </c>
      <c r="X70" s="261">
        <v>347.24250000000001</v>
      </c>
      <c r="Y70" s="261">
        <v>375.02190000000002</v>
      </c>
      <c r="Z70" s="262">
        <v>1</v>
      </c>
      <c r="AA70" s="259" t="s">
        <v>534</v>
      </c>
      <c r="AB70" s="262" t="s">
        <v>613</v>
      </c>
      <c r="AC70" s="260">
        <v>3</v>
      </c>
    </row>
    <row r="71" spans="2:30" x14ac:dyDescent="0.2">
      <c r="B71" s="260">
        <v>16</v>
      </c>
      <c r="C71" s="260" t="s">
        <v>220</v>
      </c>
      <c r="D71" s="260">
        <v>147.80000000000001</v>
      </c>
      <c r="E71" s="260">
        <v>148</v>
      </c>
      <c r="F71" s="260">
        <v>0.90490000000000004</v>
      </c>
      <c r="G71" s="260">
        <v>297.62100000000004</v>
      </c>
      <c r="H71" s="260">
        <v>-330.69</v>
      </c>
      <c r="I71" s="260">
        <v>347.22450000000003</v>
      </c>
      <c r="J71" s="260">
        <v>0</v>
      </c>
      <c r="K71" s="260">
        <v>347.22450000000003</v>
      </c>
      <c r="L71" s="260">
        <v>-99.207000000000008</v>
      </c>
      <c r="M71" s="260">
        <v>-115.7415</v>
      </c>
      <c r="N71" s="260">
        <v>115.7415</v>
      </c>
      <c r="O71" s="260">
        <v>0</v>
      </c>
      <c r="P71" s="260">
        <v>115.7415</v>
      </c>
      <c r="Q71" s="260">
        <v>462.96600000000001</v>
      </c>
      <c r="R71" s="260">
        <v>281.0865</v>
      </c>
      <c r="S71" s="260">
        <v>314.15550000000002</v>
      </c>
      <c r="T71" s="260">
        <v>347.22450000000003</v>
      </c>
      <c r="U71" s="260">
        <v>0</v>
      </c>
      <c r="V71" s="260">
        <v>347.22450000000003</v>
      </c>
      <c r="W71" s="261">
        <v>810.19050000000004</v>
      </c>
      <c r="X71" s="261">
        <v>332.55074999999999</v>
      </c>
      <c r="Y71" s="261">
        <v>375.78234749999996</v>
      </c>
      <c r="Z71" s="262">
        <v>1</v>
      </c>
      <c r="AA71" s="259" t="s">
        <v>539</v>
      </c>
      <c r="AB71" s="262" t="s">
        <v>609</v>
      </c>
      <c r="AC71" s="260">
        <v>7</v>
      </c>
    </row>
    <row r="72" spans="2:30" x14ac:dyDescent="0.2">
      <c r="B72" s="260">
        <v>17</v>
      </c>
      <c r="C72" s="260" t="s">
        <v>220</v>
      </c>
      <c r="D72" s="260">
        <v>157</v>
      </c>
      <c r="E72" s="260">
        <v>165</v>
      </c>
      <c r="F72" s="260">
        <v>0.86619999999999997</v>
      </c>
      <c r="G72" s="260">
        <v>248.01750000000001</v>
      </c>
      <c r="H72" s="260">
        <v>264.55200000000002</v>
      </c>
      <c r="I72" s="260">
        <v>-270.06350000000003</v>
      </c>
      <c r="J72" s="260">
        <v>0</v>
      </c>
      <c r="K72" s="260">
        <v>264.55200000000002</v>
      </c>
      <c r="L72" s="260">
        <v>126.76450000000001</v>
      </c>
      <c r="M72" s="260">
        <v>-132.27600000000001</v>
      </c>
      <c r="N72" s="260">
        <v>132.27600000000001</v>
      </c>
      <c r="O72" s="260">
        <v>0</v>
      </c>
      <c r="P72" s="260">
        <v>132.27600000000001</v>
      </c>
      <c r="Q72" s="260">
        <v>396.82800000000003</v>
      </c>
      <c r="R72" s="260">
        <v>242.506</v>
      </c>
      <c r="S72" s="260">
        <v>-259.04050000000001</v>
      </c>
      <c r="T72" s="260">
        <v>259.04050000000001</v>
      </c>
      <c r="U72" s="260">
        <v>0</v>
      </c>
      <c r="V72" s="260">
        <v>259.04050000000001</v>
      </c>
      <c r="W72" s="261">
        <v>655.86850000000004</v>
      </c>
      <c r="X72" s="261">
        <v>257.69450000000001</v>
      </c>
      <c r="Y72" s="261">
        <v>278.31006000000002</v>
      </c>
      <c r="Z72" s="262">
        <v>1</v>
      </c>
      <c r="AA72" s="259" t="s">
        <v>531</v>
      </c>
      <c r="AB72" s="262" t="s">
        <v>605</v>
      </c>
      <c r="AC72" s="260">
        <v>7</v>
      </c>
    </row>
    <row r="73" spans="2:30" x14ac:dyDescent="0.2">
      <c r="B73" s="260">
        <v>17</v>
      </c>
      <c r="C73" s="260" t="s">
        <v>220</v>
      </c>
      <c r="D73" s="260">
        <v>171.2</v>
      </c>
      <c r="E73" s="260">
        <v>181</v>
      </c>
      <c r="F73" s="260">
        <v>0.81689999999999996</v>
      </c>
      <c r="G73" s="260">
        <v>-209.43700000000001</v>
      </c>
      <c r="H73" s="260">
        <v>209.43700000000001</v>
      </c>
      <c r="I73" s="260">
        <v>242.506</v>
      </c>
      <c r="J73" s="260">
        <v>0</v>
      </c>
      <c r="K73" s="260">
        <v>242.506</v>
      </c>
      <c r="L73" s="260">
        <v>110.23</v>
      </c>
      <c r="M73" s="260">
        <v>121.253</v>
      </c>
      <c r="N73" s="260">
        <v>-132.27600000000001</v>
      </c>
      <c r="O73" s="260">
        <v>0</v>
      </c>
      <c r="P73" s="260">
        <v>121.253</v>
      </c>
      <c r="Q73" s="260">
        <v>363.75900000000001</v>
      </c>
      <c r="R73" s="260">
        <v>214.94850000000002</v>
      </c>
      <c r="S73" s="260">
        <v>231.483</v>
      </c>
      <c r="T73" s="260">
        <v>248.01750000000001</v>
      </c>
      <c r="U73" s="260">
        <v>0</v>
      </c>
      <c r="V73" s="260">
        <v>248.01750000000001</v>
      </c>
      <c r="W73" s="261">
        <v>611.77650000000006</v>
      </c>
      <c r="X73" s="261">
        <v>226.68974999999998</v>
      </c>
      <c r="Y73" s="261">
        <v>244.82492999999999</v>
      </c>
      <c r="Z73" s="262">
        <v>1</v>
      </c>
      <c r="AA73" s="259" t="s">
        <v>523</v>
      </c>
      <c r="AB73" s="262" t="s">
        <v>600</v>
      </c>
      <c r="AC73" s="260">
        <v>7</v>
      </c>
    </row>
    <row r="74" spans="2:30" x14ac:dyDescent="0.2">
      <c r="B74" s="260">
        <v>17</v>
      </c>
      <c r="C74" s="260" t="s">
        <v>220</v>
      </c>
      <c r="D74" s="260">
        <v>178.4</v>
      </c>
      <c r="E74" s="260">
        <v>181</v>
      </c>
      <c r="F74" s="260">
        <v>0.79615000000000002</v>
      </c>
      <c r="G74" s="260">
        <v>192.9025</v>
      </c>
      <c r="H74" s="260">
        <v>214.94850000000002</v>
      </c>
      <c r="I74" s="260">
        <v>220.46</v>
      </c>
      <c r="J74" s="260">
        <v>0</v>
      </c>
      <c r="K74" s="260">
        <v>220.46</v>
      </c>
      <c r="L74" s="260">
        <v>99.207000000000008</v>
      </c>
      <c r="M74" s="260">
        <v>110.23</v>
      </c>
      <c r="N74" s="260">
        <v>115.7415</v>
      </c>
      <c r="O74" s="260">
        <v>0</v>
      </c>
      <c r="P74" s="260">
        <v>115.7415</v>
      </c>
      <c r="Q74" s="260">
        <v>336.20150000000001</v>
      </c>
      <c r="R74" s="260">
        <v>209.43700000000001</v>
      </c>
      <c r="S74" s="260">
        <v>225.97150000000002</v>
      </c>
      <c r="T74" s="260">
        <v>-236.99450000000002</v>
      </c>
      <c r="U74" s="260">
        <v>0</v>
      </c>
      <c r="V74" s="260">
        <v>225.97150000000002</v>
      </c>
      <c r="W74" s="261">
        <v>562.173</v>
      </c>
      <c r="X74" s="261">
        <v>203.01824999999999</v>
      </c>
      <c r="Y74" s="261">
        <v>219.25971000000001</v>
      </c>
      <c r="Z74" s="262">
        <v>1</v>
      </c>
      <c r="AA74" s="259" t="s">
        <v>522</v>
      </c>
      <c r="AB74" s="262" t="s">
        <v>599</v>
      </c>
      <c r="AC74" s="260">
        <v>5</v>
      </c>
    </row>
    <row r="75" spans="2:30" x14ac:dyDescent="0.2">
      <c r="B75" s="260">
        <v>14</v>
      </c>
      <c r="C75" s="260" t="s">
        <v>219</v>
      </c>
      <c r="D75" s="260">
        <v>97</v>
      </c>
      <c r="E75" s="260">
        <v>97</v>
      </c>
      <c r="F75" s="260">
        <v>1.258</v>
      </c>
      <c r="G75" s="260">
        <v>220.46</v>
      </c>
      <c r="H75" s="260">
        <v>236.99450000000002</v>
      </c>
      <c r="I75" s="260">
        <v>-248.01750000000001</v>
      </c>
      <c r="J75" s="260">
        <v>0</v>
      </c>
      <c r="K75" s="260">
        <v>236.99450000000002</v>
      </c>
      <c r="L75" s="260">
        <v>110.23</v>
      </c>
      <c r="M75" s="260">
        <v>126.76450000000001</v>
      </c>
      <c r="N75" s="260">
        <v>-137.78749999999999</v>
      </c>
      <c r="O75" s="260">
        <v>0</v>
      </c>
      <c r="P75" s="260">
        <v>126.76450000000001</v>
      </c>
      <c r="Q75" s="260">
        <v>363.75900000000001</v>
      </c>
      <c r="R75" s="260">
        <v>198.41400000000002</v>
      </c>
      <c r="S75" s="260">
        <v>-225.97150000000002</v>
      </c>
      <c r="T75" s="260">
        <v>225.97150000000002</v>
      </c>
      <c r="U75" s="260">
        <v>0</v>
      </c>
      <c r="V75" s="260">
        <v>225.97150000000002</v>
      </c>
      <c r="W75" s="261">
        <v>589.73050000000001</v>
      </c>
      <c r="X75" s="261">
        <v>336.51499999999999</v>
      </c>
      <c r="Y75" s="261">
        <v>413.91344999999995</v>
      </c>
      <c r="Z75" s="262">
        <v>1</v>
      </c>
      <c r="AA75" s="259" t="s">
        <v>527</v>
      </c>
      <c r="AB75" s="262" t="s">
        <v>597</v>
      </c>
      <c r="AC75" s="260">
        <v>7</v>
      </c>
    </row>
    <row r="76" spans="2:30" x14ac:dyDescent="0.2">
      <c r="B76" s="260">
        <v>14</v>
      </c>
      <c r="C76" s="260" t="s">
        <v>219</v>
      </c>
      <c r="D76" s="260">
        <v>101.2</v>
      </c>
      <c r="E76" s="260">
        <v>105</v>
      </c>
      <c r="F76" s="260">
        <v>1.2195</v>
      </c>
      <c r="G76" s="260">
        <v>214.94850000000002</v>
      </c>
      <c r="H76" s="260">
        <v>231.483</v>
      </c>
      <c r="I76" s="260">
        <v>248.01750000000001</v>
      </c>
      <c r="J76" s="260">
        <v>0</v>
      </c>
      <c r="K76" s="260">
        <v>248.01750000000001</v>
      </c>
      <c r="L76" s="260">
        <v>110.23</v>
      </c>
      <c r="M76" s="260">
        <v>126.76450000000001</v>
      </c>
      <c r="N76" s="260">
        <v>132.27600000000001</v>
      </c>
      <c r="O76" s="260">
        <v>0</v>
      </c>
      <c r="P76" s="260">
        <v>132.27600000000001</v>
      </c>
      <c r="Q76" s="260">
        <v>380.29349999999999</v>
      </c>
      <c r="R76" s="260">
        <v>214.94850000000002</v>
      </c>
      <c r="S76" s="260">
        <v>236.99450000000002</v>
      </c>
      <c r="T76" s="260">
        <v>259.04050000000001</v>
      </c>
      <c r="U76" s="260">
        <v>0</v>
      </c>
      <c r="V76" s="260">
        <v>259.04050000000001</v>
      </c>
      <c r="W76" s="261">
        <v>639.33400000000006</v>
      </c>
      <c r="X76" s="261">
        <v>353.65500000000003</v>
      </c>
      <c r="Y76" s="261">
        <v>434.99565000000001</v>
      </c>
      <c r="Z76" s="262">
        <v>1</v>
      </c>
      <c r="AA76" s="259" t="s">
        <v>525</v>
      </c>
      <c r="AB76" s="262" t="s">
        <v>601</v>
      </c>
      <c r="AC76" s="260">
        <v>7</v>
      </c>
    </row>
    <row r="77" spans="2:30" x14ac:dyDescent="0.2">
      <c r="B77" s="260">
        <v>14</v>
      </c>
      <c r="C77" s="260" t="s">
        <v>219</v>
      </c>
      <c r="D77" s="260">
        <v>106.8</v>
      </c>
      <c r="E77" s="260">
        <v>114</v>
      </c>
      <c r="F77" s="260">
        <v>1.1715</v>
      </c>
      <c r="G77" s="260">
        <v>220.46</v>
      </c>
      <c r="H77" s="260">
        <v>242.506</v>
      </c>
      <c r="I77" s="260">
        <v>259.04050000000001</v>
      </c>
      <c r="J77" s="260">
        <v>0</v>
      </c>
      <c r="K77" s="260">
        <v>259.04050000000001</v>
      </c>
      <c r="L77" s="260">
        <v>104.71850000000001</v>
      </c>
      <c r="M77" s="260">
        <v>115.7415</v>
      </c>
      <c r="N77" s="260">
        <v>121.253</v>
      </c>
      <c r="O77" s="260">
        <v>0</v>
      </c>
      <c r="P77" s="260">
        <v>121.253</v>
      </c>
      <c r="Q77" s="260">
        <v>380.29349999999999</v>
      </c>
      <c r="R77" s="260">
        <v>220.46</v>
      </c>
      <c r="S77" s="260">
        <v>242.506</v>
      </c>
      <c r="T77" s="260">
        <v>-264.55200000000002</v>
      </c>
      <c r="U77" s="260">
        <v>0</v>
      </c>
      <c r="V77" s="260">
        <v>242.506</v>
      </c>
      <c r="W77" s="261">
        <v>622.79950000000008</v>
      </c>
      <c r="X77" s="261">
        <v>330.94875000000002</v>
      </c>
      <c r="Y77" s="261">
        <v>407.06696249999999</v>
      </c>
      <c r="Z77" s="262">
        <v>1</v>
      </c>
      <c r="AA77" s="259" t="s">
        <v>528</v>
      </c>
      <c r="AB77" s="262" t="s">
        <v>603</v>
      </c>
      <c r="AC77" s="260">
        <v>7</v>
      </c>
    </row>
    <row r="78" spans="2:30" x14ac:dyDescent="0.2">
      <c r="B78" s="260">
        <v>15</v>
      </c>
      <c r="C78" s="260" t="s">
        <v>219</v>
      </c>
      <c r="D78" s="260">
        <v>120</v>
      </c>
      <c r="E78" s="260">
        <v>123</v>
      </c>
      <c r="F78" s="260">
        <v>1.0684</v>
      </c>
      <c r="G78" s="260">
        <v>220.46</v>
      </c>
      <c r="H78" s="260">
        <v>236.99450000000002</v>
      </c>
      <c r="I78" s="260">
        <v>253.52900000000002</v>
      </c>
      <c r="J78" s="260">
        <v>0</v>
      </c>
      <c r="K78" s="260">
        <v>253.52900000000002</v>
      </c>
      <c r="L78" s="260">
        <v>99.207000000000008</v>
      </c>
      <c r="M78" s="260">
        <v>110.23</v>
      </c>
      <c r="N78" s="260">
        <v>-121.253</v>
      </c>
      <c r="O78" s="260">
        <v>0</v>
      </c>
      <c r="P78" s="260">
        <v>110.23</v>
      </c>
      <c r="Q78" s="260">
        <v>363.75900000000001</v>
      </c>
      <c r="R78" s="260">
        <v>220.46</v>
      </c>
      <c r="S78" s="260">
        <v>-242.506</v>
      </c>
      <c r="T78" s="260">
        <v>-242.506</v>
      </c>
      <c r="U78" s="260">
        <v>0</v>
      </c>
      <c r="V78" s="260">
        <v>220.46</v>
      </c>
      <c r="W78" s="261">
        <v>584.21900000000005</v>
      </c>
      <c r="X78" s="261">
        <v>283.12599999999998</v>
      </c>
      <c r="Y78" s="261">
        <v>334.08867999999995</v>
      </c>
      <c r="Z78" s="262">
        <v>1</v>
      </c>
      <c r="AA78" s="259" t="s">
        <v>529</v>
      </c>
      <c r="AB78" s="262" t="s">
        <v>602</v>
      </c>
      <c r="AC78" s="260">
        <v>7</v>
      </c>
    </row>
    <row r="79" spans="2:30" x14ac:dyDescent="0.2">
      <c r="B79" s="260">
        <v>30</v>
      </c>
      <c r="C79" s="260" t="s">
        <v>471</v>
      </c>
      <c r="D79" s="260">
        <v>159.6</v>
      </c>
      <c r="E79" s="260">
        <v>165</v>
      </c>
      <c r="F79" s="260">
        <v>0.85629999999999995</v>
      </c>
      <c r="G79" s="260">
        <v>181.87950000000001</v>
      </c>
      <c r="H79" s="260">
        <v>214.94850000000002</v>
      </c>
      <c r="I79" s="260">
        <v>-225.97150000000002</v>
      </c>
      <c r="J79" s="260">
        <v>0</v>
      </c>
      <c r="K79" s="260">
        <v>214.94850000000002</v>
      </c>
      <c r="L79" s="260">
        <v>110.23</v>
      </c>
      <c r="M79" s="260">
        <v>121.253</v>
      </c>
      <c r="N79" s="260">
        <v>-132.27600000000001</v>
      </c>
      <c r="O79" s="260">
        <v>0</v>
      </c>
      <c r="P79" s="260">
        <v>121.253</v>
      </c>
      <c r="Q79" s="260">
        <v>336.20150000000001</v>
      </c>
      <c r="R79" s="260">
        <v>225.97150000000002</v>
      </c>
      <c r="S79" s="260">
        <v>248.01750000000001</v>
      </c>
      <c r="T79" s="260">
        <v>264.55200000000002</v>
      </c>
      <c r="U79" s="260">
        <v>0</v>
      </c>
      <c r="V79" s="260">
        <v>264.55200000000002</v>
      </c>
      <c r="W79" s="261">
        <v>600.75350000000003</v>
      </c>
      <c r="X79" s="261">
        <v>233.34174999999999</v>
      </c>
      <c r="Y79" s="261">
        <v>0</v>
      </c>
      <c r="Z79" s="262" t="e">
        <v>#N/A</v>
      </c>
      <c r="AA79" s="259" t="s">
        <v>574</v>
      </c>
      <c r="AB79" s="262">
        <v>0</v>
      </c>
      <c r="AC79" s="260">
        <v>7</v>
      </c>
    </row>
    <row r="80" spans="2:30" x14ac:dyDescent="0.2">
      <c r="B80" s="260">
        <v>61</v>
      </c>
      <c r="C80" s="260" t="s">
        <v>474</v>
      </c>
      <c r="D80" s="260">
        <v>223</v>
      </c>
      <c r="E80" s="260" t="s">
        <v>125</v>
      </c>
      <c r="F80" s="260">
        <v>0.71235000000000004</v>
      </c>
      <c r="G80" s="260">
        <v>-220.46</v>
      </c>
      <c r="H80" s="260">
        <v>-220.46</v>
      </c>
      <c r="I80" s="260">
        <v>220.46</v>
      </c>
      <c r="J80" s="260">
        <v>0</v>
      </c>
      <c r="K80" s="260">
        <v>220.46</v>
      </c>
      <c r="L80" s="260">
        <v>115.7415</v>
      </c>
      <c r="M80" s="260">
        <v>126.76450000000001</v>
      </c>
      <c r="N80" s="260">
        <v>-137.78749999999999</v>
      </c>
      <c r="O80" s="260">
        <v>0</v>
      </c>
      <c r="P80" s="260">
        <v>126.76450000000001</v>
      </c>
      <c r="Q80" s="260">
        <v>347.22450000000003</v>
      </c>
      <c r="R80" s="260">
        <v>253.52900000000002</v>
      </c>
      <c r="S80" s="260">
        <v>281.0865</v>
      </c>
      <c r="T80" s="260">
        <v>303.13249999999999</v>
      </c>
      <c r="U80" s="260">
        <v>0</v>
      </c>
      <c r="V80" s="260">
        <v>303.13249999999999</v>
      </c>
      <c r="W80" s="261">
        <v>650.35700000000008</v>
      </c>
      <c r="X80" s="261">
        <v>210.14325000000002</v>
      </c>
      <c r="Y80" s="261">
        <v>287.05567950000005</v>
      </c>
      <c r="Z80" s="262" t="e">
        <v>#N/A</v>
      </c>
      <c r="AA80" s="259" t="s">
        <v>473</v>
      </c>
      <c r="AB80" s="262">
        <v>0</v>
      </c>
      <c r="AC80" s="260">
        <v>7</v>
      </c>
    </row>
    <row r="81" spans="2:30" x14ac:dyDescent="0.2">
      <c r="B81" s="260">
        <v>35</v>
      </c>
      <c r="C81" s="260" t="s">
        <v>481</v>
      </c>
      <c r="D81" s="260">
        <v>146.6</v>
      </c>
      <c r="E81" s="260">
        <v>148</v>
      </c>
      <c r="F81" s="260">
        <v>0.91020000000000001</v>
      </c>
      <c r="G81" s="260">
        <v>248.01750000000001</v>
      </c>
      <c r="H81" s="260">
        <v>275.57499999999999</v>
      </c>
      <c r="I81" s="260">
        <v>286.59800000000001</v>
      </c>
      <c r="J81" s="260">
        <v>0</v>
      </c>
      <c r="K81" s="260">
        <v>286.59800000000001</v>
      </c>
      <c r="L81" s="260">
        <v>126.76450000000001</v>
      </c>
      <c r="M81" s="260">
        <v>137.78749999999999</v>
      </c>
      <c r="N81" s="260">
        <v>143.29900000000001</v>
      </c>
      <c r="O81" s="260">
        <v>0</v>
      </c>
      <c r="P81" s="260">
        <v>143.29900000000001</v>
      </c>
      <c r="Q81" s="260">
        <v>429.89700000000005</v>
      </c>
      <c r="R81" s="260">
        <v>275.57499999999999</v>
      </c>
      <c r="S81" s="260">
        <v>303.13249999999999</v>
      </c>
      <c r="T81" s="260">
        <v>314.15550000000002</v>
      </c>
      <c r="U81" s="260">
        <v>0</v>
      </c>
      <c r="V81" s="260">
        <v>314.15550000000002</v>
      </c>
      <c r="W81" s="261">
        <v>744.05250000000001</v>
      </c>
      <c r="X81" s="261">
        <v>307.1925</v>
      </c>
      <c r="Y81" s="261">
        <v>0</v>
      </c>
      <c r="Z81" s="262" t="e">
        <v>#N/A</v>
      </c>
      <c r="AA81" s="259" t="s">
        <v>480</v>
      </c>
      <c r="AB81" s="262">
        <v>0</v>
      </c>
      <c r="AC81" s="260">
        <v>7</v>
      </c>
    </row>
    <row r="82" spans="2:30" x14ac:dyDescent="0.2">
      <c r="B82" s="260">
        <v>45</v>
      </c>
      <c r="C82" s="260" t="s">
        <v>267</v>
      </c>
      <c r="D82" s="260">
        <v>178.5</v>
      </c>
      <c r="E82" s="260">
        <v>181</v>
      </c>
      <c r="F82" s="260">
        <v>0.65234999999999999</v>
      </c>
      <c r="G82" s="260">
        <v>363.75900000000001</v>
      </c>
      <c r="H82" s="260">
        <v>-402.33950000000004</v>
      </c>
      <c r="I82" s="260">
        <v>402.33950000000004</v>
      </c>
      <c r="J82" s="260">
        <v>0</v>
      </c>
      <c r="K82" s="260">
        <v>402.33950000000004</v>
      </c>
      <c r="L82" s="260">
        <v>275.57499999999999</v>
      </c>
      <c r="M82" s="260">
        <v>303.13249999999999</v>
      </c>
      <c r="N82" s="260">
        <v>314.15550000000002</v>
      </c>
      <c r="O82" s="260">
        <v>0</v>
      </c>
      <c r="P82" s="260">
        <v>314.15550000000002</v>
      </c>
      <c r="Q82" s="260">
        <v>716.495</v>
      </c>
      <c r="R82" s="260">
        <v>473.98900000000003</v>
      </c>
      <c r="S82" s="260">
        <v>501.54650000000004</v>
      </c>
      <c r="T82" s="260">
        <v>507.05800000000005</v>
      </c>
      <c r="U82" s="260">
        <v>0</v>
      </c>
      <c r="V82" s="260">
        <v>507.05800000000005</v>
      </c>
      <c r="W82" s="261">
        <v>1223.5530000000001</v>
      </c>
      <c r="X82" s="261">
        <v>362.05424999999997</v>
      </c>
      <c r="Y82" s="261">
        <v>381.96723374999993</v>
      </c>
      <c r="Z82" s="262">
        <v>1</v>
      </c>
      <c r="AA82" s="259" t="s">
        <v>492</v>
      </c>
      <c r="AB82" s="262" t="s">
        <v>593</v>
      </c>
      <c r="AC82" s="260">
        <v>7</v>
      </c>
    </row>
    <row r="83" spans="2:30" x14ac:dyDescent="0.2">
      <c r="B83" s="260">
        <v>37</v>
      </c>
      <c r="C83" s="260" t="s">
        <v>265</v>
      </c>
      <c r="D83" s="260">
        <v>192</v>
      </c>
      <c r="E83" s="260">
        <v>198</v>
      </c>
      <c r="F83" s="260">
        <v>0.62339999999999995</v>
      </c>
      <c r="G83" s="260">
        <v>347.22450000000003</v>
      </c>
      <c r="H83" s="260">
        <v>374.78200000000004</v>
      </c>
      <c r="I83" s="260">
        <v>-402.33950000000004</v>
      </c>
      <c r="J83" s="260">
        <v>0</v>
      </c>
      <c r="K83" s="260">
        <v>374.78200000000004</v>
      </c>
      <c r="L83" s="260">
        <v>275.57499999999999</v>
      </c>
      <c r="M83" s="260">
        <v>-308.64400000000001</v>
      </c>
      <c r="N83" s="260">
        <v>-308.64400000000001</v>
      </c>
      <c r="O83" s="260">
        <v>0</v>
      </c>
      <c r="P83" s="260">
        <v>275.57499999999999</v>
      </c>
      <c r="Q83" s="260">
        <v>650.35700000000008</v>
      </c>
      <c r="R83" s="260">
        <v>479.50050000000005</v>
      </c>
      <c r="S83" s="260">
        <v>534.6155</v>
      </c>
      <c r="T83" s="260">
        <v>-551.15</v>
      </c>
      <c r="U83" s="260">
        <v>0</v>
      </c>
      <c r="V83" s="260">
        <v>534.6155</v>
      </c>
      <c r="W83" s="261">
        <v>1184.9725000000001</v>
      </c>
      <c r="X83" s="261">
        <v>335.07749999999999</v>
      </c>
      <c r="Y83" s="261">
        <v>0</v>
      </c>
      <c r="Z83" s="262">
        <v>1</v>
      </c>
      <c r="AA83" s="259" t="s">
        <v>491</v>
      </c>
      <c r="AB83" s="262" t="s">
        <v>595</v>
      </c>
      <c r="AC83" s="260">
        <v>7</v>
      </c>
    </row>
    <row r="84" spans="2:30" x14ac:dyDescent="0.2">
      <c r="B84" s="260">
        <v>30</v>
      </c>
      <c r="C84" s="260" t="s">
        <v>264</v>
      </c>
      <c r="D84" s="260">
        <v>181</v>
      </c>
      <c r="E84" s="260">
        <v>181</v>
      </c>
      <c r="F84" s="260">
        <v>0.64664999999999995</v>
      </c>
      <c r="G84" s="260">
        <v>275.57499999999999</v>
      </c>
      <c r="H84" s="260">
        <v>292.10950000000003</v>
      </c>
      <c r="I84" s="260">
        <v>308.64400000000001</v>
      </c>
      <c r="J84" s="260">
        <v>0</v>
      </c>
      <c r="K84" s="260">
        <v>308.64400000000001</v>
      </c>
      <c r="L84" s="260">
        <v>187.39100000000002</v>
      </c>
      <c r="M84" s="260">
        <v>214.94850000000002</v>
      </c>
      <c r="N84" s="260">
        <v>225.97150000000002</v>
      </c>
      <c r="O84" s="260">
        <v>0</v>
      </c>
      <c r="P84" s="260">
        <v>225.97150000000002</v>
      </c>
      <c r="Q84" s="260">
        <v>534.6155</v>
      </c>
      <c r="R84" s="260">
        <v>336.20150000000001</v>
      </c>
      <c r="S84" s="260">
        <v>385.80500000000001</v>
      </c>
      <c r="T84" s="260">
        <v>407.851</v>
      </c>
      <c r="U84" s="260">
        <v>0</v>
      </c>
      <c r="V84" s="260">
        <v>407.851</v>
      </c>
      <c r="W84" s="261">
        <v>942.4665</v>
      </c>
      <c r="X84" s="261">
        <v>276.44287499999996</v>
      </c>
      <c r="Y84" s="261">
        <v>0</v>
      </c>
      <c r="Z84" s="262">
        <v>1</v>
      </c>
      <c r="AA84" s="259" t="s">
        <v>483</v>
      </c>
      <c r="AB84" s="262" t="s">
        <v>592</v>
      </c>
      <c r="AC84" s="260">
        <v>7</v>
      </c>
    </row>
    <row r="85" spans="2:30" x14ac:dyDescent="0.2">
      <c r="B85" s="260">
        <v>18</v>
      </c>
      <c r="C85" s="260" t="s">
        <v>264</v>
      </c>
      <c r="D85" s="260">
        <v>175</v>
      </c>
      <c r="E85" s="260">
        <v>181</v>
      </c>
      <c r="F85" s="260">
        <v>0.66120000000000001</v>
      </c>
      <c r="G85" s="260">
        <v>286.59800000000001</v>
      </c>
      <c r="H85" s="260">
        <v>319.66700000000003</v>
      </c>
      <c r="I85" s="260">
        <v>325.17850000000004</v>
      </c>
      <c r="J85" s="260">
        <v>0</v>
      </c>
      <c r="K85" s="260">
        <v>325.17850000000004</v>
      </c>
      <c r="L85" s="260">
        <v>170.85650000000001</v>
      </c>
      <c r="M85" s="260">
        <v>181.87950000000001</v>
      </c>
      <c r="N85" s="260">
        <v>187.39100000000002</v>
      </c>
      <c r="O85" s="260">
        <v>0</v>
      </c>
      <c r="P85" s="260">
        <v>187.39100000000002</v>
      </c>
      <c r="Q85" s="260">
        <v>512.56950000000006</v>
      </c>
      <c r="R85" s="260">
        <v>325.17850000000004</v>
      </c>
      <c r="S85" s="260">
        <v>374.78200000000004</v>
      </c>
      <c r="T85" s="260">
        <v>391.31650000000002</v>
      </c>
      <c r="U85" s="260">
        <v>0</v>
      </c>
      <c r="V85" s="260">
        <v>391.31650000000002</v>
      </c>
      <c r="W85" s="261">
        <v>903.88600000000008</v>
      </c>
      <c r="X85" s="261">
        <v>271.09199999999998</v>
      </c>
      <c r="Y85" s="261">
        <v>287.35752000000002</v>
      </c>
      <c r="Z85" s="262">
        <v>1</v>
      </c>
      <c r="AA85" s="259" t="s">
        <v>485</v>
      </c>
      <c r="AB85" s="262" t="s">
        <v>590</v>
      </c>
      <c r="AC85" s="260">
        <v>5</v>
      </c>
      <c r="AD85" s="260" t="s">
        <v>487</v>
      </c>
    </row>
    <row r="86" spans="2:30" x14ac:dyDescent="0.2">
      <c r="B86" s="260">
        <v>29</v>
      </c>
      <c r="C86" s="260" t="s">
        <v>264</v>
      </c>
      <c r="D86" s="260">
        <v>192.5</v>
      </c>
      <c r="E86" s="260">
        <v>198</v>
      </c>
      <c r="F86" s="260">
        <v>0.62260000000000004</v>
      </c>
      <c r="G86" s="260">
        <v>473.98900000000003</v>
      </c>
      <c r="H86" s="260">
        <v>501.54650000000004</v>
      </c>
      <c r="I86" s="260">
        <v>534.6155</v>
      </c>
      <c r="J86" s="260">
        <v>0</v>
      </c>
      <c r="K86" s="260">
        <v>534.6155</v>
      </c>
      <c r="L86" s="260">
        <v>308.64400000000001</v>
      </c>
      <c r="M86" s="260">
        <v>330.69</v>
      </c>
      <c r="N86" s="260">
        <v>352.73599999999999</v>
      </c>
      <c r="O86" s="260">
        <v>0</v>
      </c>
      <c r="P86" s="260">
        <v>352.73599999999999</v>
      </c>
      <c r="Q86" s="260">
        <v>887.3515000000001</v>
      </c>
      <c r="R86" s="260">
        <v>573.19600000000003</v>
      </c>
      <c r="S86" s="260">
        <v>600.75350000000003</v>
      </c>
      <c r="T86" s="260">
        <v>611.77650000000006</v>
      </c>
      <c r="U86" s="260">
        <v>0</v>
      </c>
      <c r="V86" s="260">
        <v>611.77650000000006</v>
      </c>
      <c r="W86" s="261">
        <v>1499.1280000000002</v>
      </c>
      <c r="X86" s="261">
        <v>423.36800000000005</v>
      </c>
      <c r="Y86" s="261">
        <v>0</v>
      </c>
      <c r="Z86" s="262">
        <v>1</v>
      </c>
      <c r="AA86" s="259" t="s">
        <v>508</v>
      </c>
      <c r="AB86" s="262" t="s">
        <v>596</v>
      </c>
      <c r="AC86" s="260">
        <v>7</v>
      </c>
    </row>
    <row r="87" spans="2:30" x14ac:dyDescent="0.2">
      <c r="B87" s="260">
        <v>37</v>
      </c>
      <c r="C87" s="260" t="s">
        <v>264</v>
      </c>
      <c r="D87" s="260">
        <v>192</v>
      </c>
      <c r="E87" s="260">
        <v>198</v>
      </c>
      <c r="F87" s="260">
        <v>0.62339999999999995</v>
      </c>
      <c r="G87" s="260">
        <v>347.22450000000003</v>
      </c>
      <c r="H87" s="260">
        <v>374.78200000000004</v>
      </c>
      <c r="I87" s="260">
        <v>-402.33950000000004</v>
      </c>
      <c r="J87" s="260">
        <v>0</v>
      </c>
      <c r="K87" s="260">
        <v>374.78200000000004</v>
      </c>
      <c r="L87" s="260">
        <v>275.57499999999999</v>
      </c>
      <c r="M87" s="260">
        <v>-308.64400000000001</v>
      </c>
      <c r="N87" s="260">
        <v>-308.64400000000001</v>
      </c>
      <c r="O87" s="260">
        <v>0</v>
      </c>
      <c r="P87" s="260">
        <v>275.57499999999999</v>
      </c>
      <c r="Q87" s="260">
        <v>650.35700000000008</v>
      </c>
      <c r="R87" s="260">
        <v>479.50050000000005</v>
      </c>
      <c r="S87" s="260">
        <v>534.6155</v>
      </c>
      <c r="T87" s="260">
        <v>-551.15</v>
      </c>
      <c r="U87" s="260">
        <v>0</v>
      </c>
      <c r="V87" s="260">
        <v>534.6155</v>
      </c>
      <c r="W87" s="261">
        <v>1184.9725000000001</v>
      </c>
      <c r="X87" s="261">
        <v>335.07749999999999</v>
      </c>
      <c r="Y87" s="261">
        <v>0</v>
      </c>
      <c r="Z87" s="262">
        <v>1</v>
      </c>
      <c r="AA87" s="259" t="s">
        <v>489</v>
      </c>
      <c r="AB87" s="262" t="s">
        <v>594</v>
      </c>
      <c r="AC87" s="260">
        <v>5</v>
      </c>
    </row>
    <row r="88" spans="2:30" x14ac:dyDescent="0.2">
      <c r="B88" s="260">
        <v>18</v>
      </c>
      <c r="C88" s="260" t="s">
        <v>262</v>
      </c>
      <c r="D88" s="260">
        <v>175</v>
      </c>
      <c r="E88" s="260">
        <v>181</v>
      </c>
      <c r="F88" s="260">
        <v>0.66120000000000001</v>
      </c>
      <c r="G88" s="260">
        <v>286.59800000000001</v>
      </c>
      <c r="H88" s="260">
        <v>319.66700000000003</v>
      </c>
      <c r="I88" s="260">
        <v>325.17850000000004</v>
      </c>
      <c r="J88" s="260">
        <v>0</v>
      </c>
      <c r="K88" s="260">
        <v>325.17850000000004</v>
      </c>
      <c r="L88" s="260">
        <v>170.85650000000001</v>
      </c>
      <c r="M88" s="260">
        <v>181.87950000000001</v>
      </c>
      <c r="N88" s="260">
        <v>187.39100000000002</v>
      </c>
      <c r="O88" s="260">
        <v>0</v>
      </c>
      <c r="P88" s="260">
        <v>187.39100000000002</v>
      </c>
      <c r="Q88" s="260">
        <v>512.56950000000006</v>
      </c>
      <c r="R88" s="260">
        <v>325.17850000000004</v>
      </c>
      <c r="S88" s="260">
        <v>374.78200000000004</v>
      </c>
      <c r="T88" s="260">
        <v>391.31650000000002</v>
      </c>
      <c r="U88" s="260">
        <v>0</v>
      </c>
      <c r="V88" s="260">
        <v>391.31650000000002</v>
      </c>
      <c r="W88" s="261">
        <v>903.88600000000008</v>
      </c>
      <c r="X88" s="261">
        <v>271.09199999999998</v>
      </c>
      <c r="Y88" s="261">
        <v>287.35752000000002</v>
      </c>
      <c r="Z88" s="262">
        <v>1</v>
      </c>
      <c r="AA88" s="259" t="s">
        <v>488</v>
      </c>
      <c r="AB88" s="262" t="s">
        <v>591</v>
      </c>
      <c r="AC88" s="260">
        <v>7</v>
      </c>
      <c r="AD88" s="260" t="s">
        <v>487</v>
      </c>
    </row>
    <row r="89" spans="2:30" x14ac:dyDescent="0.2">
      <c r="B89" s="260">
        <v>61</v>
      </c>
      <c r="C89" s="260" t="s">
        <v>254</v>
      </c>
      <c r="D89" s="260">
        <v>240</v>
      </c>
      <c r="E89" s="260">
        <v>242</v>
      </c>
      <c r="F89" s="260">
        <v>0.56475000000000009</v>
      </c>
      <c r="G89" s="260">
        <v>639.33400000000006</v>
      </c>
      <c r="H89" s="260">
        <v>705.47199999999998</v>
      </c>
      <c r="I89" s="260">
        <v>-766.09850000000006</v>
      </c>
      <c r="J89" s="260">
        <v>0</v>
      </c>
      <c r="K89" s="260">
        <v>705.47199999999998</v>
      </c>
      <c r="L89" s="260">
        <v>462.96600000000001</v>
      </c>
      <c r="M89" s="260">
        <v>-512.56950000000006</v>
      </c>
      <c r="N89" s="260">
        <v>-551.15</v>
      </c>
      <c r="O89" s="260">
        <v>0</v>
      </c>
      <c r="P89" s="260">
        <v>462.96600000000001</v>
      </c>
      <c r="Q89" s="260">
        <v>1168.4380000000001</v>
      </c>
      <c r="R89" s="260">
        <v>462.96600000000001</v>
      </c>
      <c r="S89" s="260">
        <v>512.56950000000006</v>
      </c>
      <c r="T89" s="260">
        <v>-551.15</v>
      </c>
      <c r="U89" s="260">
        <v>0</v>
      </c>
      <c r="V89" s="260">
        <v>512.56950000000006</v>
      </c>
      <c r="W89" s="261">
        <v>1681.0075000000002</v>
      </c>
      <c r="X89" s="261">
        <v>430.62187500000005</v>
      </c>
      <c r="Y89" s="261">
        <v>588.22948125000016</v>
      </c>
      <c r="Z89" s="262">
        <v>1</v>
      </c>
      <c r="AA89" s="259" t="s">
        <v>559</v>
      </c>
      <c r="AB89" s="262" t="s">
        <v>582</v>
      </c>
      <c r="AC89" s="260">
        <v>7</v>
      </c>
    </row>
    <row r="90" spans="2:30" x14ac:dyDescent="0.2">
      <c r="B90" s="260">
        <v>27</v>
      </c>
      <c r="C90" s="260" t="s">
        <v>251</v>
      </c>
      <c r="D90" s="260">
        <v>197.2</v>
      </c>
      <c r="E90" s="260">
        <v>198</v>
      </c>
      <c r="F90" s="260">
        <v>0.61414999999999997</v>
      </c>
      <c r="G90" s="260">
        <v>628.31100000000004</v>
      </c>
      <c r="H90" s="260">
        <v>-672.40300000000002</v>
      </c>
      <c r="I90" s="260">
        <v>672.40300000000002</v>
      </c>
      <c r="J90" s="260">
        <v>0</v>
      </c>
      <c r="K90" s="260">
        <v>672.40300000000002</v>
      </c>
      <c r="L90" s="260">
        <v>-473.98900000000003</v>
      </c>
      <c r="M90" s="260">
        <v>490.52350000000001</v>
      </c>
      <c r="N90" s="260">
        <v>-523.59249999999997</v>
      </c>
      <c r="O90" s="260">
        <v>0</v>
      </c>
      <c r="P90" s="260">
        <v>490.52350000000001</v>
      </c>
      <c r="Q90" s="260">
        <v>1162.9265</v>
      </c>
      <c r="R90" s="260">
        <v>501.54650000000004</v>
      </c>
      <c r="S90" s="260">
        <v>573.19600000000003</v>
      </c>
      <c r="T90" s="260">
        <v>-600.75350000000003</v>
      </c>
      <c r="U90" s="260">
        <v>0</v>
      </c>
      <c r="V90" s="260">
        <v>573.19600000000003</v>
      </c>
      <c r="W90" s="261">
        <v>1736.1225000000002</v>
      </c>
      <c r="X90" s="261">
        <v>483.643125</v>
      </c>
      <c r="Y90" s="261">
        <v>0</v>
      </c>
      <c r="Z90" s="262">
        <v>1</v>
      </c>
      <c r="AA90" s="259" t="s">
        <v>557</v>
      </c>
      <c r="AB90" s="262" t="s">
        <v>584</v>
      </c>
      <c r="AC90" s="260">
        <v>7</v>
      </c>
    </row>
    <row r="91" spans="2:30" x14ac:dyDescent="0.2">
      <c r="B91" s="246">
        <v>28</v>
      </c>
      <c r="C91" s="246" t="s">
        <v>251</v>
      </c>
      <c r="D91" s="246">
        <v>212.8</v>
      </c>
      <c r="E91" s="246">
        <v>220</v>
      </c>
      <c r="F91" s="246">
        <v>0.59050000000000002</v>
      </c>
      <c r="G91" s="246">
        <v>551.15</v>
      </c>
      <c r="H91" s="246">
        <v>-562.173</v>
      </c>
      <c r="I91" s="246">
        <v>-562.173</v>
      </c>
      <c r="J91" s="246">
        <v>0</v>
      </c>
      <c r="K91" s="246">
        <v>551.15</v>
      </c>
      <c r="L91" s="246">
        <v>485.012</v>
      </c>
      <c r="M91" s="246">
        <v>-501.54650000000004</v>
      </c>
      <c r="N91" s="246">
        <v>540.12700000000007</v>
      </c>
      <c r="O91" s="246">
        <v>0</v>
      </c>
      <c r="P91" s="246">
        <v>540.12700000000007</v>
      </c>
      <c r="Q91" s="246">
        <v>1091.277</v>
      </c>
      <c r="R91" s="246">
        <v>451.94300000000004</v>
      </c>
      <c r="S91" s="246">
        <v>507.05800000000005</v>
      </c>
      <c r="T91" s="246">
        <v>-529.10400000000004</v>
      </c>
      <c r="U91" s="246">
        <v>0</v>
      </c>
      <c r="V91" s="246">
        <v>507.05800000000005</v>
      </c>
      <c r="W91" s="247">
        <v>1598.335</v>
      </c>
      <c r="X91" s="247">
        <v>428.11250000000001</v>
      </c>
      <c r="Y91" s="247">
        <v>0</v>
      </c>
      <c r="Z91" s="248">
        <v>1</v>
      </c>
      <c r="AA91" s="245" t="s">
        <v>555</v>
      </c>
      <c r="AB91" s="248" t="s">
        <v>581</v>
      </c>
      <c r="AC91" s="246">
        <v>7</v>
      </c>
      <c r="AD91" s="246"/>
    </row>
    <row r="92" spans="2:30" x14ac:dyDescent="0.2">
      <c r="B92" s="260">
        <v>22</v>
      </c>
      <c r="C92" s="260" t="s">
        <v>251</v>
      </c>
      <c r="D92" s="260">
        <v>272</v>
      </c>
      <c r="E92" s="260">
        <v>275</v>
      </c>
      <c r="F92" s="260">
        <v>0.54730000000000001</v>
      </c>
      <c r="G92" s="260">
        <v>804.67900000000009</v>
      </c>
      <c r="H92" s="260">
        <v>-848.77100000000007</v>
      </c>
      <c r="I92" s="260">
        <v>-848.77100000000007</v>
      </c>
      <c r="J92" s="260">
        <v>0</v>
      </c>
      <c r="K92" s="260">
        <v>804.67900000000009</v>
      </c>
      <c r="L92" s="260">
        <v>529.10400000000004</v>
      </c>
      <c r="M92" s="260">
        <v>-556.66150000000005</v>
      </c>
      <c r="N92" s="260">
        <v>573.19600000000003</v>
      </c>
      <c r="O92" s="260">
        <v>0</v>
      </c>
      <c r="P92" s="260">
        <v>573.19600000000003</v>
      </c>
      <c r="Q92" s="260">
        <v>1377.875</v>
      </c>
      <c r="R92" s="260">
        <v>-672.40300000000002</v>
      </c>
      <c r="S92" s="260">
        <v>710.98350000000005</v>
      </c>
      <c r="T92" s="260">
        <v>727.51800000000003</v>
      </c>
      <c r="U92" s="260">
        <v>0</v>
      </c>
      <c r="V92" s="260">
        <v>727.51800000000003</v>
      </c>
      <c r="W92" s="261">
        <v>2105.393</v>
      </c>
      <c r="X92" s="261">
        <v>522.67150000000004</v>
      </c>
      <c r="Y92" s="261">
        <v>527.89821500000005</v>
      </c>
      <c r="Z92" s="262">
        <v>1</v>
      </c>
      <c r="AA92" s="259" t="s">
        <v>562</v>
      </c>
      <c r="AB92" s="262" t="s">
        <v>586</v>
      </c>
      <c r="AC92" s="260">
        <v>7</v>
      </c>
    </row>
    <row r="93" spans="2:30" x14ac:dyDescent="0.2">
      <c r="B93" s="260">
        <v>21</v>
      </c>
      <c r="C93" s="260" t="s">
        <v>212</v>
      </c>
      <c r="D93" s="260">
        <v>210.5</v>
      </c>
      <c r="E93" s="260">
        <v>220</v>
      </c>
      <c r="F93" s="260">
        <v>0.59345000000000003</v>
      </c>
      <c r="G93" s="260">
        <v>738.54100000000005</v>
      </c>
      <c r="H93" s="260">
        <v>782.63300000000004</v>
      </c>
      <c r="I93" s="260">
        <v>810.19050000000004</v>
      </c>
      <c r="J93" s="260">
        <v>0</v>
      </c>
      <c r="K93" s="260">
        <v>810.19050000000004</v>
      </c>
      <c r="L93" s="260">
        <v>501.54650000000004</v>
      </c>
      <c r="M93" s="260">
        <v>-534.6155</v>
      </c>
      <c r="N93" s="260">
        <v>551.15</v>
      </c>
      <c r="O93" s="260">
        <v>0</v>
      </c>
      <c r="P93" s="260">
        <v>551.15</v>
      </c>
      <c r="Q93" s="260">
        <v>1361.3405</v>
      </c>
      <c r="R93" s="260">
        <v>705.47199999999998</v>
      </c>
      <c r="S93" s="260">
        <v>-749.56400000000008</v>
      </c>
      <c r="T93" s="260">
        <v>-749.56400000000008</v>
      </c>
      <c r="U93" s="260">
        <v>0</v>
      </c>
      <c r="V93" s="260">
        <v>705.47199999999998</v>
      </c>
      <c r="W93" s="261">
        <v>2066.8125</v>
      </c>
      <c r="X93" s="261">
        <v>556.359375</v>
      </c>
      <c r="Y93" s="261">
        <v>567.48656249999999</v>
      </c>
      <c r="Z93" s="262">
        <v>1</v>
      </c>
      <c r="AA93" s="259" t="s">
        <v>561</v>
      </c>
      <c r="AB93" s="262" t="s">
        <v>587</v>
      </c>
      <c r="AC93" s="260">
        <v>7</v>
      </c>
    </row>
    <row r="94" spans="2:30" x14ac:dyDescent="0.2">
      <c r="B94" s="260">
        <v>17</v>
      </c>
      <c r="C94" s="260" t="s">
        <v>214</v>
      </c>
      <c r="D94" s="260">
        <v>151.5</v>
      </c>
      <c r="E94" s="260">
        <v>165</v>
      </c>
      <c r="F94" s="260">
        <v>0.73744999999999994</v>
      </c>
      <c r="G94" s="260">
        <v>-551.15</v>
      </c>
      <c r="H94" s="260">
        <v>-551.15</v>
      </c>
      <c r="I94" s="260">
        <v>551.15</v>
      </c>
      <c r="J94" s="260">
        <v>0</v>
      </c>
      <c r="K94" s="260">
        <v>551.15</v>
      </c>
      <c r="L94" s="260">
        <v>319.66700000000003</v>
      </c>
      <c r="M94" s="260">
        <v>-341.71300000000002</v>
      </c>
      <c r="N94" s="260">
        <v>-341.71300000000002</v>
      </c>
      <c r="O94" s="260">
        <v>0</v>
      </c>
      <c r="P94" s="260">
        <v>319.66700000000003</v>
      </c>
      <c r="Q94" s="260">
        <v>870.81700000000001</v>
      </c>
      <c r="R94" s="260">
        <v>501.54650000000004</v>
      </c>
      <c r="S94" s="260">
        <v>551.15</v>
      </c>
      <c r="T94" s="260">
        <v>573.19600000000003</v>
      </c>
      <c r="U94" s="260">
        <v>0</v>
      </c>
      <c r="V94" s="260">
        <v>573.19600000000003</v>
      </c>
      <c r="W94" s="261">
        <v>1444.0130000000001</v>
      </c>
      <c r="X94" s="261">
        <v>483.02974999999998</v>
      </c>
      <c r="Y94" s="261">
        <v>521.67213000000004</v>
      </c>
      <c r="Z94" s="262">
        <v>1</v>
      </c>
      <c r="AA94" s="259" t="s">
        <v>554</v>
      </c>
      <c r="AB94" s="262" t="s">
        <v>583</v>
      </c>
      <c r="AC94" s="260">
        <v>7</v>
      </c>
    </row>
    <row r="95" spans="2:30" x14ac:dyDescent="0.2">
      <c r="B95" s="260">
        <v>16</v>
      </c>
      <c r="C95" s="260" t="s">
        <v>214</v>
      </c>
      <c r="D95" s="260">
        <v>208.5</v>
      </c>
      <c r="E95" s="260">
        <v>220</v>
      </c>
      <c r="F95" s="260">
        <v>0.59614999999999996</v>
      </c>
      <c r="G95" s="260">
        <v>501.54650000000004</v>
      </c>
      <c r="H95" s="260">
        <v>540.12700000000007</v>
      </c>
      <c r="I95" s="260">
        <v>-573.19600000000003</v>
      </c>
      <c r="J95" s="260">
        <v>0</v>
      </c>
      <c r="K95" s="260">
        <v>540.12700000000007</v>
      </c>
      <c r="L95" s="260">
        <v>341.71300000000002</v>
      </c>
      <c r="M95" s="260">
        <v>-352.73599999999999</v>
      </c>
      <c r="N95" s="260">
        <v>352.73599999999999</v>
      </c>
      <c r="O95" s="260">
        <v>0</v>
      </c>
      <c r="P95" s="260">
        <v>352.73599999999999</v>
      </c>
      <c r="Q95" s="260">
        <v>892.86300000000006</v>
      </c>
      <c r="R95" s="260">
        <v>534.6155</v>
      </c>
      <c r="S95" s="260">
        <v>573.19600000000003</v>
      </c>
      <c r="T95" s="260">
        <v>606.26499999999999</v>
      </c>
      <c r="U95" s="260">
        <v>0</v>
      </c>
      <c r="V95" s="260">
        <v>606.26499999999999</v>
      </c>
      <c r="W95" s="261">
        <v>1499.1280000000002</v>
      </c>
      <c r="X95" s="261">
        <v>405.38199999999995</v>
      </c>
      <c r="Y95" s="261">
        <v>458.08165999999989</v>
      </c>
      <c r="Z95" s="262">
        <v>1</v>
      </c>
      <c r="AA95" s="259" t="s">
        <v>552</v>
      </c>
      <c r="AB95" s="262" t="s">
        <v>585</v>
      </c>
      <c r="AC95" s="260">
        <v>7</v>
      </c>
    </row>
    <row r="96" spans="2:30" x14ac:dyDescent="0.2">
      <c r="B96" s="260">
        <v>16</v>
      </c>
      <c r="C96" s="260" t="s">
        <v>214</v>
      </c>
      <c r="D96" s="260">
        <v>229</v>
      </c>
      <c r="E96" s="260">
        <v>242</v>
      </c>
      <c r="F96" s="260">
        <v>0.57374999999999998</v>
      </c>
      <c r="G96" s="260">
        <v>600.75350000000003</v>
      </c>
      <c r="H96" s="260">
        <v>639.33400000000006</v>
      </c>
      <c r="I96" s="260">
        <v>661.38</v>
      </c>
      <c r="J96" s="260">
        <v>0</v>
      </c>
      <c r="K96" s="260">
        <v>661.38</v>
      </c>
      <c r="L96" s="260">
        <v>308.64400000000001</v>
      </c>
      <c r="M96" s="260">
        <v>347.22450000000003</v>
      </c>
      <c r="N96" s="260">
        <v>358.2475</v>
      </c>
      <c r="O96" s="260">
        <v>0</v>
      </c>
      <c r="P96" s="260">
        <v>358.2475</v>
      </c>
      <c r="Q96" s="260">
        <v>1019.6275000000001</v>
      </c>
      <c r="R96" s="260">
        <v>-462.96600000000001</v>
      </c>
      <c r="S96" s="260">
        <v>-473.98900000000003</v>
      </c>
      <c r="T96" s="260">
        <v>473.98900000000003</v>
      </c>
      <c r="U96" s="260">
        <v>0</v>
      </c>
      <c r="V96" s="260">
        <v>473.98900000000003</v>
      </c>
      <c r="W96" s="261">
        <v>1493.6165000000001</v>
      </c>
      <c r="X96" s="261">
        <v>388.71562499999999</v>
      </c>
      <c r="Y96" s="261">
        <v>439.24865624999995</v>
      </c>
      <c r="Z96" s="262">
        <v>1</v>
      </c>
      <c r="AA96" s="259" t="s">
        <v>553</v>
      </c>
      <c r="AB96" s="262" t="s">
        <v>579</v>
      </c>
      <c r="AC96" s="260">
        <v>7</v>
      </c>
    </row>
    <row r="97" spans="2:30" x14ac:dyDescent="0.2">
      <c r="B97" s="260">
        <v>15</v>
      </c>
      <c r="C97" s="260" t="s">
        <v>213</v>
      </c>
      <c r="D97" s="260">
        <v>113.5</v>
      </c>
      <c r="E97" s="260">
        <v>114</v>
      </c>
      <c r="F97" s="260">
        <v>0.9768</v>
      </c>
      <c r="G97" s="260">
        <v>303.13249999999999</v>
      </c>
      <c r="H97" s="260">
        <v>330.69</v>
      </c>
      <c r="I97" s="260">
        <v>-358.2475</v>
      </c>
      <c r="J97" s="260">
        <v>0</v>
      </c>
      <c r="K97" s="260">
        <v>330.69</v>
      </c>
      <c r="L97" s="260">
        <v>198.41400000000002</v>
      </c>
      <c r="M97" s="260">
        <v>214.94850000000002</v>
      </c>
      <c r="N97" s="260">
        <v>225.97150000000002</v>
      </c>
      <c r="O97" s="260">
        <v>0</v>
      </c>
      <c r="P97" s="260">
        <v>225.97150000000002</v>
      </c>
      <c r="Q97" s="260">
        <v>556.66150000000005</v>
      </c>
      <c r="R97" s="260">
        <v>308.64400000000001</v>
      </c>
      <c r="S97" s="260">
        <v>330.69</v>
      </c>
      <c r="T97" s="260">
        <v>352.73599999999999</v>
      </c>
      <c r="U97" s="260">
        <v>0</v>
      </c>
      <c r="V97" s="260">
        <v>352.73599999999999</v>
      </c>
      <c r="W97" s="261">
        <v>909.39750000000004</v>
      </c>
      <c r="X97" s="261">
        <v>402.93</v>
      </c>
      <c r="Y97" s="261">
        <v>475.45740000000001</v>
      </c>
      <c r="Z97" s="262">
        <v>1</v>
      </c>
      <c r="AA97" s="259" t="s">
        <v>550</v>
      </c>
      <c r="AB97" s="262" t="s">
        <v>578</v>
      </c>
      <c r="AC97" s="260">
        <v>7</v>
      </c>
    </row>
    <row r="98" spans="2:30" x14ac:dyDescent="0.2">
      <c r="B98" s="260">
        <v>14</v>
      </c>
      <c r="C98" s="260" t="s">
        <v>213</v>
      </c>
      <c r="D98" s="260">
        <v>112</v>
      </c>
      <c r="E98" s="260">
        <v>114</v>
      </c>
      <c r="F98" s="260">
        <v>0.9919</v>
      </c>
      <c r="G98" s="260">
        <v>192.9025</v>
      </c>
      <c r="H98" s="260">
        <v>-214.94850000000002</v>
      </c>
      <c r="I98" s="260">
        <v>214.94850000000002</v>
      </c>
      <c r="J98" s="260">
        <v>0</v>
      </c>
      <c r="K98" s="260">
        <v>214.94850000000002</v>
      </c>
      <c r="L98" s="260">
        <v>110.23</v>
      </c>
      <c r="M98" s="260">
        <v>-121.253</v>
      </c>
      <c r="N98" s="260">
        <v>121.253</v>
      </c>
      <c r="O98" s="260">
        <v>0</v>
      </c>
      <c r="P98" s="260">
        <v>121.253</v>
      </c>
      <c r="Q98" s="260">
        <v>336.20150000000001</v>
      </c>
      <c r="R98" s="260">
        <v>248.01750000000001</v>
      </c>
      <c r="S98" s="260">
        <v>264.55200000000002</v>
      </c>
      <c r="T98" s="260">
        <v>-286.59800000000001</v>
      </c>
      <c r="U98" s="260">
        <v>0</v>
      </c>
      <c r="V98" s="260">
        <v>264.55200000000002</v>
      </c>
      <c r="W98" s="261">
        <v>600.75350000000003</v>
      </c>
      <c r="X98" s="261">
        <v>270.29275000000001</v>
      </c>
      <c r="Y98" s="261">
        <v>332.4600825</v>
      </c>
      <c r="Z98" s="262">
        <v>1</v>
      </c>
      <c r="AA98" s="259" t="s">
        <v>549</v>
      </c>
      <c r="AB98" s="262" t="s">
        <v>577</v>
      </c>
      <c r="AC98" s="260">
        <v>5</v>
      </c>
    </row>
    <row r="99" spans="2:30" x14ac:dyDescent="0.2">
      <c r="B99" s="260">
        <v>15</v>
      </c>
      <c r="C99" s="260" t="s">
        <v>213</v>
      </c>
      <c r="D99" s="260">
        <v>180.7</v>
      </c>
      <c r="E99" s="260">
        <v>181</v>
      </c>
      <c r="F99" s="260">
        <v>0.64715</v>
      </c>
      <c r="G99" s="260">
        <v>462.96600000000001</v>
      </c>
      <c r="H99" s="260">
        <v>490.52350000000001</v>
      </c>
      <c r="I99" s="260">
        <v>-512.56950000000006</v>
      </c>
      <c r="J99" s="260">
        <v>0</v>
      </c>
      <c r="K99" s="260">
        <v>490.52350000000001</v>
      </c>
      <c r="L99" s="260">
        <v>253.52900000000002</v>
      </c>
      <c r="M99" s="260">
        <v>270.06350000000003</v>
      </c>
      <c r="N99" s="260">
        <v>303.13249999999999</v>
      </c>
      <c r="O99" s="260">
        <v>0</v>
      </c>
      <c r="P99" s="260">
        <v>303.13249999999999</v>
      </c>
      <c r="Q99" s="260">
        <v>793.65600000000006</v>
      </c>
      <c r="R99" s="260">
        <v>451.94300000000004</v>
      </c>
      <c r="S99" s="260">
        <v>485.012</v>
      </c>
      <c r="T99" s="260">
        <v>501.54650000000004</v>
      </c>
      <c r="U99" s="260">
        <v>0</v>
      </c>
      <c r="V99" s="260">
        <v>501.54650000000004</v>
      </c>
      <c r="W99" s="261">
        <v>1295.2025000000001</v>
      </c>
      <c r="X99" s="261">
        <v>380.200625</v>
      </c>
      <c r="Y99" s="261">
        <v>448.63673749999998</v>
      </c>
      <c r="Z99" s="262">
        <v>1</v>
      </c>
      <c r="AA99" s="259" t="s">
        <v>551</v>
      </c>
      <c r="AB99" s="262" t="s">
        <v>580</v>
      </c>
      <c r="AC99" s="260">
        <v>7</v>
      </c>
    </row>
    <row r="100" spans="2:30" x14ac:dyDescent="0.2">
      <c r="B100" s="260">
        <v>41</v>
      </c>
      <c r="C100" s="260" t="s">
        <v>517</v>
      </c>
      <c r="D100" s="260">
        <v>254.5</v>
      </c>
      <c r="E100" s="260">
        <v>275</v>
      </c>
      <c r="F100" s="260">
        <v>0.55574999999999997</v>
      </c>
      <c r="G100" s="260">
        <v>551.15</v>
      </c>
      <c r="H100" s="260">
        <v>606.26499999999999</v>
      </c>
      <c r="I100" s="260">
        <v>-639.33400000000006</v>
      </c>
      <c r="J100" s="260">
        <v>0</v>
      </c>
      <c r="K100" s="260">
        <v>606.26499999999999</v>
      </c>
      <c r="L100" s="260">
        <v>407.851</v>
      </c>
      <c r="M100" s="260">
        <v>429.89700000000005</v>
      </c>
      <c r="N100" s="260">
        <v>468.47750000000002</v>
      </c>
      <c r="O100" s="260">
        <v>0</v>
      </c>
      <c r="P100" s="260">
        <v>468.47750000000002</v>
      </c>
      <c r="Q100" s="260">
        <v>1074.7425000000001</v>
      </c>
      <c r="R100" s="260">
        <v>330.69</v>
      </c>
      <c r="S100" s="260">
        <v>352.73599999999999</v>
      </c>
      <c r="T100" s="260">
        <v>407.851</v>
      </c>
      <c r="U100" s="260">
        <v>0</v>
      </c>
      <c r="V100" s="260">
        <v>407.851</v>
      </c>
      <c r="W100" s="261">
        <v>1482.5935000000002</v>
      </c>
      <c r="X100" s="261">
        <v>373.74187499999999</v>
      </c>
      <c r="Y100" s="261">
        <v>377.47929375000001</v>
      </c>
      <c r="Z100" s="262" t="e">
        <v>#N/A</v>
      </c>
      <c r="AA100" s="259" t="s">
        <v>516</v>
      </c>
      <c r="AB100" s="262">
        <v>0</v>
      </c>
      <c r="AC100" s="260">
        <v>7</v>
      </c>
    </row>
    <row r="101" spans="2:30" x14ac:dyDescent="0.2">
      <c r="B101" s="260">
        <v>41</v>
      </c>
      <c r="C101" s="260" t="s">
        <v>505</v>
      </c>
      <c r="D101" s="260">
        <v>254.4</v>
      </c>
      <c r="E101" s="260">
        <v>275</v>
      </c>
      <c r="F101" s="260">
        <v>0.55574999999999997</v>
      </c>
      <c r="G101" s="260">
        <v>551.15</v>
      </c>
      <c r="H101" s="260">
        <v>606.26499999999999</v>
      </c>
      <c r="I101" s="260">
        <v>-639.33400000000006</v>
      </c>
      <c r="J101" s="260">
        <v>0</v>
      </c>
      <c r="K101" s="260">
        <v>606.26499999999999</v>
      </c>
      <c r="L101" s="260">
        <v>407.851</v>
      </c>
      <c r="M101" s="260">
        <v>429.89700000000005</v>
      </c>
      <c r="N101" s="260">
        <v>468.47750000000002</v>
      </c>
      <c r="O101" s="260">
        <v>0</v>
      </c>
      <c r="P101" s="260">
        <v>468.47750000000002</v>
      </c>
      <c r="Q101" s="260">
        <v>1074.7425000000001</v>
      </c>
      <c r="R101" s="260">
        <v>330.69</v>
      </c>
      <c r="S101" s="260">
        <v>352.73599999999999</v>
      </c>
      <c r="T101" s="260">
        <v>407.851</v>
      </c>
      <c r="U101" s="260">
        <v>0</v>
      </c>
      <c r="V101" s="260">
        <v>407.851</v>
      </c>
      <c r="W101" s="261">
        <v>1482.5935000000002</v>
      </c>
      <c r="X101" s="261">
        <v>373.74187499999999</v>
      </c>
      <c r="Y101" s="261">
        <v>377.47929375000001</v>
      </c>
      <c r="Z101" s="262" t="e">
        <v>#N/A</v>
      </c>
      <c r="AA101" s="259" t="s">
        <v>515</v>
      </c>
      <c r="AB101" s="262">
        <v>0</v>
      </c>
      <c r="AC101" s="260">
        <v>7</v>
      </c>
    </row>
    <row r="102" spans="2:30" x14ac:dyDescent="0.2">
      <c r="B102" s="260">
        <v>38</v>
      </c>
      <c r="C102" s="260" t="s">
        <v>498</v>
      </c>
      <c r="D102" s="260">
        <v>213</v>
      </c>
      <c r="E102" s="260">
        <v>220</v>
      </c>
      <c r="F102" s="260">
        <v>0.59019999999999995</v>
      </c>
      <c r="G102" s="260">
        <v>402.33950000000004</v>
      </c>
      <c r="H102" s="260">
        <v>440.92</v>
      </c>
      <c r="I102" s="260">
        <v>-473.98900000000003</v>
      </c>
      <c r="J102" s="260">
        <v>0</v>
      </c>
      <c r="K102" s="260">
        <v>440.92</v>
      </c>
      <c r="L102" s="260">
        <v>225.97150000000002</v>
      </c>
      <c r="M102" s="260">
        <v>264.55200000000002</v>
      </c>
      <c r="N102" s="260">
        <v>-281.0865</v>
      </c>
      <c r="O102" s="260">
        <v>0</v>
      </c>
      <c r="P102" s="260">
        <v>264.55200000000002</v>
      </c>
      <c r="Q102" s="260">
        <v>705.47199999999998</v>
      </c>
      <c r="R102" s="260">
        <v>363.75900000000001</v>
      </c>
      <c r="S102" s="260">
        <v>-402.33950000000004</v>
      </c>
      <c r="T102" s="260">
        <v>402.33950000000004</v>
      </c>
      <c r="U102" s="260">
        <v>0</v>
      </c>
      <c r="V102" s="260">
        <v>402.33950000000004</v>
      </c>
      <c r="W102" s="261">
        <v>1107.8115</v>
      </c>
      <c r="X102" s="261">
        <v>296.57549999999998</v>
      </c>
      <c r="Y102" s="261">
        <v>0</v>
      </c>
      <c r="Z102" s="262" t="e">
        <v>#N/A</v>
      </c>
      <c r="AA102" s="259" t="s">
        <v>497</v>
      </c>
      <c r="AB102" s="262">
        <v>0</v>
      </c>
      <c r="AC102" s="260">
        <v>7</v>
      </c>
    </row>
    <row r="103" spans="2:30" x14ac:dyDescent="0.2">
      <c r="B103" s="260">
        <v>59</v>
      </c>
      <c r="C103" s="260" t="s">
        <v>501</v>
      </c>
      <c r="D103" s="260">
        <v>214.2</v>
      </c>
      <c r="E103" s="260">
        <v>220</v>
      </c>
      <c r="F103" s="260">
        <v>0.58855000000000002</v>
      </c>
      <c r="G103" s="260">
        <v>424.38550000000004</v>
      </c>
      <c r="H103" s="260">
        <v>451.94300000000004</v>
      </c>
      <c r="I103" s="260">
        <v>485.012</v>
      </c>
      <c r="J103" s="260">
        <v>0</v>
      </c>
      <c r="K103" s="260">
        <v>485.012</v>
      </c>
      <c r="L103" s="260">
        <v>385.80500000000001</v>
      </c>
      <c r="M103" s="260">
        <v>-402.33950000000004</v>
      </c>
      <c r="N103" s="260">
        <v>0</v>
      </c>
      <c r="O103" s="260">
        <v>0</v>
      </c>
      <c r="P103" s="260">
        <v>385.80500000000001</v>
      </c>
      <c r="Q103" s="260">
        <v>870.81700000000001</v>
      </c>
      <c r="R103" s="260">
        <v>451.94300000000004</v>
      </c>
      <c r="S103" s="260">
        <v>485.012</v>
      </c>
      <c r="T103" s="260">
        <v>-501.54650000000004</v>
      </c>
      <c r="U103" s="260">
        <v>0</v>
      </c>
      <c r="V103" s="260">
        <v>485.012</v>
      </c>
      <c r="W103" s="261">
        <v>1355.8290000000002</v>
      </c>
      <c r="X103" s="261">
        <v>361.95825000000002</v>
      </c>
      <c r="Y103" s="261">
        <v>475.97509875000003</v>
      </c>
      <c r="Z103" s="262" t="e">
        <v>#N/A</v>
      </c>
      <c r="AA103" s="259" t="s">
        <v>500</v>
      </c>
      <c r="AB103" s="262">
        <v>0</v>
      </c>
      <c r="AC103" s="260">
        <v>7</v>
      </c>
    </row>
    <row r="104" spans="2:30" x14ac:dyDescent="0.2">
      <c r="B104" s="260">
        <v>20</v>
      </c>
      <c r="C104" s="260" t="s">
        <v>495</v>
      </c>
      <c r="D104" s="260">
        <v>235.5</v>
      </c>
      <c r="E104" s="260">
        <v>242</v>
      </c>
      <c r="F104" s="260">
        <v>0.56745000000000001</v>
      </c>
      <c r="G104" s="260">
        <v>385.80500000000001</v>
      </c>
      <c r="H104" s="260">
        <v>407.851</v>
      </c>
      <c r="I104" s="260">
        <v>418.87400000000002</v>
      </c>
      <c r="J104" s="260">
        <v>0</v>
      </c>
      <c r="K104" s="260">
        <v>418.87400000000002</v>
      </c>
      <c r="L104" s="260">
        <v>270.06350000000003</v>
      </c>
      <c r="M104" s="260">
        <v>292.10950000000003</v>
      </c>
      <c r="N104" s="260">
        <v>-308.64400000000001</v>
      </c>
      <c r="O104" s="260">
        <v>0</v>
      </c>
      <c r="P104" s="260">
        <v>292.10950000000003</v>
      </c>
      <c r="Q104" s="260">
        <v>710.98350000000005</v>
      </c>
      <c r="R104" s="260">
        <v>451.94300000000004</v>
      </c>
      <c r="S104" s="260">
        <v>473.98900000000003</v>
      </c>
      <c r="T104" s="260">
        <v>501.54650000000004</v>
      </c>
      <c r="U104" s="260">
        <v>0</v>
      </c>
      <c r="V104" s="260">
        <v>501.54650000000004</v>
      </c>
      <c r="W104" s="261">
        <v>1212.53</v>
      </c>
      <c r="X104" s="261">
        <v>312.09750000000003</v>
      </c>
      <c r="Y104" s="261">
        <v>321.46042500000004</v>
      </c>
      <c r="Z104" s="262" t="e">
        <v>#N/A</v>
      </c>
      <c r="AA104" s="259" t="s">
        <v>494</v>
      </c>
      <c r="AB104" s="262">
        <v>0</v>
      </c>
      <c r="AC104" s="260">
        <v>7</v>
      </c>
    </row>
    <row r="105" spans="2:30" x14ac:dyDescent="0.2">
      <c r="B105" s="246">
        <v>27</v>
      </c>
      <c r="C105" s="246" t="s">
        <v>505</v>
      </c>
      <c r="D105" s="246">
        <v>238</v>
      </c>
      <c r="E105" s="246">
        <v>242</v>
      </c>
      <c r="F105" s="246">
        <v>0.5655</v>
      </c>
      <c r="G105" s="246">
        <v>485.012</v>
      </c>
      <c r="H105" s="246">
        <v>-518.08100000000002</v>
      </c>
      <c r="I105" s="246">
        <v>518.08100000000002</v>
      </c>
      <c r="J105" s="246">
        <v>0</v>
      </c>
      <c r="K105" s="246">
        <v>518.08100000000002</v>
      </c>
      <c r="L105" s="246">
        <v>369.27050000000003</v>
      </c>
      <c r="M105" s="246">
        <v>385.80500000000001</v>
      </c>
      <c r="N105" s="246">
        <v>-402.33950000000004</v>
      </c>
      <c r="O105" s="246">
        <v>0</v>
      </c>
      <c r="P105" s="246">
        <v>385.80500000000001</v>
      </c>
      <c r="Q105" s="246">
        <v>903.88600000000008</v>
      </c>
      <c r="R105" s="246">
        <v>507.05800000000005</v>
      </c>
      <c r="S105" s="246">
        <v>540.12700000000007</v>
      </c>
      <c r="T105" s="246">
        <v>-567.68450000000007</v>
      </c>
      <c r="U105" s="246">
        <v>0</v>
      </c>
      <c r="V105" s="246">
        <v>540.12700000000007</v>
      </c>
      <c r="W105" s="247">
        <v>1444.0130000000001</v>
      </c>
      <c r="X105" s="247">
        <v>370.40249999999997</v>
      </c>
      <c r="Y105" s="247">
        <v>0</v>
      </c>
      <c r="Z105" s="248" t="e">
        <v>#N/A</v>
      </c>
      <c r="AA105" s="245" t="s">
        <v>510</v>
      </c>
      <c r="AB105" s="248">
        <v>0</v>
      </c>
      <c r="AC105" s="246">
        <v>7</v>
      </c>
      <c r="AD105" s="246"/>
    </row>
    <row r="106" spans="2:30" x14ac:dyDescent="0.2">
      <c r="B106" s="260">
        <v>26</v>
      </c>
      <c r="C106" s="260" t="s">
        <v>505</v>
      </c>
      <c r="D106" s="260">
        <v>177.6</v>
      </c>
      <c r="E106" s="260">
        <v>181</v>
      </c>
      <c r="F106" s="260">
        <v>0.65449999999999997</v>
      </c>
      <c r="G106" s="260">
        <v>-424.38550000000004</v>
      </c>
      <c r="H106" s="260">
        <v>440.92</v>
      </c>
      <c r="I106" s="260">
        <v>501.54650000000004</v>
      </c>
      <c r="J106" s="260">
        <v>0</v>
      </c>
      <c r="K106" s="260">
        <v>501.54650000000004</v>
      </c>
      <c r="L106" s="260">
        <v>286.59800000000001</v>
      </c>
      <c r="M106" s="260">
        <v>-330.69</v>
      </c>
      <c r="N106" s="260">
        <v>-330.69</v>
      </c>
      <c r="O106" s="260">
        <v>0</v>
      </c>
      <c r="P106" s="260">
        <v>286.59800000000001</v>
      </c>
      <c r="Q106" s="260">
        <v>788.14449999999999</v>
      </c>
      <c r="R106" s="260">
        <v>512.56950000000006</v>
      </c>
      <c r="S106" s="260">
        <v>551.15</v>
      </c>
      <c r="T106" s="260">
        <v>-573.19600000000003</v>
      </c>
      <c r="U106" s="260">
        <v>0</v>
      </c>
      <c r="V106" s="260">
        <v>551.15</v>
      </c>
      <c r="W106" s="261">
        <v>1339.2945</v>
      </c>
      <c r="X106" s="261">
        <v>397.60874999999999</v>
      </c>
      <c r="Y106" s="261">
        <v>0</v>
      </c>
      <c r="Z106" s="262" t="e">
        <v>#N/A</v>
      </c>
      <c r="AA106" s="259" t="s">
        <v>504</v>
      </c>
      <c r="AB106" s="262">
        <v>0</v>
      </c>
      <c r="AC106" s="260">
        <v>7</v>
      </c>
    </row>
    <row r="107" spans="2:30" x14ac:dyDescent="0.2">
      <c r="B107" s="260">
        <v>46</v>
      </c>
      <c r="C107" s="260" t="s">
        <v>513</v>
      </c>
      <c r="D107" s="260">
        <v>237.4</v>
      </c>
      <c r="E107" s="260">
        <v>242</v>
      </c>
      <c r="F107" s="260">
        <v>0.56594999999999995</v>
      </c>
      <c r="G107" s="260">
        <v>529.10400000000004</v>
      </c>
      <c r="H107" s="260">
        <v>-551.15</v>
      </c>
      <c r="I107" s="260">
        <v>-567.68450000000007</v>
      </c>
      <c r="J107" s="260">
        <v>0</v>
      </c>
      <c r="K107" s="260">
        <v>529.10400000000004</v>
      </c>
      <c r="L107" s="260">
        <v>143.29900000000001</v>
      </c>
      <c r="M107" s="260">
        <v>0</v>
      </c>
      <c r="N107" s="260">
        <v>0</v>
      </c>
      <c r="O107" s="260">
        <v>0</v>
      </c>
      <c r="P107" s="260">
        <v>143.29900000000001</v>
      </c>
      <c r="Q107" s="260">
        <v>672.40300000000002</v>
      </c>
      <c r="R107" s="260">
        <v>556.66150000000005</v>
      </c>
      <c r="S107" s="260">
        <v>584.21900000000005</v>
      </c>
      <c r="T107" s="260">
        <v>0</v>
      </c>
      <c r="U107" s="260">
        <v>0</v>
      </c>
      <c r="V107" s="260">
        <v>584.21900000000005</v>
      </c>
      <c r="W107" s="261">
        <v>1256.6220000000001</v>
      </c>
      <c r="X107" s="261">
        <v>322.5915</v>
      </c>
      <c r="Y107" s="261">
        <v>344.52772200000004</v>
      </c>
      <c r="Z107" s="262" t="e">
        <v>#N/A</v>
      </c>
      <c r="AA107" s="259" t="s">
        <v>512</v>
      </c>
      <c r="AB107" s="262">
        <v>0</v>
      </c>
      <c r="AC107" s="260">
        <v>7</v>
      </c>
    </row>
    <row r="108" spans="2:30" x14ac:dyDescent="0.2">
      <c r="B108" s="260">
        <v>25</v>
      </c>
      <c r="C108" s="260" t="s">
        <v>505</v>
      </c>
      <c r="D108" s="260">
        <v>258.5</v>
      </c>
      <c r="E108" s="260">
        <v>275</v>
      </c>
      <c r="F108" s="260">
        <v>0.55374999999999996</v>
      </c>
      <c r="G108" s="260">
        <v>501.54650000000004</v>
      </c>
      <c r="H108" s="260">
        <v>545.63850000000002</v>
      </c>
      <c r="I108" s="260">
        <v>-584.21900000000005</v>
      </c>
      <c r="J108" s="260">
        <v>0</v>
      </c>
      <c r="K108" s="260">
        <v>545.63850000000002</v>
      </c>
      <c r="L108" s="260">
        <v>286.59800000000001</v>
      </c>
      <c r="M108" s="260">
        <v>303.13249999999999</v>
      </c>
      <c r="N108" s="260">
        <v>-314.15550000000002</v>
      </c>
      <c r="O108" s="260">
        <v>0</v>
      </c>
      <c r="P108" s="260">
        <v>303.13249999999999</v>
      </c>
      <c r="Q108" s="260">
        <v>848.77100000000007</v>
      </c>
      <c r="R108" s="260">
        <v>573.19600000000003</v>
      </c>
      <c r="S108" s="260">
        <v>-600.75350000000003</v>
      </c>
      <c r="T108" s="260">
        <v>-600.75350000000003</v>
      </c>
      <c r="U108" s="260">
        <v>0</v>
      </c>
      <c r="V108" s="260">
        <v>573.19600000000003</v>
      </c>
      <c r="W108" s="261">
        <v>1421.9670000000001</v>
      </c>
      <c r="X108" s="261">
        <v>357.16874999999999</v>
      </c>
      <c r="Y108" s="261">
        <v>0</v>
      </c>
      <c r="Z108" s="262" t="e">
        <v>#N/A</v>
      </c>
      <c r="AA108" s="259" t="s">
        <v>511</v>
      </c>
      <c r="AB108" s="262">
        <v>0</v>
      </c>
      <c r="AC108" s="260">
        <v>7</v>
      </c>
    </row>
    <row r="109" spans="2:30" x14ac:dyDescent="0.2">
      <c r="B109" s="260">
        <v>52</v>
      </c>
      <c r="C109" s="260" t="s">
        <v>507</v>
      </c>
      <c r="D109" s="260">
        <v>288</v>
      </c>
      <c r="E109" s="260">
        <v>308</v>
      </c>
      <c r="F109" s="260">
        <v>0.53964999999999996</v>
      </c>
      <c r="G109" s="260">
        <v>451.94300000000004</v>
      </c>
      <c r="H109" s="260">
        <v>-507.05800000000005</v>
      </c>
      <c r="I109" s="260">
        <v>507.05800000000005</v>
      </c>
      <c r="J109" s="260">
        <v>0</v>
      </c>
      <c r="K109" s="260">
        <v>507.05800000000005</v>
      </c>
      <c r="L109" s="260">
        <v>319.66700000000003</v>
      </c>
      <c r="M109" s="260">
        <v>352.73599999999999</v>
      </c>
      <c r="N109" s="260">
        <v>-374.78200000000004</v>
      </c>
      <c r="O109" s="260">
        <v>0</v>
      </c>
      <c r="P109" s="260">
        <v>352.73599999999999</v>
      </c>
      <c r="Q109" s="260">
        <v>859.7940000000001</v>
      </c>
      <c r="R109" s="260">
        <v>650.35700000000008</v>
      </c>
      <c r="S109" s="260">
        <v>727.51800000000003</v>
      </c>
      <c r="T109" s="260">
        <v>0</v>
      </c>
      <c r="U109" s="260">
        <v>0</v>
      </c>
      <c r="V109" s="260">
        <v>727.51800000000003</v>
      </c>
      <c r="W109" s="261">
        <v>1587.3120000000001</v>
      </c>
      <c r="X109" s="261">
        <v>388.548</v>
      </c>
      <c r="Y109" s="261">
        <v>452.65842000000004</v>
      </c>
      <c r="Z109" s="262" t="e">
        <v>#N/A</v>
      </c>
      <c r="AA109" s="259" t="s">
        <v>506</v>
      </c>
      <c r="AB109" s="262">
        <v>0</v>
      </c>
      <c r="AC109" s="260">
        <v>7</v>
      </c>
    </row>
  </sheetData>
  <phoneticPr fontId="0" type="noConversion"/>
  <conditionalFormatting sqref="G2:J2 L2:O2 R2:U2">
    <cfRule type="cellIs" dxfId="19" priority="2" stopIfTrue="1" operator="equal">
      <formula>#REF!</formula>
    </cfRule>
  </conditionalFormatting>
  <conditionalFormatting sqref="G57:J57 L57:O57 R57:U57">
    <cfRule type="cellIs" dxfId="18" priority="1" stopIfTrue="1" operator="equal">
      <formula>#REF!</formula>
    </cfRule>
  </conditionalFormatting>
  <printOptions gridLines="1"/>
  <pageMargins left="0.5" right="0.5" top="0.75" bottom="0.75" header="0.5" footer="0.5"/>
  <pageSetup paperSize="5" scale="38" fitToHeight="0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K61"/>
  <sheetViews>
    <sheetView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0" width="7.5703125" style="5" customWidth="1"/>
    <col min="11" max="13" width="9.7109375" style="243" customWidth="1"/>
    <col min="14" max="15" width="11.7109375" style="239" customWidth="1"/>
    <col min="16" max="17" width="9.140625" style="5"/>
  </cols>
  <sheetData>
    <row r="1" spans="1:33" s="139" customFormat="1" ht="30" customHeight="1" thickBot="1" x14ac:dyDescent="0.25">
      <c r="A1" s="244">
        <v>2018</v>
      </c>
      <c r="B1" s="139" t="s">
        <v>616</v>
      </c>
      <c r="C1" s="236"/>
      <c r="D1" s="236"/>
      <c r="E1" s="236"/>
      <c r="F1" s="236"/>
      <c r="G1" s="236"/>
      <c r="H1" s="236"/>
      <c r="I1" s="236"/>
      <c r="J1" s="236"/>
      <c r="K1" s="240"/>
      <c r="L1" s="240"/>
      <c r="M1" s="240"/>
      <c r="N1" s="237"/>
      <c r="O1" s="237"/>
      <c r="P1" s="236"/>
      <c r="Q1" s="236"/>
    </row>
    <row r="2" spans="1:33" s="103" customFormat="1" ht="28.5" customHeight="1" thickBot="1" x14ac:dyDescent="0.25">
      <c r="A2" s="99" t="s">
        <v>0</v>
      </c>
      <c r="B2" s="100" t="s">
        <v>1</v>
      </c>
      <c r="C2" s="101" t="s">
        <v>29</v>
      </c>
      <c r="D2" s="101" t="s">
        <v>208</v>
      </c>
      <c r="E2" s="101" t="s">
        <v>576</v>
      </c>
      <c r="F2" s="107" t="s">
        <v>217</v>
      </c>
      <c r="G2" s="102" t="s">
        <v>22</v>
      </c>
      <c r="H2" s="102" t="s">
        <v>23</v>
      </c>
      <c r="I2" s="102" t="s">
        <v>24</v>
      </c>
      <c r="J2" s="102" t="s">
        <v>25</v>
      </c>
      <c r="K2" s="241" t="s">
        <v>11</v>
      </c>
      <c r="L2" s="242" t="s">
        <v>134</v>
      </c>
      <c r="M2" s="242" t="s">
        <v>139</v>
      </c>
      <c r="N2" s="238" t="s">
        <v>180</v>
      </c>
      <c r="O2" s="238" t="s">
        <v>31</v>
      </c>
      <c r="P2" s="101" t="s">
        <v>181</v>
      </c>
      <c r="Q2" s="123" t="s">
        <v>45</v>
      </c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</row>
    <row r="37" spans="1:89" s="139" customFormat="1" ht="30" customHeight="1" x14ac:dyDescent="0.2">
      <c r="A37"/>
      <c r="B37" s="5"/>
      <c r="C37" s="5"/>
      <c r="D37" s="5"/>
      <c r="E37" s="5"/>
      <c r="F37" s="5"/>
      <c r="G37" s="5"/>
      <c r="H37" s="5"/>
      <c r="I37" s="5"/>
      <c r="J37" s="5"/>
      <c r="K37" s="243"/>
      <c r="L37" s="243"/>
      <c r="M37" s="243"/>
      <c r="N37" s="239"/>
      <c r="O37" s="239"/>
      <c r="P37" s="5"/>
      <c r="Q37" s="5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61" spans="1:89" ht="23.25" x14ac:dyDescent="0.2">
      <c r="A61" s="139"/>
      <c r="B61" s="236"/>
      <c r="C61" s="236"/>
      <c r="D61" s="236"/>
      <c r="E61" s="236"/>
      <c r="F61" s="236"/>
      <c r="G61" s="236"/>
      <c r="H61" s="236"/>
      <c r="I61" s="236"/>
      <c r="J61" s="236"/>
      <c r="K61" s="240"/>
      <c r="L61" s="240"/>
      <c r="M61" s="240"/>
      <c r="N61" s="237"/>
      <c r="O61" s="237"/>
      <c r="P61" s="236"/>
      <c r="Q61" s="236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</row>
  </sheetData>
  <phoneticPr fontId="0" type="noConversion"/>
  <conditionalFormatting sqref="G2:J2">
    <cfRule type="cellIs" dxfId="17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CL63"/>
  <sheetViews>
    <sheetView workbookViewId="0">
      <selection activeCell="S9" sqref="S9"/>
    </sheetView>
  </sheetViews>
  <sheetFormatPr defaultRowHeight="12.75" x14ac:dyDescent="0.2"/>
  <cols>
    <col min="2" max="2" width="5.7109375" style="5" customWidth="1"/>
    <col min="3" max="3" width="6.28515625" style="5" customWidth="1"/>
    <col min="4" max="4" width="6.5703125" style="5" customWidth="1"/>
    <col min="5" max="10" width="7.5703125" style="5" customWidth="1"/>
    <col min="11" max="13" width="9.7109375" style="243" customWidth="1"/>
    <col min="14" max="14" width="11.7109375" style="239" customWidth="1"/>
    <col min="15" max="15" width="18.7109375" customWidth="1"/>
    <col min="16" max="16" width="11.7109375" style="239" customWidth="1"/>
    <col min="17" max="18" width="9.140625" style="5"/>
  </cols>
  <sheetData>
    <row r="1" spans="2:90" s="139" customFormat="1" ht="30" customHeight="1" thickBot="1" x14ac:dyDescent="0.25">
      <c r="B1" s="139" t="s">
        <v>616</v>
      </c>
      <c r="C1" s="236"/>
      <c r="D1" s="236"/>
      <c r="E1" s="236"/>
      <c r="F1" s="236"/>
      <c r="G1" s="236"/>
      <c r="H1" s="236"/>
      <c r="I1" s="236"/>
      <c r="J1" s="236"/>
      <c r="K1" s="240"/>
      <c r="L1" s="240"/>
      <c r="M1" s="240"/>
      <c r="N1" s="237"/>
      <c r="O1" s="244">
        <v>2018</v>
      </c>
      <c r="P1" s="237"/>
      <c r="Q1" s="236"/>
      <c r="R1" s="236"/>
    </row>
    <row r="2" spans="2:90" s="103" customFormat="1" ht="28.5" customHeight="1" thickBot="1" x14ac:dyDescent="0.25">
      <c r="B2" s="100" t="s">
        <v>1</v>
      </c>
      <c r="C2" s="101" t="s">
        <v>29</v>
      </c>
      <c r="D2" s="101" t="s">
        <v>208</v>
      </c>
      <c r="E2" s="101" t="s">
        <v>576</v>
      </c>
      <c r="F2" s="107" t="s">
        <v>217</v>
      </c>
      <c r="G2" s="102" t="s">
        <v>12</v>
      </c>
      <c r="H2" s="102" t="s">
        <v>13</v>
      </c>
      <c r="I2" s="102" t="s">
        <v>14</v>
      </c>
      <c r="J2" s="102" t="s">
        <v>157</v>
      </c>
      <c r="K2" s="241" t="s">
        <v>15</v>
      </c>
      <c r="L2" s="242" t="s">
        <v>134</v>
      </c>
      <c r="M2" s="242" t="s">
        <v>139</v>
      </c>
      <c r="N2" s="238" t="s">
        <v>180</v>
      </c>
      <c r="O2" s="99" t="s">
        <v>0</v>
      </c>
      <c r="P2" s="238" t="s">
        <v>31</v>
      </c>
      <c r="Q2" s="101" t="s">
        <v>181</v>
      </c>
      <c r="R2" s="123" t="s">
        <v>45</v>
      </c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</row>
    <row r="3" spans="2:90" x14ac:dyDescent="0.2">
      <c r="B3" s="5">
        <v>54</v>
      </c>
      <c r="C3" s="5" t="s">
        <v>227</v>
      </c>
      <c r="D3" s="5">
        <v>122</v>
      </c>
      <c r="E3" s="5">
        <v>123</v>
      </c>
      <c r="F3" s="5">
        <v>1.0545</v>
      </c>
      <c r="G3" s="5">
        <v>70</v>
      </c>
      <c r="H3" s="5">
        <v>77.5</v>
      </c>
      <c r="I3" s="5">
        <v>-82.5</v>
      </c>
      <c r="K3" s="243">
        <v>77.5</v>
      </c>
      <c r="L3" s="243">
        <v>81.723749999999995</v>
      </c>
      <c r="M3" s="243">
        <v>98.395394999999994</v>
      </c>
      <c r="N3" s="239">
        <v>1</v>
      </c>
      <c r="O3" t="s">
        <v>546</v>
      </c>
      <c r="P3" s="239" t="s">
        <v>621</v>
      </c>
      <c r="Q3" s="5">
        <v>7</v>
      </c>
    </row>
    <row r="4" spans="2:90" x14ac:dyDescent="0.2">
      <c r="B4" s="5">
        <v>25</v>
      </c>
      <c r="C4" s="5" t="s">
        <v>223</v>
      </c>
      <c r="D4" s="5">
        <v>136.19999999999999</v>
      </c>
      <c r="E4" s="5">
        <v>148</v>
      </c>
      <c r="F4" s="5">
        <v>0.96450000000000002</v>
      </c>
      <c r="G4" s="5">
        <v>75</v>
      </c>
      <c r="H4" s="5">
        <v>87.5</v>
      </c>
      <c r="I4" s="5">
        <v>95</v>
      </c>
      <c r="K4" s="243">
        <v>95</v>
      </c>
      <c r="L4" s="243">
        <v>91.627499999999998</v>
      </c>
      <c r="M4" s="243">
        <v>0</v>
      </c>
      <c r="N4" s="239">
        <v>1</v>
      </c>
      <c r="O4" t="s">
        <v>548</v>
      </c>
      <c r="P4" s="239" t="s">
        <v>615</v>
      </c>
      <c r="Q4" s="5">
        <v>7</v>
      </c>
    </row>
    <row r="5" spans="2:90" x14ac:dyDescent="0.2">
      <c r="B5" s="5">
        <v>59</v>
      </c>
      <c r="C5" s="5" t="s">
        <v>269</v>
      </c>
      <c r="D5" s="5">
        <v>286</v>
      </c>
      <c r="E5" s="5">
        <v>308</v>
      </c>
      <c r="F5" s="5">
        <v>0.54059999999999997</v>
      </c>
      <c r="G5" s="5">
        <v>-165</v>
      </c>
      <c r="H5" s="5">
        <v>-170</v>
      </c>
      <c r="I5" s="5">
        <v>170</v>
      </c>
      <c r="K5" s="243">
        <v>170</v>
      </c>
      <c r="L5" s="243">
        <v>91.902000000000001</v>
      </c>
      <c r="M5" s="243">
        <v>120.85113</v>
      </c>
      <c r="N5" s="239">
        <v>1</v>
      </c>
      <c r="O5" t="s">
        <v>519</v>
      </c>
      <c r="P5" s="239" t="s">
        <v>620</v>
      </c>
      <c r="Q5" s="5">
        <v>7</v>
      </c>
    </row>
    <row r="6" spans="2:90" x14ac:dyDescent="0.2">
      <c r="B6" s="5">
        <v>72</v>
      </c>
      <c r="C6" s="5" t="s">
        <v>256</v>
      </c>
      <c r="D6" s="5">
        <v>211.5</v>
      </c>
      <c r="E6" s="5">
        <v>220</v>
      </c>
      <c r="F6" s="5">
        <v>0.59375</v>
      </c>
      <c r="G6" s="5">
        <v>145</v>
      </c>
      <c r="H6" s="5">
        <v>155</v>
      </c>
      <c r="I6" s="5">
        <v>-160</v>
      </c>
      <c r="K6" s="243">
        <v>155</v>
      </c>
      <c r="L6" s="243">
        <v>92.03125</v>
      </c>
      <c r="M6" s="243">
        <v>158.10968750000001</v>
      </c>
      <c r="N6" s="239">
        <v>1</v>
      </c>
      <c r="O6" t="s">
        <v>564</v>
      </c>
      <c r="P6" s="239" t="s">
        <v>618</v>
      </c>
      <c r="Q6" s="5">
        <v>7</v>
      </c>
    </row>
    <row r="7" spans="2:90" x14ac:dyDescent="0.2">
      <c r="B7" s="5">
        <v>28</v>
      </c>
      <c r="C7" s="5" t="s">
        <v>251</v>
      </c>
      <c r="D7" s="5">
        <v>212.8</v>
      </c>
      <c r="E7" s="5">
        <v>220</v>
      </c>
      <c r="F7" s="5">
        <v>0.59050000000000002</v>
      </c>
      <c r="G7" s="5">
        <v>220</v>
      </c>
      <c r="H7" s="5">
        <v>-227.5</v>
      </c>
      <c r="I7" s="5">
        <v>245</v>
      </c>
      <c r="K7" s="243">
        <v>245</v>
      </c>
      <c r="L7" s="243">
        <v>144.67250000000001</v>
      </c>
      <c r="M7" s="243">
        <v>0</v>
      </c>
      <c r="N7" s="239">
        <v>1</v>
      </c>
      <c r="O7" t="s">
        <v>563</v>
      </c>
      <c r="P7" s="239" t="s">
        <v>581</v>
      </c>
      <c r="Q7" s="5">
        <v>7</v>
      </c>
    </row>
    <row r="8" spans="2:90" x14ac:dyDescent="0.2">
      <c r="B8" s="5">
        <v>27</v>
      </c>
      <c r="C8" s="5" t="s">
        <v>251</v>
      </c>
      <c r="D8" s="5">
        <v>301.2</v>
      </c>
      <c r="E8" s="5">
        <v>308</v>
      </c>
      <c r="F8" s="5">
        <v>0.53400000000000003</v>
      </c>
      <c r="G8" s="5">
        <v>-227.5</v>
      </c>
      <c r="H8" s="5">
        <v>227.5</v>
      </c>
      <c r="I8" s="5">
        <v>-245</v>
      </c>
      <c r="K8" s="243">
        <v>227.5</v>
      </c>
      <c r="L8" s="243">
        <v>121.48500000000001</v>
      </c>
      <c r="M8" s="243">
        <v>0</v>
      </c>
      <c r="N8" s="239">
        <v>1</v>
      </c>
      <c r="O8" t="s">
        <v>566</v>
      </c>
      <c r="P8" s="239" t="s">
        <v>619</v>
      </c>
      <c r="Q8" s="5">
        <v>7</v>
      </c>
    </row>
    <row r="9" spans="2:90" x14ac:dyDescent="0.2">
      <c r="B9" s="5">
        <v>59</v>
      </c>
      <c r="C9" s="5" t="s">
        <v>501</v>
      </c>
      <c r="D9" s="5">
        <v>214.2</v>
      </c>
      <c r="E9" s="5">
        <v>220</v>
      </c>
      <c r="F9" s="5">
        <v>0.58855000000000002</v>
      </c>
      <c r="G9" s="5">
        <v>175</v>
      </c>
      <c r="H9" s="5">
        <v>-182.5</v>
      </c>
      <c r="K9" s="243">
        <v>175</v>
      </c>
      <c r="L9" s="243">
        <v>102.99625</v>
      </c>
      <c r="M9" s="243">
        <v>135.44006874999999</v>
      </c>
      <c r="N9" s="239" t="e">
        <v>#N/A</v>
      </c>
      <c r="O9" t="s">
        <v>503</v>
      </c>
      <c r="P9" s="239">
        <v>0</v>
      </c>
      <c r="Q9" s="5">
        <v>7</v>
      </c>
    </row>
    <row r="11" spans="2:90" s="139" customFormat="1" ht="30" customHeight="1" thickBot="1" x14ac:dyDescent="0.25">
      <c r="B11" s="139" t="s">
        <v>617</v>
      </c>
      <c r="C11" s="236"/>
      <c r="D11" s="236"/>
      <c r="E11" s="236"/>
      <c r="F11" s="236"/>
      <c r="G11" s="236"/>
      <c r="H11" s="236"/>
      <c r="I11" s="236"/>
      <c r="J11" s="236"/>
      <c r="K11" s="240"/>
      <c r="L11" s="240"/>
      <c r="M11" s="240"/>
      <c r="N11" s="237"/>
      <c r="O11" s="244"/>
      <c r="P11" s="237"/>
      <c r="Q11" s="236"/>
      <c r="R11" s="236"/>
    </row>
    <row r="12" spans="2:90" s="139" customFormat="1" ht="30" customHeight="1" thickBot="1" x14ac:dyDescent="0.25">
      <c r="B12" s="100" t="s">
        <v>1</v>
      </c>
      <c r="C12" s="101" t="s">
        <v>29</v>
      </c>
      <c r="D12" s="101" t="s">
        <v>208</v>
      </c>
      <c r="E12" s="101" t="s">
        <v>576</v>
      </c>
      <c r="F12" s="107" t="s">
        <v>217</v>
      </c>
      <c r="G12" s="102" t="s">
        <v>12</v>
      </c>
      <c r="H12" s="102" t="s">
        <v>13</v>
      </c>
      <c r="I12" s="102" t="s">
        <v>14</v>
      </c>
      <c r="J12" s="102" t="s">
        <v>157</v>
      </c>
      <c r="K12" s="241" t="s">
        <v>15</v>
      </c>
      <c r="L12" s="242" t="s">
        <v>134</v>
      </c>
      <c r="M12" s="242" t="s">
        <v>139</v>
      </c>
      <c r="N12" s="238" t="s">
        <v>180</v>
      </c>
      <c r="O12" s="99" t="s">
        <v>0</v>
      </c>
      <c r="P12" s="238" t="s">
        <v>31</v>
      </c>
      <c r="Q12" s="101" t="s">
        <v>181</v>
      </c>
      <c r="R12" s="123" t="s">
        <v>45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</row>
    <row r="13" spans="2:90" x14ac:dyDescent="0.2">
      <c r="B13" s="5">
        <v>54</v>
      </c>
      <c r="C13" s="5" t="s">
        <v>227</v>
      </c>
      <c r="D13" s="5">
        <v>122</v>
      </c>
      <c r="E13" s="5">
        <v>123</v>
      </c>
      <c r="F13" s="5">
        <v>1.0545</v>
      </c>
      <c r="G13" s="5">
        <v>154.322</v>
      </c>
      <c r="H13" s="5">
        <v>170.85650000000001</v>
      </c>
      <c r="I13" s="5">
        <v>-181.87950000000001</v>
      </c>
      <c r="J13" s="5">
        <v>0</v>
      </c>
      <c r="K13" s="243">
        <v>170.85650000000001</v>
      </c>
      <c r="L13" s="243">
        <v>81.723749999999995</v>
      </c>
      <c r="M13" s="243">
        <v>98.395394999999994</v>
      </c>
      <c r="N13" s="239">
        <v>1</v>
      </c>
      <c r="O13" t="s">
        <v>546</v>
      </c>
      <c r="P13" s="239" t="s">
        <v>621</v>
      </c>
      <c r="Q13" s="5">
        <v>7</v>
      </c>
    </row>
    <row r="14" spans="2:90" x14ac:dyDescent="0.2">
      <c r="B14" s="5">
        <v>25</v>
      </c>
      <c r="C14" s="5" t="s">
        <v>223</v>
      </c>
      <c r="D14" s="5">
        <v>136.19999999999999</v>
      </c>
      <c r="E14" s="5">
        <v>148</v>
      </c>
      <c r="F14" s="5">
        <v>0.96450000000000002</v>
      </c>
      <c r="G14" s="5">
        <v>165.345</v>
      </c>
      <c r="H14" s="5">
        <v>192.9025</v>
      </c>
      <c r="I14" s="5">
        <v>209.43700000000001</v>
      </c>
      <c r="J14" s="5">
        <v>0</v>
      </c>
      <c r="K14" s="243">
        <v>209.43700000000001</v>
      </c>
      <c r="L14" s="243">
        <v>91.627499999999998</v>
      </c>
      <c r="M14" s="243">
        <v>0</v>
      </c>
      <c r="N14" s="239">
        <v>1</v>
      </c>
      <c r="O14" t="s">
        <v>548</v>
      </c>
      <c r="P14" s="239" t="s">
        <v>615</v>
      </c>
      <c r="Q14" s="5">
        <v>7</v>
      </c>
    </row>
    <row r="15" spans="2:90" x14ac:dyDescent="0.2">
      <c r="B15" s="5">
        <v>59</v>
      </c>
      <c r="C15" s="5" t="s">
        <v>269</v>
      </c>
      <c r="D15" s="5">
        <v>286</v>
      </c>
      <c r="E15" s="5">
        <v>308</v>
      </c>
      <c r="F15" s="5">
        <v>0.54059999999999997</v>
      </c>
      <c r="G15" s="5">
        <v>-363.75900000000001</v>
      </c>
      <c r="H15" s="5">
        <v>-374.78200000000004</v>
      </c>
      <c r="I15" s="5">
        <v>374.78200000000004</v>
      </c>
      <c r="J15" s="5">
        <v>0</v>
      </c>
      <c r="K15" s="243">
        <v>374.78200000000004</v>
      </c>
      <c r="L15" s="243">
        <v>91.902000000000001</v>
      </c>
      <c r="M15" s="243">
        <v>120.85113</v>
      </c>
      <c r="N15" s="239">
        <v>1</v>
      </c>
      <c r="O15" t="s">
        <v>519</v>
      </c>
      <c r="P15" s="239" t="s">
        <v>620</v>
      </c>
      <c r="Q15" s="5">
        <v>7</v>
      </c>
    </row>
    <row r="16" spans="2:90" x14ac:dyDescent="0.2">
      <c r="B16" s="5">
        <v>72</v>
      </c>
      <c r="C16" s="5" t="s">
        <v>256</v>
      </c>
      <c r="D16" s="5">
        <v>211.5</v>
      </c>
      <c r="E16" s="5">
        <v>220</v>
      </c>
      <c r="F16" s="5">
        <v>0.59375</v>
      </c>
      <c r="G16" s="5">
        <v>319.66700000000003</v>
      </c>
      <c r="H16" s="5">
        <v>341.71300000000002</v>
      </c>
      <c r="I16" s="5">
        <v>-352.73599999999999</v>
      </c>
      <c r="J16" s="5">
        <v>0</v>
      </c>
      <c r="K16" s="243">
        <v>341.71300000000002</v>
      </c>
      <c r="L16" s="243">
        <v>92.03125</v>
      </c>
      <c r="M16" s="243">
        <v>158.10968750000001</v>
      </c>
      <c r="N16" s="239">
        <v>1</v>
      </c>
      <c r="O16" t="s">
        <v>564</v>
      </c>
      <c r="P16" s="239" t="s">
        <v>618</v>
      </c>
      <c r="Q16" s="5">
        <v>7</v>
      </c>
    </row>
    <row r="17" spans="2:90" x14ac:dyDescent="0.2">
      <c r="B17" s="5">
        <v>28</v>
      </c>
      <c r="C17" s="5" t="s">
        <v>251</v>
      </c>
      <c r="D17" s="5">
        <v>212.8</v>
      </c>
      <c r="E17" s="5">
        <v>220</v>
      </c>
      <c r="F17" s="5">
        <v>0.59050000000000002</v>
      </c>
      <c r="G17" s="5">
        <v>485.012</v>
      </c>
      <c r="H17" s="5">
        <v>-501.54650000000004</v>
      </c>
      <c r="I17" s="5">
        <v>540.12700000000007</v>
      </c>
      <c r="J17" s="5">
        <v>0</v>
      </c>
      <c r="K17" s="243">
        <v>540.12700000000007</v>
      </c>
      <c r="L17" s="243">
        <v>144.67250000000001</v>
      </c>
      <c r="M17" s="243">
        <v>0</v>
      </c>
      <c r="N17" s="239">
        <v>1</v>
      </c>
      <c r="O17" t="s">
        <v>563</v>
      </c>
      <c r="P17" s="239" t="s">
        <v>581</v>
      </c>
      <c r="Q17" s="5">
        <v>7</v>
      </c>
    </row>
    <row r="18" spans="2:90" x14ac:dyDescent="0.2">
      <c r="B18" s="5">
        <v>27</v>
      </c>
      <c r="C18" s="5" t="s">
        <v>251</v>
      </c>
      <c r="D18" s="5">
        <v>301.2</v>
      </c>
      <c r="E18" s="5">
        <v>308</v>
      </c>
      <c r="F18" s="5">
        <v>0.53400000000000003</v>
      </c>
      <c r="G18" s="5">
        <v>-501.54650000000004</v>
      </c>
      <c r="H18" s="5">
        <v>501.54650000000004</v>
      </c>
      <c r="I18" s="5">
        <v>-540.12700000000007</v>
      </c>
      <c r="J18" s="5">
        <v>0</v>
      </c>
      <c r="K18" s="243">
        <v>501.54650000000004</v>
      </c>
      <c r="L18" s="243">
        <v>121.48500000000001</v>
      </c>
      <c r="M18" s="243">
        <v>0</v>
      </c>
      <c r="N18" s="239">
        <v>1</v>
      </c>
      <c r="O18" t="s">
        <v>566</v>
      </c>
      <c r="P18" s="239" t="s">
        <v>619</v>
      </c>
      <c r="Q18" s="5">
        <v>7</v>
      </c>
    </row>
    <row r="19" spans="2:90" x14ac:dyDescent="0.2">
      <c r="B19" s="5">
        <v>59</v>
      </c>
      <c r="C19" s="5" t="s">
        <v>501</v>
      </c>
      <c r="D19" s="5">
        <v>214.2</v>
      </c>
      <c r="E19" s="5">
        <v>220</v>
      </c>
      <c r="F19" s="5">
        <v>0.58855000000000002</v>
      </c>
      <c r="G19" s="5">
        <v>385.80500000000001</v>
      </c>
      <c r="H19" s="5">
        <v>-402.33950000000004</v>
      </c>
      <c r="I19" s="5">
        <v>0</v>
      </c>
      <c r="J19" s="5">
        <v>0</v>
      </c>
      <c r="K19" s="243">
        <v>385.80500000000001</v>
      </c>
      <c r="L19" s="243">
        <v>102.99625</v>
      </c>
      <c r="M19" s="243">
        <v>135.44006874999999</v>
      </c>
      <c r="N19" s="239" t="e">
        <v>#N/A</v>
      </c>
      <c r="O19" t="s">
        <v>503</v>
      </c>
      <c r="P19" s="239">
        <v>0</v>
      </c>
      <c r="Q19" s="5">
        <v>7</v>
      </c>
    </row>
    <row r="25" spans="2:90" s="139" customFormat="1" ht="30" customHeight="1" x14ac:dyDescent="0.2">
      <c r="B25" s="5"/>
      <c r="C25" s="5"/>
      <c r="D25" s="5"/>
      <c r="E25" s="5"/>
      <c r="F25" s="5"/>
      <c r="G25" s="5"/>
      <c r="H25" s="5"/>
      <c r="I25" s="5"/>
      <c r="J25" s="5"/>
      <c r="K25" s="243"/>
      <c r="L25" s="243"/>
      <c r="M25" s="243"/>
      <c r="N25" s="239"/>
      <c r="O25"/>
      <c r="P25" s="239"/>
      <c r="Q25" s="5"/>
      <c r="R25" s="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</row>
    <row r="37" spans="2:90" ht="23.25" x14ac:dyDescent="0.2">
      <c r="B37" s="236"/>
      <c r="C37" s="236"/>
      <c r="D37" s="236"/>
      <c r="E37" s="236"/>
      <c r="F37" s="236"/>
      <c r="G37" s="236"/>
      <c r="H37" s="236"/>
      <c r="I37" s="236"/>
      <c r="J37" s="236"/>
      <c r="K37" s="240"/>
      <c r="L37" s="240"/>
      <c r="M37" s="240"/>
      <c r="N37" s="237"/>
      <c r="O37" s="139"/>
      <c r="P37" s="237"/>
      <c r="Q37" s="236"/>
      <c r="R37" s="236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</row>
    <row r="38" spans="2:90" s="139" customFormat="1" ht="30" customHeight="1" x14ac:dyDescent="0.2">
      <c r="B38" s="5"/>
      <c r="C38" s="5"/>
      <c r="D38" s="5"/>
      <c r="E38" s="5"/>
      <c r="F38" s="5"/>
      <c r="G38" s="5"/>
      <c r="H38" s="5"/>
      <c r="I38" s="5"/>
      <c r="J38" s="5"/>
      <c r="K38" s="243"/>
      <c r="L38" s="243"/>
      <c r="M38" s="243"/>
      <c r="N38" s="239"/>
      <c r="O38"/>
      <c r="P38" s="239"/>
      <c r="Q38" s="5"/>
      <c r="R38" s="5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</row>
    <row r="51" spans="2:90" ht="23.25" x14ac:dyDescent="0.2">
      <c r="B51" s="236"/>
      <c r="C51" s="236"/>
      <c r="D51" s="236"/>
      <c r="E51" s="236"/>
      <c r="F51" s="236"/>
      <c r="G51" s="236"/>
      <c r="H51" s="236"/>
      <c r="I51" s="236"/>
      <c r="J51" s="236"/>
      <c r="K51" s="240"/>
      <c r="L51" s="240"/>
      <c r="M51" s="240"/>
      <c r="N51" s="237"/>
      <c r="O51" s="139"/>
      <c r="P51" s="237"/>
      <c r="Q51" s="236"/>
      <c r="R51" s="236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</row>
    <row r="63" spans="2:90" ht="23.25" x14ac:dyDescent="0.2">
      <c r="B63" s="236"/>
      <c r="C63" s="236"/>
      <c r="D63" s="236"/>
      <c r="E63" s="236"/>
      <c r="F63" s="236"/>
      <c r="G63" s="236"/>
      <c r="H63" s="236"/>
      <c r="I63" s="236"/>
      <c r="J63" s="236"/>
      <c r="K63" s="240"/>
      <c r="L63" s="240"/>
      <c r="M63" s="240"/>
      <c r="N63" s="237"/>
      <c r="O63" s="139"/>
      <c r="P63" s="237"/>
      <c r="Q63" s="236"/>
      <c r="R63" s="236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  <c r="BV63" s="139"/>
      <c r="BW63" s="139"/>
      <c r="BX63" s="139"/>
      <c r="BY63" s="139"/>
      <c r="BZ63" s="139"/>
      <c r="CA63" s="139"/>
      <c r="CB63" s="139"/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</row>
  </sheetData>
  <phoneticPr fontId="0" type="noConversion"/>
  <conditionalFormatting sqref="G2:J2">
    <cfRule type="cellIs" dxfId="16" priority="2" stopIfTrue="1" operator="equal">
      <formula>#REF!</formula>
    </cfRule>
  </conditionalFormatting>
  <conditionalFormatting sqref="G12:J12">
    <cfRule type="cellIs" dxfId="15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CL49"/>
  <sheetViews>
    <sheetView workbookViewId="0">
      <selection activeCell="Q3" sqref="Q3"/>
    </sheetView>
  </sheetViews>
  <sheetFormatPr defaultRowHeight="12.75" x14ac:dyDescent="0.2"/>
  <cols>
    <col min="2" max="2" width="5.7109375" style="5" customWidth="1"/>
    <col min="3" max="3" width="6.28515625" style="5" customWidth="1"/>
    <col min="4" max="4" width="6.5703125" style="5" customWidth="1"/>
    <col min="5" max="10" width="7.5703125" style="5" customWidth="1"/>
    <col min="11" max="13" width="9.7109375" style="243" customWidth="1"/>
    <col min="14" max="14" width="11.7109375" style="239" customWidth="1"/>
    <col min="15" max="15" width="18.7109375" customWidth="1"/>
    <col min="16" max="16" width="11.7109375" style="239" customWidth="1"/>
    <col min="17" max="18" width="9.140625" style="5"/>
  </cols>
  <sheetData>
    <row r="1" spans="2:90" s="139" customFormat="1" ht="30" customHeight="1" thickBot="1" x14ac:dyDescent="0.25">
      <c r="B1" s="139" t="s">
        <v>616</v>
      </c>
      <c r="C1" s="236"/>
      <c r="D1" s="236"/>
      <c r="E1" s="236"/>
      <c r="F1" s="236"/>
      <c r="G1" s="236"/>
      <c r="H1" s="236"/>
      <c r="I1" s="236"/>
      <c r="J1" s="236"/>
      <c r="K1" s="240"/>
      <c r="L1" s="240"/>
      <c r="M1" s="240"/>
      <c r="N1" s="237"/>
      <c r="O1" s="244">
        <v>2018</v>
      </c>
      <c r="P1" s="237"/>
      <c r="Q1" s="236"/>
      <c r="R1" s="236"/>
    </row>
    <row r="2" spans="2:90" s="103" customFormat="1" ht="28.5" customHeight="1" thickBot="1" x14ac:dyDescent="0.25">
      <c r="B2" s="100" t="s">
        <v>1</v>
      </c>
      <c r="C2" s="101" t="s">
        <v>29</v>
      </c>
      <c r="D2" s="101" t="s">
        <v>208</v>
      </c>
      <c r="E2" s="101" t="s">
        <v>576</v>
      </c>
      <c r="F2" s="107" t="s">
        <v>217</v>
      </c>
      <c r="G2" s="102" t="s">
        <v>17</v>
      </c>
      <c r="H2" s="102" t="s">
        <v>18</v>
      </c>
      <c r="I2" s="102" t="s">
        <v>19</v>
      </c>
      <c r="J2" s="102" t="s">
        <v>20</v>
      </c>
      <c r="K2" s="241" t="s">
        <v>21</v>
      </c>
      <c r="L2" s="242" t="s">
        <v>134</v>
      </c>
      <c r="M2" s="242" t="s">
        <v>139</v>
      </c>
      <c r="N2" s="238" t="s">
        <v>180</v>
      </c>
      <c r="O2" s="99" t="s">
        <v>0</v>
      </c>
      <c r="P2" s="238" t="s">
        <v>31</v>
      </c>
      <c r="Q2" s="101" t="s">
        <v>181</v>
      </c>
      <c r="R2" s="123" t="s">
        <v>45</v>
      </c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</row>
    <row r="3" spans="2:90" x14ac:dyDescent="0.2">
      <c r="B3" s="5">
        <v>54</v>
      </c>
      <c r="C3" s="5" t="s">
        <v>227</v>
      </c>
      <c r="D3" s="5">
        <v>122</v>
      </c>
      <c r="E3" s="5">
        <v>123</v>
      </c>
      <c r="F3" s="5">
        <v>1.0545</v>
      </c>
      <c r="G3" s="5">
        <v>137.5</v>
      </c>
      <c r="H3" s="5">
        <v>147.5</v>
      </c>
      <c r="I3" s="5">
        <v>-150</v>
      </c>
      <c r="K3" s="243">
        <v>147.5</v>
      </c>
      <c r="L3" s="243">
        <v>155.53874999999999</v>
      </c>
      <c r="M3" s="243">
        <v>187.268655</v>
      </c>
      <c r="N3" s="239">
        <v>1</v>
      </c>
      <c r="O3" t="s">
        <v>547</v>
      </c>
      <c r="P3" s="239" t="s">
        <v>621</v>
      </c>
      <c r="Q3" s="5">
        <v>7</v>
      </c>
    </row>
    <row r="4" spans="2:90" x14ac:dyDescent="0.2">
      <c r="B4" s="5">
        <v>19</v>
      </c>
      <c r="C4" s="5" t="s">
        <v>262</v>
      </c>
      <c r="D4" s="5">
        <v>131</v>
      </c>
      <c r="E4" s="5">
        <v>132</v>
      </c>
      <c r="F4" s="5">
        <v>0.84105000000000008</v>
      </c>
      <c r="G4" s="5">
        <v>137.5</v>
      </c>
      <c r="H4" s="5">
        <v>152.5</v>
      </c>
      <c r="I4" s="5">
        <v>170</v>
      </c>
      <c r="K4" s="243">
        <v>170</v>
      </c>
      <c r="L4" s="243">
        <v>142.97850000000003</v>
      </c>
      <c r="M4" s="243">
        <v>148.69764000000004</v>
      </c>
      <c r="N4" s="239">
        <v>1</v>
      </c>
      <c r="O4" t="s">
        <v>520</v>
      </c>
      <c r="P4" s="239" t="s">
        <v>623</v>
      </c>
      <c r="Q4" s="5">
        <v>7</v>
      </c>
    </row>
    <row r="5" spans="2:90" x14ac:dyDescent="0.2">
      <c r="B5" s="5">
        <v>72</v>
      </c>
      <c r="C5" s="5" t="s">
        <v>256</v>
      </c>
      <c r="D5" s="5">
        <v>211.5</v>
      </c>
      <c r="E5" s="5">
        <v>220</v>
      </c>
      <c r="F5" s="5">
        <v>0.59375</v>
      </c>
      <c r="G5" s="5">
        <v>150</v>
      </c>
      <c r="H5" s="5">
        <v>170</v>
      </c>
      <c r="I5" s="5">
        <v>182.5</v>
      </c>
      <c r="K5" s="243">
        <v>182.5</v>
      </c>
      <c r="L5" s="243">
        <v>108.359375</v>
      </c>
      <c r="M5" s="243">
        <v>186.16140625</v>
      </c>
      <c r="N5" s="239">
        <v>1</v>
      </c>
      <c r="O5" t="s">
        <v>565</v>
      </c>
      <c r="P5" s="239" t="s">
        <v>618</v>
      </c>
      <c r="Q5" s="5">
        <v>7</v>
      </c>
    </row>
    <row r="6" spans="2:90" x14ac:dyDescent="0.2">
      <c r="B6" s="5">
        <v>25</v>
      </c>
      <c r="C6" s="5" t="s">
        <v>251</v>
      </c>
      <c r="D6" s="5">
        <v>242</v>
      </c>
      <c r="E6" s="5">
        <v>242</v>
      </c>
      <c r="F6" s="5">
        <v>0.56274999999999997</v>
      </c>
      <c r="G6" s="5">
        <v>122.5</v>
      </c>
      <c r="H6" s="5">
        <v>137.5</v>
      </c>
      <c r="I6" s="5">
        <v>142.5</v>
      </c>
      <c r="K6" s="243">
        <v>142.5</v>
      </c>
      <c r="L6" s="243">
        <v>80.191874999999996</v>
      </c>
      <c r="M6" s="243">
        <v>0</v>
      </c>
      <c r="N6" s="239">
        <v>1</v>
      </c>
      <c r="O6" t="s">
        <v>518</v>
      </c>
      <c r="P6" s="239" t="s">
        <v>622</v>
      </c>
      <c r="Q6" s="5">
        <v>7</v>
      </c>
      <c r="R6" s="5" t="s">
        <v>487</v>
      </c>
    </row>
    <row r="8" spans="2:90" s="139" customFormat="1" ht="30" customHeight="1" thickBot="1" x14ac:dyDescent="0.25">
      <c r="B8" s="139" t="s">
        <v>617</v>
      </c>
      <c r="C8" s="236"/>
      <c r="D8" s="236"/>
      <c r="E8" s="236"/>
      <c r="F8" s="236"/>
      <c r="G8" s="236"/>
      <c r="H8" s="236"/>
      <c r="I8" s="236"/>
      <c r="J8" s="236"/>
      <c r="K8" s="240"/>
      <c r="L8" s="240"/>
      <c r="M8" s="240"/>
      <c r="N8" s="237"/>
      <c r="O8" s="244"/>
      <c r="P8" s="237"/>
      <c r="Q8" s="236"/>
      <c r="R8" s="236"/>
    </row>
    <row r="9" spans="2:90" ht="26.25" thickBot="1" x14ac:dyDescent="0.25">
      <c r="B9" s="100" t="s">
        <v>1</v>
      </c>
      <c r="C9" s="101" t="s">
        <v>29</v>
      </c>
      <c r="D9" s="101" t="s">
        <v>208</v>
      </c>
      <c r="E9" s="101" t="s">
        <v>576</v>
      </c>
      <c r="F9" s="107" t="s">
        <v>217</v>
      </c>
      <c r="G9" s="102" t="s">
        <v>17</v>
      </c>
      <c r="H9" s="102" t="s">
        <v>18</v>
      </c>
      <c r="I9" s="102" t="s">
        <v>19</v>
      </c>
      <c r="J9" s="102" t="s">
        <v>20</v>
      </c>
      <c r="K9" s="241" t="s">
        <v>21</v>
      </c>
      <c r="L9" s="242" t="s">
        <v>134</v>
      </c>
      <c r="M9" s="242" t="s">
        <v>139</v>
      </c>
      <c r="N9" s="238" t="s">
        <v>180</v>
      </c>
      <c r="O9" s="99" t="s">
        <v>0</v>
      </c>
      <c r="P9" s="238" t="s">
        <v>31</v>
      </c>
      <c r="Q9" s="101" t="s">
        <v>181</v>
      </c>
      <c r="R9" s="123" t="s">
        <v>45</v>
      </c>
    </row>
    <row r="10" spans="2:90" s="139" customFormat="1" ht="30" customHeight="1" x14ac:dyDescent="0.2">
      <c r="B10" s="5">
        <v>54</v>
      </c>
      <c r="C10" s="5" t="s">
        <v>227</v>
      </c>
      <c r="D10" s="5">
        <v>122</v>
      </c>
      <c r="E10" s="5">
        <v>123</v>
      </c>
      <c r="F10" s="5">
        <v>1.0545</v>
      </c>
      <c r="G10" s="5">
        <v>303.13249999999999</v>
      </c>
      <c r="H10" s="5">
        <v>325.17850000000004</v>
      </c>
      <c r="I10" s="5">
        <v>-330.69</v>
      </c>
      <c r="J10" s="5">
        <v>0</v>
      </c>
      <c r="K10" s="243">
        <v>325.17850000000004</v>
      </c>
      <c r="L10" s="243">
        <v>155.53874999999999</v>
      </c>
      <c r="M10" s="243">
        <v>187.268655</v>
      </c>
      <c r="N10" s="239">
        <v>1</v>
      </c>
      <c r="O10" t="s">
        <v>547</v>
      </c>
      <c r="P10" s="239" t="s">
        <v>621</v>
      </c>
      <c r="Q10" s="5">
        <v>7</v>
      </c>
      <c r="R10" s="5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</row>
    <row r="11" spans="2:90" x14ac:dyDescent="0.2">
      <c r="B11" s="5">
        <v>19</v>
      </c>
      <c r="C11" s="5" t="s">
        <v>262</v>
      </c>
      <c r="D11" s="5">
        <v>131</v>
      </c>
      <c r="E11" s="5">
        <v>132</v>
      </c>
      <c r="F11" s="5">
        <v>0.84105000000000008</v>
      </c>
      <c r="G11" s="5">
        <v>303.13249999999999</v>
      </c>
      <c r="H11" s="5">
        <v>336.20150000000001</v>
      </c>
      <c r="I11" s="5">
        <v>374.78200000000004</v>
      </c>
      <c r="J11" s="5">
        <v>0</v>
      </c>
      <c r="K11" s="243">
        <v>374.78200000000004</v>
      </c>
      <c r="L11" s="243">
        <v>142.97850000000003</v>
      </c>
      <c r="M11" s="243">
        <v>148.69764000000004</v>
      </c>
      <c r="N11" s="239">
        <v>1</v>
      </c>
      <c r="O11" t="s">
        <v>520</v>
      </c>
      <c r="P11" s="239" t="s">
        <v>623</v>
      </c>
      <c r="Q11" s="5">
        <v>7</v>
      </c>
    </row>
    <row r="12" spans="2:90" x14ac:dyDescent="0.2">
      <c r="B12" s="5">
        <v>72</v>
      </c>
      <c r="C12" s="5" t="s">
        <v>256</v>
      </c>
      <c r="D12" s="5">
        <v>211.5</v>
      </c>
      <c r="E12" s="5">
        <v>220</v>
      </c>
      <c r="F12" s="5">
        <v>0.59375</v>
      </c>
      <c r="G12" s="5">
        <v>330.69</v>
      </c>
      <c r="H12" s="5">
        <v>374.78200000000004</v>
      </c>
      <c r="I12" s="5">
        <v>402.33950000000004</v>
      </c>
      <c r="J12" s="5">
        <v>0</v>
      </c>
      <c r="K12" s="243">
        <v>402.33950000000004</v>
      </c>
      <c r="L12" s="243">
        <v>108.359375</v>
      </c>
      <c r="M12" s="243">
        <v>186.16140625</v>
      </c>
      <c r="N12" s="239">
        <v>1</v>
      </c>
      <c r="O12" t="s">
        <v>565</v>
      </c>
      <c r="P12" s="239" t="s">
        <v>618</v>
      </c>
      <c r="Q12" s="5">
        <v>7</v>
      </c>
    </row>
    <row r="13" spans="2:90" s="139" customFormat="1" ht="30" customHeight="1" x14ac:dyDescent="0.2">
      <c r="B13" s="5">
        <v>25</v>
      </c>
      <c r="C13" s="5" t="s">
        <v>251</v>
      </c>
      <c r="D13" s="5">
        <v>242</v>
      </c>
      <c r="E13" s="5">
        <v>242</v>
      </c>
      <c r="F13" s="5">
        <v>0.56274999999999997</v>
      </c>
      <c r="G13" s="5">
        <v>270.06350000000003</v>
      </c>
      <c r="H13" s="5">
        <v>303.13249999999999</v>
      </c>
      <c r="I13" s="5">
        <v>314.15550000000002</v>
      </c>
      <c r="J13" s="5">
        <v>0</v>
      </c>
      <c r="K13" s="243">
        <v>314.15550000000002</v>
      </c>
      <c r="L13" s="243">
        <v>80.191874999999996</v>
      </c>
      <c r="M13" s="243">
        <v>0</v>
      </c>
      <c r="N13" s="239">
        <v>1</v>
      </c>
      <c r="O13" t="s">
        <v>518</v>
      </c>
      <c r="P13" s="239" t="s">
        <v>622</v>
      </c>
      <c r="Q13" s="5">
        <v>7</v>
      </c>
      <c r="R13" s="5" t="s">
        <v>487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</row>
    <row r="39" spans="2:90" ht="23.25" x14ac:dyDescent="0.2">
      <c r="B39" s="236"/>
      <c r="C39" s="236"/>
      <c r="D39" s="236"/>
      <c r="E39" s="236"/>
      <c r="F39" s="236"/>
      <c r="G39" s="236"/>
      <c r="H39" s="236"/>
      <c r="I39" s="236"/>
      <c r="J39" s="236"/>
      <c r="K39" s="240"/>
      <c r="L39" s="240"/>
      <c r="M39" s="240"/>
      <c r="N39" s="237"/>
      <c r="O39" s="139"/>
      <c r="P39" s="237"/>
      <c r="Q39" s="236"/>
      <c r="R39" s="236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</row>
    <row r="40" spans="2:90" s="139" customFormat="1" ht="30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243"/>
      <c r="L40" s="243"/>
      <c r="M40" s="243"/>
      <c r="N40" s="239"/>
      <c r="O40"/>
      <c r="P40" s="239"/>
      <c r="Q40" s="5"/>
      <c r="R40" s="5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</row>
    <row r="46" spans="2:90" ht="23.25" x14ac:dyDescent="0.2">
      <c r="B46" s="236"/>
      <c r="C46" s="236"/>
      <c r="D46" s="236"/>
      <c r="E46" s="236"/>
      <c r="F46" s="236"/>
      <c r="G46" s="236"/>
      <c r="H46" s="236"/>
      <c r="I46" s="236"/>
      <c r="J46" s="236"/>
      <c r="K46" s="240"/>
      <c r="L46" s="240"/>
      <c r="M46" s="240"/>
      <c r="N46" s="237"/>
      <c r="O46" s="139"/>
      <c r="P46" s="237"/>
      <c r="Q46" s="236"/>
      <c r="R46" s="236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</row>
    <row r="49" spans="2:90" ht="23.25" x14ac:dyDescent="0.2">
      <c r="B49" s="236"/>
      <c r="C49" s="236"/>
      <c r="D49" s="236"/>
      <c r="E49" s="236"/>
      <c r="F49" s="236"/>
      <c r="G49" s="236"/>
      <c r="H49" s="236"/>
      <c r="I49" s="236"/>
      <c r="J49" s="236"/>
      <c r="K49" s="240"/>
      <c r="L49" s="240"/>
      <c r="M49" s="240"/>
      <c r="N49" s="237"/>
      <c r="O49" s="139"/>
      <c r="P49" s="237"/>
      <c r="Q49" s="236"/>
      <c r="R49" s="236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</row>
  </sheetData>
  <phoneticPr fontId="0" type="noConversion"/>
  <conditionalFormatting sqref="G2:J2">
    <cfRule type="cellIs" dxfId="14" priority="2" stopIfTrue="1" operator="equal">
      <formula>#REF!</formula>
    </cfRule>
  </conditionalFormatting>
  <conditionalFormatting sqref="G9:J9">
    <cfRule type="cellIs" dxfId="13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CQ61"/>
  <sheetViews>
    <sheetView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6" width="7.5703125" style="5" customWidth="1"/>
    <col min="17" max="19" width="9.7109375" style="243" customWidth="1"/>
    <col min="20" max="21" width="11.7109375" style="239" customWidth="1"/>
    <col min="22" max="23" width="9.140625" style="5"/>
  </cols>
  <sheetData>
    <row r="1" spans="1:95" s="139" customFormat="1" ht="30" customHeight="1" thickBot="1" x14ac:dyDescent="0.25">
      <c r="A1" s="244">
        <v>2018</v>
      </c>
      <c r="B1" s="139" t="s">
        <v>616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40"/>
      <c r="R1" s="240"/>
      <c r="S1" s="240"/>
      <c r="T1" s="237"/>
      <c r="U1" s="237"/>
      <c r="V1" s="236"/>
      <c r="W1" s="236"/>
    </row>
    <row r="2" spans="1:95" s="103" customFormat="1" ht="28.5" customHeight="1" thickBot="1" x14ac:dyDescent="0.25">
      <c r="A2" s="99" t="s">
        <v>0</v>
      </c>
      <c r="B2" s="100" t="s">
        <v>1</v>
      </c>
      <c r="C2" s="101" t="s">
        <v>29</v>
      </c>
      <c r="D2" s="101" t="s">
        <v>208</v>
      </c>
      <c r="E2" s="101" t="s">
        <v>576</v>
      </c>
      <c r="F2" s="107" t="s">
        <v>217</v>
      </c>
      <c r="G2" s="102" t="s">
        <v>12</v>
      </c>
      <c r="H2" s="102" t="s">
        <v>13</v>
      </c>
      <c r="I2" s="102" t="s">
        <v>14</v>
      </c>
      <c r="J2" s="102" t="s">
        <v>157</v>
      </c>
      <c r="K2" s="101" t="s">
        <v>15</v>
      </c>
      <c r="L2" s="102" t="s">
        <v>17</v>
      </c>
      <c r="M2" s="102" t="s">
        <v>18</v>
      </c>
      <c r="N2" s="102" t="s">
        <v>19</v>
      </c>
      <c r="O2" s="102" t="s">
        <v>20</v>
      </c>
      <c r="P2" s="102" t="s">
        <v>21</v>
      </c>
      <c r="Q2" s="241" t="s">
        <v>68</v>
      </c>
      <c r="R2" s="242" t="s">
        <v>134</v>
      </c>
      <c r="S2" s="242" t="s">
        <v>139</v>
      </c>
      <c r="T2" s="238" t="s">
        <v>180</v>
      </c>
      <c r="U2" s="238" t="s">
        <v>31</v>
      </c>
      <c r="V2" s="101" t="s">
        <v>181</v>
      </c>
      <c r="W2" s="123" t="s">
        <v>45</v>
      </c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</row>
    <row r="5" spans="1:95" s="139" customFormat="1" ht="30" customHeight="1" x14ac:dyDescent="0.2">
      <c r="A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43"/>
      <c r="R5" s="243"/>
      <c r="S5" s="243"/>
      <c r="T5" s="239"/>
      <c r="U5" s="239"/>
      <c r="V5" s="5"/>
      <c r="W5" s="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</row>
    <row r="37" spans="1:95" s="139" customFormat="1" ht="30" customHeight="1" x14ac:dyDescent="0.2">
      <c r="A3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243"/>
      <c r="R37" s="243"/>
      <c r="S37" s="243"/>
      <c r="T37" s="239"/>
      <c r="U37" s="239"/>
      <c r="V37" s="5"/>
      <c r="W37" s="5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</row>
    <row r="39" spans="1:95" ht="23.25" x14ac:dyDescent="0.2">
      <c r="A39" s="139"/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40"/>
      <c r="R39" s="240"/>
      <c r="S39" s="240"/>
      <c r="T39" s="237"/>
      <c r="U39" s="237"/>
      <c r="V39" s="236"/>
      <c r="W39" s="236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</row>
    <row r="61" spans="1:95" ht="23.25" x14ac:dyDescent="0.2">
      <c r="A61" s="139"/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40"/>
      <c r="R61" s="240"/>
      <c r="S61" s="240"/>
      <c r="T61" s="237"/>
      <c r="U61" s="237"/>
      <c r="V61" s="236"/>
      <c r="W61" s="236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39"/>
      <c r="CN61" s="139"/>
      <c r="CO61" s="139"/>
      <c r="CP61" s="139"/>
      <c r="CQ61" s="139"/>
    </row>
  </sheetData>
  <phoneticPr fontId="0" type="noConversion"/>
  <conditionalFormatting sqref="G2:J2 L2:O2">
    <cfRule type="cellIs" dxfId="12" priority="1" stopIfTrue="1" operator="equal">
      <formula>#REF!</formula>
    </cfRule>
  </conditionalFormatting>
  <printOptions gridLines="1"/>
  <pageMargins left="0.75" right="0.75" top="1" bottom="1" header="0.5" footer="0.5"/>
  <pageSetup paperSize="5" scale="81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1910"/>
  <sheetViews>
    <sheetView workbookViewId="0">
      <pane ySplit="1" topLeftCell="A20" activePane="bottomLeft" state="frozen"/>
      <selection activeCell="J1" sqref="J1"/>
      <selection pane="bottomLeft" activeCell="B40" sqref="B40"/>
    </sheetView>
  </sheetViews>
  <sheetFormatPr defaultRowHeight="12.75" x14ac:dyDescent="0.2"/>
  <cols>
    <col min="1" max="2" width="9.140625" style="5"/>
    <col min="5" max="5" width="8.28515625" customWidth="1"/>
    <col min="6" max="6" width="9.42578125" customWidth="1"/>
    <col min="7" max="7" width="16.5703125" customWidth="1"/>
    <col min="8" max="8" width="9.28515625" customWidth="1"/>
    <col min="9" max="9" width="6.7109375" customWidth="1"/>
    <col min="12" max="22" width="9.140625" style="2"/>
  </cols>
  <sheetData>
    <row r="1" spans="1:22" ht="26.25" x14ac:dyDescent="0.2">
      <c r="A1" s="46" t="s">
        <v>1</v>
      </c>
      <c r="B1" s="46" t="s">
        <v>3</v>
      </c>
      <c r="E1" s="75" t="s">
        <v>41</v>
      </c>
      <c r="F1" s="75"/>
      <c r="G1" s="75"/>
      <c r="H1" s="75"/>
      <c r="L1" s="104" t="s">
        <v>126</v>
      </c>
      <c r="M1" s="143" t="s">
        <v>160</v>
      </c>
      <c r="N1" s="143" t="s">
        <v>161</v>
      </c>
      <c r="O1" s="105" t="s">
        <v>165</v>
      </c>
      <c r="P1" s="105" t="s">
        <v>164</v>
      </c>
      <c r="Q1" s="104" t="s">
        <v>135</v>
      </c>
      <c r="R1" s="104" t="s">
        <v>136</v>
      </c>
      <c r="S1" s="105" t="s">
        <v>162</v>
      </c>
      <c r="T1" s="105" t="s">
        <v>163</v>
      </c>
      <c r="U1" s="105" t="s">
        <v>203</v>
      </c>
      <c r="V1" s="105" t="s">
        <v>204</v>
      </c>
    </row>
    <row r="2" spans="1:22" x14ac:dyDescent="0.2">
      <c r="A2" s="47">
        <v>14</v>
      </c>
      <c r="B2" s="47">
        <v>1.23</v>
      </c>
      <c r="C2" s="362" t="s">
        <v>73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">
      <c r="A3" s="47">
        <v>15</v>
      </c>
      <c r="B3" s="47">
        <v>1.18</v>
      </c>
      <c r="C3" s="362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">
      <c r="A4" s="47">
        <v>16</v>
      </c>
      <c r="B4" s="47">
        <v>1.1299999999999999</v>
      </c>
      <c r="C4" s="362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">
      <c r="A5" s="48">
        <v>17</v>
      </c>
      <c r="B5" s="48">
        <v>1.08</v>
      </c>
      <c r="C5" s="362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">
      <c r="A6" s="48">
        <v>18</v>
      </c>
      <c r="B6" s="48">
        <v>1.06</v>
      </c>
      <c r="C6" s="362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">
      <c r="A7" s="48">
        <v>19</v>
      </c>
      <c r="B7" s="48">
        <v>1.04</v>
      </c>
      <c r="C7" s="362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">
      <c r="A8" s="48">
        <v>20</v>
      </c>
      <c r="B8" s="48">
        <v>1.03</v>
      </c>
      <c r="C8" s="362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">
      <c r="A9" s="48">
        <v>21</v>
      </c>
      <c r="B9" s="48">
        <v>1.02</v>
      </c>
      <c r="C9" s="362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">
      <c r="A10" s="48">
        <v>22</v>
      </c>
      <c r="B10" s="48">
        <v>1.01</v>
      </c>
      <c r="C10" s="362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">
      <c r="A11" s="2">
        <v>23</v>
      </c>
      <c r="B11" s="2">
        <v>1</v>
      </c>
      <c r="C11" s="362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">
      <c r="A12" s="2">
        <v>30</v>
      </c>
      <c r="B12" s="2">
        <v>1</v>
      </c>
      <c r="D12" s="76"/>
      <c r="E12" s="360" t="s">
        <v>40</v>
      </c>
      <c r="F12" s="361"/>
      <c r="G12" s="77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">
      <c r="A13" s="49">
        <v>40</v>
      </c>
      <c r="B13" s="49" t="s">
        <v>84</v>
      </c>
      <c r="C13" s="362" t="s">
        <v>74</v>
      </c>
      <c r="D13" s="1"/>
      <c r="E13" s="79" t="s">
        <v>126</v>
      </c>
      <c r="F13" s="82" t="s">
        <v>127</v>
      </c>
      <c r="G13" s="3" t="s">
        <v>178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">
      <c r="A14" s="49">
        <v>41</v>
      </c>
      <c r="B14" s="49" t="s">
        <v>85</v>
      </c>
      <c r="C14" s="362"/>
      <c r="E14" s="79">
        <v>44</v>
      </c>
      <c r="F14" s="82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">
      <c r="A15" s="49">
        <v>42</v>
      </c>
      <c r="B15" s="49" t="s">
        <v>86</v>
      </c>
      <c r="C15" s="362"/>
      <c r="E15" s="79">
        <v>48</v>
      </c>
      <c r="F15" s="82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">
      <c r="A16" s="49">
        <v>43</v>
      </c>
      <c r="B16" s="49" t="s">
        <v>87</v>
      </c>
      <c r="C16" s="362"/>
      <c r="E16" s="79">
        <v>52</v>
      </c>
      <c r="F16" s="82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5" x14ac:dyDescent="0.2">
      <c r="A17" s="49">
        <v>44</v>
      </c>
      <c r="B17" s="49" t="s">
        <v>88</v>
      </c>
      <c r="C17" s="362"/>
      <c r="E17" s="79">
        <v>56</v>
      </c>
      <c r="F17" s="82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5" ht="12.75" customHeight="1" x14ac:dyDescent="0.2">
      <c r="A18" s="49">
        <v>45</v>
      </c>
      <c r="B18" s="49" t="s">
        <v>89</v>
      </c>
      <c r="C18" s="362"/>
      <c r="E18" s="79">
        <v>60</v>
      </c>
      <c r="F18" s="82">
        <v>132</v>
      </c>
      <c r="G18" s="3">
        <v>132.27600000000001</v>
      </c>
      <c r="J18" s="66"/>
      <c r="K18" s="66"/>
      <c r="L18" s="106">
        <v>41.7</v>
      </c>
      <c r="M18" s="106">
        <v>1.2562500000000001</v>
      </c>
      <c r="N18" s="106">
        <v>1.3065</v>
      </c>
      <c r="O18" s="106">
        <v>1.2466999999999999</v>
      </c>
      <c r="P18" s="106">
        <v>1.1578999999999999</v>
      </c>
      <c r="Q18" s="106">
        <v>1.2658</v>
      </c>
      <c r="R18" s="106">
        <v>1.4574</v>
      </c>
      <c r="S18" s="2">
        <v>1.2562500000000001</v>
      </c>
      <c r="T18" s="2">
        <v>1.3065</v>
      </c>
      <c r="V18" s="2">
        <v>2.9018000000000002</v>
      </c>
      <c r="W18" s="66"/>
      <c r="X18" s="67"/>
      <c r="Y18" s="67"/>
    </row>
    <row r="19" spans="1:25" ht="12.75" customHeight="1" x14ac:dyDescent="0.2">
      <c r="A19" s="49">
        <v>46</v>
      </c>
      <c r="B19" s="49" t="s">
        <v>90</v>
      </c>
      <c r="C19" s="362"/>
      <c r="E19" s="79">
        <v>67.5</v>
      </c>
      <c r="F19" s="82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5" ht="12.75" customHeight="1" x14ac:dyDescent="0.2">
      <c r="A20" s="49">
        <v>47</v>
      </c>
      <c r="B20" s="49" t="s">
        <v>91</v>
      </c>
      <c r="C20" s="362"/>
      <c r="E20" s="79">
        <v>75</v>
      </c>
      <c r="F20" s="82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5" x14ac:dyDescent="0.2">
      <c r="A21" s="49">
        <v>48</v>
      </c>
      <c r="B21" s="49" t="s">
        <v>92</v>
      </c>
      <c r="C21" s="362"/>
      <c r="E21" s="79">
        <v>82.5</v>
      </c>
      <c r="F21" s="82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5" x14ac:dyDescent="0.2">
      <c r="A22" s="49">
        <v>49</v>
      </c>
      <c r="B22" s="49" t="s">
        <v>93</v>
      </c>
      <c r="C22" s="362"/>
      <c r="E22" s="79">
        <v>90</v>
      </c>
      <c r="F22" s="82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5" x14ac:dyDescent="0.2">
      <c r="A23" s="49">
        <v>50</v>
      </c>
      <c r="B23" s="49" t="s">
        <v>94</v>
      </c>
      <c r="E23" s="79">
        <v>100</v>
      </c>
      <c r="F23" s="82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5" x14ac:dyDescent="0.2">
      <c r="A24" s="49">
        <v>51</v>
      </c>
      <c r="B24" s="49" t="s">
        <v>95</v>
      </c>
      <c r="E24" s="79">
        <v>110</v>
      </c>
      <c r="F24" s="82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5" x14ac:dyDescent="0.2">
      <c r="A25" s="49">
        <v>52</v>
      </c>
      <c r="B25" s="49" t="s">
        <v>96</v>
      </c>
      <c r="E25" s="79">
        <v>125</v>
      </c>
      <c r="F25" s="82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5" x14ac:dyDescent="0.2">
      <c r="A26" s="49">
        <v>53</v>
      </c>
      <c r="B26" s="49" t="s">
        <v>97</v>
      </c>
      <c r="E26" s="79">
        <v>140</v>
      </c>
      <c r="F26" s="82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5" x14ac:dyDescent="0.2">
      <c r="A27" s="49">
        <v>54</v>
      </c>
      <c r="B27" s="49" t="s">
        <v>98</v>
      </c>
      <c r="E27" s="80">
        <v>145</v>
      </c>
      <c r="F27" s="82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5" x14ac:dyDescent="0.2">
      <c r="A28" s="49">
        <v>55</v>
      </c>
      <c r="B28" s="49" t="s">
        <v>99</v>
      </c>
      <c r="E28" s="81" t="s">
        <v>125</v>
      </c>
      <c r="F28" s="83" t="s">
        <v>125</v>
      </c>
      <c r="G28" s="190" t="s">
        <v>179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5" x14ac:dyDescent="0.2">
      <c r="A29" s="49">
        <v>56</v>
      </c>
      <c r="B29" s="49" t="s">
        <v>100</v>
      </c>
      <c r="D29" s="78"/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5" x14ac:dyDescent="0.2">
      <c r="A30" s="50">
        <v>57</v>
      </c>
      <c r="B30" s="50" t="s">
        <v>101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5" x14ac:dyDescent="0.2">
      <c r="A31" s="51">
        <v>58</v>
      </c>
      <c r="B31" s="51" t="s">
        <v>102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5" x14ac:dyDescent="0.2">
      <c r="A32" s="51">
        <v>59</v>
      </c>
      <c r="B32" s="51" t="s">
        <v>103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">
      <c r="A33" s="51">
        <v>60</v>
      </c>
      <c r="B33" s="51" t="s">
        <v>104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">
      <c r="A34" s="51">
        <v>61</v>
      </c>
      <c r="B34" s="51" t="s">
        <v>105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">
      <c r="A35" s="51">
        <v>62</v>
      </c>
      <c r="B35" s="51" t="s">
        <v>106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">
      <c r="A36" s="51">
        <v>63</v>
      </c>
      <c r="B36" s="51" t="s">
        <v>107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">
      <c r="A37" s="51">
        <v>64</v>
      </c>
      <c r="B37" s="51" t="s">
        <v>108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">
      <c r="A38" s="51">
        <v>65</v>
      </c>
      <c r="B38" s="51" t="s">
        <v>109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">
      <c r="A39" s="51">
        <v>66</v>
      </c>
      <c r="B39" s="51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">
      <c r="A40" s="51">
        <v>67</v>
      </c>
      <c r="B40" s="51" t="s">
        <v>110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">
      <c r="A41" s="51">
        <v>68</v>
      </c>
      <c r="B41" s="51" t="s">
        <v>111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">
      <c r="A42" s="51">
        <v>69</v>
      </c>
      <c r="B42" s="51" t="s">
        <v>112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">
      <c r="A43" s="51">
        <v>70</v>
      </c>
      <c r="B43" s="51" t="s">
        <v>113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">
      <c r="A44" s="51">
        <v>71</v>
      </c>
      <c r="B44" s="51" t="s">
        <v>114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">
      <c r="A45" s="51">
        <v>72</v>
      </c>
      <c r="B45" s="51" t="s">
        <v>115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">
      <c r="A46" s="51">
        <v>73</v>
      </c>
      <c r="B46" s="51" t="s">
        <v>116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">
      <c r="A47" s="51">
        <v>74</v>
      </c>
      <c r="B47" s="51" t="s">
        <v>117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">
      <c r="A48" s="51">
        <v>75</v>
      </c>
      <c r="B48" s="51" t="s">
        <v>118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">
      <c r="A49" s="51">
        <v>76</v>
      </c>
      <c r="B49" s="51" t="s">
        <v>119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">
      <c r="A50" s="51">
        <v>77</v>
      </c>
      <c r="B50" s="51" t="s">
        <v>120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">
      <c r="A51" s="51">
        <v>78</v>
      </c>
      <c r="B51" s="51" t="s">
        <v>121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">
      <c r="A52" s="51">
        <v>79</v>
      </c>
      <c r="B52" s="51" t="s">
        <v>122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">
      <c r="A53" s="51">
        <v>80</v>
      </c>
      <c r="B53" s="51" t="s">
        <v>123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146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146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146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146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146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146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146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146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146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">
      <c r="L721" s="2">
        <v>112</v>
      </c>
      <c r="M721" s="2">
        <v>0.55974999999999997</v>
      </c>
      <c r="N721" s="2">
        <v>0.6885</v>
      </c>
      <c r="O721" s="2">
        <v>0.53420000000000001</v>
      </c>
      <c r="P721" s="146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146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146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146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146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146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146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146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146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146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146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146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146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146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146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146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146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146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146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146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">
      <c r="L741" s="2">
        <v>114</v>
      </c>
      <c r="M741" s="2">
        <v>0.55735000000000001</v>
      </c>
      <c r="N741" s="2">
        <v>0.68564999999999998</v>
      </c>
      <c r="O741" s="2">
        <v>0.5323</v>
      </c>
      <c r="P741" s="146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146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146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146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146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146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146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146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146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146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146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146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146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146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146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146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146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146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146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146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146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146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146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146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">
      <c r="L765" s="2">
        <v>116.4</v>
      </c>
      <c r="M765" s="2">
        <v>0.55469999999999997</v>
      </c>
      <c r="N765" s="2">
        <v>0.6825</v>
      </c>
      <c r="O765" s="2">
        <v>0.5302</v>
      </c>
      <c r="P765" s="146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146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">
      <c r="L767" s="2">
        <v>116.6</v>
      </c>
      <c r="M767" s="2">
        <v>0.55449999999999999</v>
      </c>
      <c r="N767" s="2">
        <v>0.68220000000000003</v>
      </c>
      <c r="O767" s="2">
        <v>0.53</v>
      </c>
      <c r="P767" s="146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146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146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146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146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146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146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146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146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146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146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146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146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146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">
      <c r="L781" s="2">
        <v>118</v>
      </c>
      <c r="M781" s="2">
        <v>0.55300000000000005</v>
      </c>
      <c r="N781" s="2">
        <v>0.6804</v>
      </c>
      <c r="O781" s="2">
        <v>0.52880000000000005</v>
      </c>
      <c r="P781" s="146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146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146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">
      <c r="L784" s="2">
        <v>118.3</v>
      </c>
      <c r="M784" s="2">
        <v>0.55269999999999997</v>
      </c>
      <c r="N784" s="2">
        <v>0.68</v>
      </c>
      <c r="O784" s="2">
        <v>0.52849999999999997</v>
      </c>
      <c r="P784" s="146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146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146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146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146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146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146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146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146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146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146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146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146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146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146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146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146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146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146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146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146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146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146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146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146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146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146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146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146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146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146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146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146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146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146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146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146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146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146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146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146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146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146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146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146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146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146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146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146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146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146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146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146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146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146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146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146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146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146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146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146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146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146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146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146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146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146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">
      <c r="L851" s="2">
        <v>125</v>
      </c>
      <c r="M851" s="2">
        <v>0.5454</v>
      </c>
      <c r="N851" s="2">
        <v>0.67169999999999996</v>
      </c>
      <c r="O851" s="2">
        <v>0.52100000000000002</v>
      </c>
      <c r="P851" s="146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146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146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146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146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146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146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146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">
      <c r="L859" s="2">
        <v>125.8</v>
      </c>
      <c r="M859" s="2">
        <v>0.54455000000000009</v>
      </c>
      <c r="N859" s="2">
        <v>0.67074999999999996</v>
      </c>
      <c r="O859" s="2">
        <v>0.52</v>
      </c>
      <c r="P859" s="146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">
      <c r="L860" s="2">
        <v>125.9</v>
      </c>
      <c r="M860" s="2" t="e">
        <v>#VALUE!</v>
      </c>
      <c r="N860" s="2">
        <v>0.67064999999999997</v>
      </c>
      <c r="O860" s="2" t="s">
        <v>137</v>
      </c>
      <c r="P860" s="146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146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146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146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146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">
      <c r="L865" s="2">
        <v>126.4</v>
      </c>
      <c r="M865" s="2">
        <v>0.54394999999999993</v>
      </c>
      <c r="N865" s="2">
        <v>0.67</v>
      </c>
      <c r="O865" s="2">
        <v>0.51929999999999998</v>
      </c>
      <c r="P865" s="146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146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146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146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146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146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146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146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146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146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146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146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146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146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146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146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">
      <c r="L881" s="2">
        <v>128</v>
      </c>
      <c r="M881" s="2">
        <v>0.5423</v>
      </c>
      <c r="N881" s="2">
        <v>0.66810000000000003</v>
      </c>
      <c r="O881" s="2">
        <v>0.51739999999999997</v>
      </c>
      <c r="P881" s="146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146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146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146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146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146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146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146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146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146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">
      <c r="L891" s="2">
        <v>129</v>
      </c>
      <c r="M891" s="2">
        <v>0.5413</v>
      </c>
      <c r="N891" s="2">
        <v>0.66690000000000005</v>
      </c>
      <c r="O891" s="2">
        <v>0.51619999999999999</v>
      </c>
      <c r="P891" s="146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146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146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146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146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146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146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146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146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146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">
      <c r="L901" s="2">
        <v>130</v>
      </c>
      <c r="M901" s="2">
        <v>0.5403</v>
      </c>
      <c r="N901" s="2">
        <v>0.66569999999999996</v>
      </c>
      <c r="O901" s="2">
        <v>0.51500000000000001</v>
      </c>
      <c r="P901" s="146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146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146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146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146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146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146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146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146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">
      <c r="L910" s="2">
        <v>130.9</v>
      </c>
      <c r="M910" s="2">
        <v>0.54</v>
      </c>
      <c r="N910" s="2">
        <v>0.66464999999999996</v>
      </c>
      <c r="O910" s="2">
        <v>0.5151</v>
      </c>
      <c r="P910" s="146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">
      <c r="L911" s="2">
        <v>131</v>
      </c>
      <c r="M911" s="2">
        <v>0.5393</v>
      </c>
      <c r="N911" s="2">
        <v>0.66454999999999997</v>
      </c>
      <c r="O911" s="2">
        <v>0.51380000000000003</v>
      </c>
      <c r="P911" s="146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146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146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146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146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146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146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146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146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146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">
      <c r="L921" s="2">
        <v>132</v>
      </c>
      <c r="M921" s="2">
        <v>0.53835</v>
      </c>
      <c r="N921" s="2">
        <v>0.66335</v>
      </c>
      <c r="O921" s="2">
        <v>0.51259999999999994</v>
      </c>
      <c r="P921" s="146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146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146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146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146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146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146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146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146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146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146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146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146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146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146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146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146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146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146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146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146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146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146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146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146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146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146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146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146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">
      <c r="L950" s="2">
        <v>134.9</v>
      </c>
      <c r="M950" s="2">
        <v>0.53615000000000002</v>
      </c>
      <c r="N950" s="2">
        <v>0.66</v>
      </c>
      <c r="O950" s="2">
        <v>0.51029999999999998</v>
      </c>
      <c r="P950" s="146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146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146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146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146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146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146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146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146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146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">
      <c r="L960" s="2">
        <v>135.9</v>
      </c>
      <c r="M960" s="2">
        <v>0.53525</v>
      </c>
      <c r="N960" s="2">
        <v>0.65885000000000005</v>
      </c>
      <c r="O960" s="2">
        <v>0.5091</v>
      </c>
      <c r="P960" s="146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146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146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146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146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146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146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146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146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146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146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146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146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146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146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146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146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146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146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146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146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146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146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146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146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146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146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146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146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146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146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146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146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146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146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146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146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146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146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146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146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146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146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146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146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146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146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146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146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146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146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">
      <c r="L1011" s="2">
        <v>141</v>
      </c>
      <c r="M1011" s="2">
        <v>0.53025</v>
      </c>
      <c r="N1011" s="2">
        <v>0.6532</v>
      </c>
      <c r="O1011" s="2">
        <v>0.50229999999999997</v>
      </c>
      <c r="P1011" s="146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146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146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146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146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146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146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146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146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146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146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146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146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146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146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146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146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146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146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146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146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146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146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146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146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146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146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146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146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146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146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146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146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146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146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146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146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146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146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146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146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146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146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146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">
      <c r="L1055" s="2">
        <v>145.4</v>
      </c>
      <c r="M1055" s="2">
        <v>0.52659999999999996</v>
      </c>
      <c r="N1055" s="2">
        <v>0.64881</v>
      </c>
      <c r="O1055" s="2">
        <v>0.4975</v>
      </c>
      <c r="P1055" s="146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146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146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146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146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146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146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146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146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146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146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146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146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146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146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146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146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146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146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146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146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146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146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146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146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">
      <c r="L1080" s="2">
        <v>147.9</v>
      </c>
      <c r="M1080" s="2">
        <v>0.5252</v>
      </c>
      <c r="N1080" s="2">
        <v>0.64661000000000002</v>
      </c>
      <c r="O1080" s="2">
        <v>0.496</v>
      </c>
      <c r="P1080" s="146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146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146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146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146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146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146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146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146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146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">
      <c r="L1090" s="2">
        <v>148.9</v>
      </c>
      <c r="M1090" s="2">
        <v>0.52444999999999997</v>
      </c>
      <c r="N1090" s="2">
        <v>0.64581</v>
      </c>
      <c r="O1090" s="2">
        <v>0.495</v>
      </c>
      <c r="P1090" s="146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146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146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146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146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146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146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146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146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146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146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146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146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146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146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146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146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146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146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146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146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146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146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146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146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146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146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146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146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146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146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146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146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146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146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146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">
      <c r="L1126" s="2">
        <v>152.5</v>
      </c>
      <c r="M1126" s="2">
        <v>0.5212</v>
      </c>
      <c r="N1126" s="2">
        <v>0.64307999999999998</v>
      </c>
      <c r="O1126" s="2">
        <v>0.4904</v>
      </c>
      <c r="P1126" s="146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146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146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146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146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">
      <c r="L1131" s="2">
        <v>153</v>
      </c>
      <c r="M1131" s="2">
        <v>0.52085000000000004</v>
      </c>
      <c r="N1131" s="2">
        <v>0.64271</v>
      </c>
      <c r="O1131" s="2">
        <v>0.4899</v>
      </c>
      <c r="P1131" s="146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146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146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146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146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146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146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146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146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146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146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146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146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146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146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146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146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146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146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146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146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146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146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146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146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146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146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146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146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146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146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146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146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146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146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146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146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146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146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146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146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146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146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146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146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146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146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146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146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146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146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146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146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146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146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146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146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146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146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146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146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146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146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146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146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146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146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146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146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146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">
      <c r="L1201" s="2">
        <v>160</v>
      </c>
      <c r="M1201" s="2">
        <v>0.51580000000000004</v>
      </c>
      <c r="N1201" s="2">
        <v>0.63771</v>
      </c>
      <c r="O1201" s="2">
        <v>0.4834</v>
      </c>
      <c r="P1201" s="146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146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146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146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146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146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146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146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146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146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146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146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146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146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146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146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146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146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146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146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146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146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146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146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146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146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146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146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146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146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146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146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146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146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146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146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146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146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146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146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">
      <c r="L1241" s="2">
        <v>164</v>
      </c>
      <c r="M1241" s="2">
        <v>0.51300000000000001</v>
      </c>
      <c r="N1241" s="2">
        <v>0.63488</v>
      </c>
      <c r="O1241" s="2">
        <v>0.4798</v>
      </c>
      <c r="P1241" s="146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146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146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146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146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146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146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146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146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146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146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146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146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146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146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146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146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146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146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146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146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146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146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146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146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146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146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146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146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146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146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146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146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146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146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146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146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146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146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146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146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146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146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146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146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146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146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146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146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146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146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146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146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146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146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146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146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146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146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146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146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146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146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146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146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146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146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146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146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146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146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146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146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146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146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146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146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146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146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146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146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146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146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146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146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146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146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146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146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146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146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146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146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146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146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146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146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146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146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146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146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146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146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146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146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146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146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146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146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146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146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146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146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146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146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146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146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146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146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146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146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146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146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146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146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146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146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146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146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146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146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146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146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146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146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146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146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146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146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146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146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146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146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146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146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146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146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146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146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146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146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146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146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146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146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146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146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146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146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146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146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146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146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146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146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146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146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146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146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146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146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146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146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146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146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146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146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146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146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146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146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146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146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146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146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146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146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146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146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146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146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146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146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146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146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146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146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146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146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146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146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146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146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146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146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146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146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146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146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146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146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146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146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146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146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146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146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146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146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146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146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146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146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146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146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146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146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146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146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146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146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146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146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146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146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146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146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146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146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146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146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146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146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146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146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146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146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146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146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146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146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146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146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146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146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146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146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146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146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146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146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146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146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146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146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146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146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146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146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146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146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146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146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146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146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146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146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146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146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146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146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146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146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146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146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146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146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146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146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146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146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146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146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146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146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146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146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146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146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146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146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146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146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146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146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146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146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146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146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146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146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146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146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146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146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146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146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146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146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146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146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146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146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146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146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146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146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146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146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146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146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146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146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146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146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146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146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146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146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146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146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146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146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146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146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146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146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146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146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146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146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146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146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146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146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146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146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146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146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146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146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146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146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146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146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146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146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146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146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146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146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146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146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146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146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146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146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146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146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146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146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146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146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146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146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146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146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146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146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146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146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146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146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146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146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146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146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146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146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146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146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146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146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146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146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146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146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146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146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146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146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146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146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146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146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146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146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146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146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146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146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146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146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146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146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146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146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146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146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146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146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146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146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146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146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146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146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146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146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146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146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146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146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146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146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146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146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146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146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146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146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146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146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146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146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146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146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146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146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146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146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146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146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146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146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146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146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146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146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146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146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146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146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146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146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146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146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146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146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146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146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146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146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146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146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146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146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146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146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146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146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146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146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146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146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146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146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146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146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146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146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146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146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146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146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146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146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146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146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146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146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146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146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146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146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146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146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146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146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146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146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146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146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146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146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146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146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146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146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146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146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146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146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146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146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146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146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146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146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146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146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146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146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146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146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146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146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146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146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146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146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146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146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146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146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146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146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146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146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146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146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146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146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146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146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146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146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146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146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146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146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146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146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146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146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146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146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146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146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146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146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146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146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146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146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146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146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146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146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146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146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146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146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146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146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146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146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146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146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146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146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146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146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146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146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146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146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146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146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146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146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146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146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146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146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146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146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146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146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146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146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146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146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146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146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146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146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146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146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146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146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146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146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146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146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146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146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146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146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146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146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146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146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146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146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146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146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146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146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146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146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146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146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146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146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146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146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146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146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146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146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146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146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146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146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146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146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146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146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146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Setup</vt:lpstr>
      <vt:lpstr>Weigh-in</vt:lpstr>
      <vt:lpstr>Lifting</vt:lpstr>
      <vt:lpstr>3-Lift</vt:lpstr>
      <vt:lpstr>Squat</vt:lpstr>
      <vt:lpstr>Bench</vt:lpstr>
      <vt:lpstr>Deadlift</vt:lpstr>
      <vt:lpstr>Push-Pull</vt:lpstr>
      <vt:lpstr>DATA</vt:lpstr>
      <vt:lpstr>PrintSheet</vt:lpstr>
      <vt:lpstr>Awards</vt:lpstr>
      <vt:lpstr>Please read</vt:lpstr>
      <vt:lpstr>Black &amp; White load sheet</vt:lpstr>
      <vt:lpstr>'3-Lift'!Print_Area</vt:lpstr>
      <vt:lpstr>Bench!Print_Area</vt:lpstr>
      <vt:lpstr>Deadlift!Print_Area</vt:lpstr>
      <vt:lpstr>PrintSheet!Print_Area</vt:lpstr>
      <vt:lpstr>'Push-Pull'!Print_Area</vt:lpstr>
      <vt:lpstr>Squat!Print_Area</vt:lpstr>
      <vt:lpstr>'Black &amp; White load sheet'!Print_Titles</vt:lpstr>
      <vt:lpstr>PrintSheet!Print_Titles</vt:lpstr>
    </vt:vector>
  </TitlesOfParts>
  <Company>GE Aircraft Engines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Amy</cp:lastModifiedBy>
  <cp:lastPrinted>2015-06-07T15:17:49Z</cp:lastPrinted>
  <dcterms:created xsi:type="dcterms:W3CDTF">2004-08-23T15:45:10Z</dcterms:created>
  <dcterms:modified xsi:type="dcterms:W3CDTF">2018-04-20T18:04:39Z</dcterms:modified>
</cp:coreProperties>
</file>