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F8ABED11-1DC7-4FD4-ADCC-B4C9BCEF7C35}" xr6:coauthVersionLast="47" xr6:coauthVersionMax="47" xr10:uidLastSave="{00000000-0000-0000-0000-000000000000}"/>
  <bookViews>
    <workbookView xWindow="-108" yWindow="-108" windowWidth="23256" windowHeight="12576" firstSheet="8" activeTab="11" xr2:uid="{00000000-000D-0000-FFFF-FFFF00000000}"/>
  </bookViews>
  <sheets>
    <sheet name="Setup" sheetId="9" state="hidden" r:id="rId1"/>
    <sheet name="Weigh-in" sheetId="6" state="hidden" r:id="rId2"/>
    <sheet name="Loading Chart" sheetId="14610" state="hidden" r:id="rId3"/>
    <sheet name="Lifting" sheetId="2" state="hidden" r:id="rId4"/>
    <sheet name="BarLoad" sheetId="14608" state="hidden" r:id="rId5"/>
    <sheet name="Upcoming Flights" sheetId="14609" state="hidden" r:id="rId6"/>
    <sheet name="3-Lift" sheetId="14601" state="hidden" r:id="rId7"/>
    <sheet name="Squat" sheetId="14603" state="hidden" r:id="rId8"/>
    <sheet name="Bench" sheetId="14604" r:id="rId9"/>
    <sheet name="Deadlift" sheetId="14605" r:id="rId10"/>
    <sheet name="DATA" sheetId="14584" state="hidden" r:id="rId11"/>
    <sheet name="Push-Pull" sheetId="14602" r:id="rId12"/>
    <sheet name="PrintSheet" sheetId="14607" state="hidden" r:id="rId13"/>
    <sheet name="Awards" sheetId="14600" state="hidden" r:id="rId14"/>
    <sheet name="Please read" sheetId="14585" state="hidden" r:id="rId15"/>
    <sheet name="Black &amp; White load sheet" sheetId="14606" state="hidden" r:id="rId16"/>
  </sheets>
  <definedNames>
    <definedName name="_xlnm.Print_Area" localSheetId="6">'3-Lift'!$A$1:$AC$2</definedName>
    <definedName name="_xlnm.Print_Area" localSheetId="8">Bench!$A$1:$Q$14</definedName>
    <definedName name="_xlnm.Print_Area" localSheetId="9">Deadlift!$A$1:$Q$4</definedName>
    <definedName name="_xlnm.Print_Area" localSheetId="12">PrintSheet!$A$1:$AI$27</definedName>
    <definedName name="_xlnm.Print_Area" localSheetId="11">'Push-Pull'!$A$1:$W$13</definedName>
    <definedName name="_xlnm.Print_Area" localSheetId="7">Squat!$A$1:$Q$2</definedName>
    <definedName name="_xlnm.Print_Titles" localSheetId="15">'Black &amp; White load sheet'!$1:$2</definedName>
    <definedName name="_xlnm.Print_Titles" localSheetId="12">PrintSheet!$1:$2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2" l="1"/>
  <c r="A10" i="2"/>
  <c r="A11" i="2"/>
  <c r="A14" i="2"/>
  <c r="A21" i="2"/>
  <c r="A22" i="2"/>
  <c r="A15" i="2"/>
  <c r="A19" i="2"/>
  <c r="A18" i="2"/>
  <c r="A23" i="2"/>
  <c r="A17" i="2"/>
  <c r="A16" i="2"/>
  <c r="A20" i="2"/>
  <c r="A12" i="2"/>
  <c r="A25" i="2"/>
  <c r="A26" i="2"/>
  <c r="A27" i="2"/>
  <c r="A28" i="2"/>
  <c r="A29" i="2"/>
  <c r="A30" i="2"/>
  <c r="A31" i="2"/>
  <c r="A32" i="2"/>
  <c r="A33" i="2"/>
  <c r="A34" i="2"/>
  <c r="A24" i="2"/>
  <c r="G14" i="2"/>
  <c r="G21" i="2"/>
  <c r="AW34" i="2"/>
  <c r="AO34" i="2"/>
  <c r="AL34" i="2"/>
  <c r="H34" i="2" s="1"/>
  <c r="AA34" i="2"/>
  <c r="U34" i="2"/>
  <c r="O34" i="2"/>
  <c r="G34" i="2"/>
  <c r="AW27" i="2"/>
  <c r="AO27" i="2"/>
  <c r="AL27" i="2"/>
  <c r="H27" i="2" s="1"/>
  <c r="AA27" i="2"/>
  <c r="U27" i="2"/>
  <c r="O27" i="2"/>
  <c r="G27" i="2"/>
  <c r="AW29" i="2"/>
  <c r="AO29" i="2"/>
  <c r="AL29" i="2"/>
  <c r="H29" i="2" s="1"/>
  <c r="AA29" i="2"/>
  <c r="U29" i="2"/>
  <c r="O29" i="2"/>
  <c r="G29" i="2"/>
  <c r="AW28" i="2"/>
  <c r="AO28" i="2"/>
  <c r="AL28" i="2"/>
  <c r="H28" i="2" s="1"/>
  <c r="AA28" i="2"/>
  <c r="U28" i="2"/>
  <c r="O28" i="2"/>
  <c r="G28" i="2"/>
  <c r="AW24" i="2"/>
  <c r="AO24" i="2"/>
  <c r="AL24" i="2"/>
  <c r="H24" i="2" s="1"/>
  <c r="AA24" i="2"/>
  <c r="U24" i="2"/>
  <c r="O24" i="2"/>
  <c r="G24" i="2"/>
  <c r="AW33" i="2"/>
  <c r="AO33" i="2"/>
  <c r="AL33" i="2"/>
  <c r="H33" i="2" s="1"/>
  <c r="AA33" i="2"/>
  <c r="U33" i="2"/>
  <c r="O33" i="2"/>
  <c r="G33" i="2"/>
  <c r="AW32" i="2"/>
  <c r="AO32" i="2"/>
  <c r="AL32" i="2"/>
  <c r="H32" i="2" s="1"/>
  <c r="AA32" i="2"/>
  <c r="U32" i="2"/>
  <c r="O32" i="2"/>
  <c r="G32" i="2"/>
  <c r="AW31" i="2"/>
  <c r="AO31" i="2"/>
  <c r="AL31" i="2"/>
  <c r="H31" i="2" s="1"/>
  <c r="AA31" i="2"/>
  <c r="U31" i="2"/>
  <c r="O31" i="2"/>
  <c r="G31" i="2"/>
  <c r="AW26" i="2"/>
  <c r="AO26" i="2"/>
  <c r="AL26" i="2"/>
  <c r="H26" i="2" s="1"/>
  <c r="AA26" i="2"/>
  <c r="U26" i="2"/>
  <c r="O26" i="2"/>
  <c r="G26" i="2"/>
  <c r="AW25" i="2"/>
  <c r="AO25" i="2"/>
  <c r="AL25" i="2"/>
  <c r="H25" i="2" s="1"/>
  <c r="AA25" i="2"/>
  <c r="U25" i="2"/>
  <c r="O25" i="2"/>
  <c r="G25" i="2"/>
  <c r="AW30" i="2"/>
  <c r="AO30" i="2"/>
  <c r="AL30" i="2"/>
  <c r="H30" i="2" s="1"/>
  <c r="AA30" i="2"/>
  <c r="U30" i="2"/>
  <c r="O30" i="2"/>
  <c r="G30" i="2"/>
  <c r="AW19" i="2"/>
  <c r="AO19" i="2"/>
  <c r="AL19" i="2"/>
  <c r="H19" i="2" s="1"/>
  <c r="AA19" i="2"/>
  <c r="U19" i="2"/>
  <c r="O19" i="2"/>
  <c r="G19" i="2"/>
  <c r="AW23" i="2"/>
  <c r="AO23" i="2"/>
  <c r="AL23" i="2"/>
  <c r="H23" i="2" s="1"/>
  <c r="AA23" i="2"/>
  <c r="U23" i="2"/>
  <c r="O23" i="2"/>
  <c r="G23" i="2"/>
  <c r="AW18" i="2"/>
  <c r="AO18" i="2"/>
  <c r="AL18" i="2"/>
  <c r="H18" i="2" s="1"/>
  <c r="AA18" i="2"/>
  <c r="U18" i="2"/>
  <c r="O18" i="2"/>
  <c r="G18" i="2"/>
  <c r="AW16" i="2"/>
  <c r="AO16" i="2"/>
  <c r="AL16" i="2"/>
  <c r="H16" i="2" s="1"/>
  <c r="AA16" i="2"/>
  <c r="U16" i="2"/>
  <c r="O16" i="2"/>
  <c r="G16" i="2"/>
  <c r="AW17" i="2"/>
  <c r="AO17" i="2"/>
  <c r="AL17" i="2"/>
  <c r="H17" i="2" s="1"/>
  <c r="AA17" i="2"/>
  <c r="U17" i="2"/>
  <c r="O17" i="2"/>
  <c r="G17" i="2"/>
  <c r="AW20" i="2"/>
  <c r="AO20" i="2"/>
  <c r="AL20" i="2"/>
  <c r="H20" i="2" s="1"/>
  <c r="AA20" i="2"/>
  <c r="U20" i="2"/>
  <c r="O20" i="2"/>
  <c r="G20" i="2"/>
  <c r="AW11" i="2"/>
  <c r="AO11" i="2"/>
  <c r="AL11" i="2"/>
  <c r="H11" i="2" s="1"/>
  <c r="AA11" i="2"/>
  <c r="U11" i="2"/>
  <c r="O11" i="2"/>
  <c r="G11" i="2"/>
  <c r="AW10" i="2"/>
  <c r="AO10" i="2"/>
  <c r="AL10" i="2"/>
  <c r="H10" i="2" s="1"/>
  <c r="AA10" i="2"/>
  <c r="U10" i="2"/>
  <c r="O10" i="2"/>
  <c r="G10" i="2"/>
  <c r="AW13" i="2"/>
  <c r="AO13" i="2"/>
  <c r="AL13" i="2"/>
  <c r="H13" i="2" s="1"/>
  <c r="AA13" i="2"/>
  <c r="U13" i="2"/>
  <c r="O13" i="2"/>
  <c r="G13" i="2"/>
  <c r="AW15" i="2"/>
  <c r="AO15" i="2"/>
  <c r="AL15" i="2"/>
  <c r="H15" i="2" s="1"/>
  <c r="AA15" i="2"/>
  <c r="U15" i="2"/>
  <c r="O15" i="2"/>
  <c r="G15" i="2"/>
  <c r="AW12" i="2"/>
  <c r="AO12" i="2"/>
  <c r="AL12" i="2"/>
  <c r="H12" i="2" s="1"/>
  <c r="AA12" i="2"/>
  <c r="U12" i="2"/>
  <c r="O12" i="2"/>
  <c r="G12" i="2"/>
  <c r="AW22" i="2"/>
  <c r="AO22" i="2"/>
  <c r="AL22" i="2"/>
  <c r="H22" i="2" s="1"/>
  <c r="AA22" i="2"/>
  <c r="U22" i="2"/>
  <c r="O22" i="2"/>
  <c r="G22" i="2"/>
  <c r="AW21" i="2"/>
  <c r="AO21" i="2"/>
  <c r="AL21" i="2"/>
  <c r="H21" i="2" s="1"/>
  <c r="AA21" i="2"/>
  <c r="U21" i="2"/>
  <c r="O21" i="2"/>
  <c r="AW14" i="2"/>
  <c r="AO14" i="2"/>
  <c r="AL14" i="2"/>
  <c r="H14" i="2" s="1"/>
  <c r="AA14" i="2"/>
  <c r="U14" i="2"/>
  <c r="O14" i="2"/>
  <c r="C2" i="14609"/>
  <c r="A9" i="2"/>
  <c r="AN25" i="2" l="1"/>
  <c r="AN19" i="2"/>
  <c r="V13" i="2"/>
  <c r="V15" i="2"/>
  <c r="V21" i="2"/>
  <c r="V11" i="2"/>
  <c r="V17" i="2"/>
  <c r="AN27" i="2"/>
  <c r="V20" i="2"/>
  <c r="AN17" i="2"/>
  <c r="AM12" i="2"/>
  <c r="V31" i="2"/>
  <c r="AM18" i="2"/>
  <c r="AN18" i="2"/>
  <c r="AN29" i="2"/>
  <c r="AN21" i="2"/>
  <c r="AN12" i="2"/>
  <c r="AN10" i="2"/>
  <c r="AM32" i="2"/>
  <c r="AN28" i="2"/>
  <c r="V14" i="2"/>
  <c r="V25" i="2"/>
  <c r="AN32" i="2"/>
  <c r="AN13" i="2"/>
  <c r="AM17" i="2"/>
  <c r="V24" i="2"/>
  <c r="AN11" i="2"/>
  <c r="V26" i="2"/>
  <c r="AM22" i="2"/>
  <c r="AM10" i="2"/>
  <c r="AX31" i="2"/>
  <c r="AM33" i="2"/>
  <c r="AM28" i="2"/>
  <c r="AM16" i="2"/>
  <c r="AM30" i="2"/>
  <c r="AN33" i="2"/>
  <c r="V34" i="2"/>
  <c r="AM27" i="2"/>
  <c r="AN34" i="2"/>
  <c r="V27" i="2"/>
  <c r="AX26" i="2"/>
  <c r="AM25" i="2"/>
  <c r="AM21" i="2"/>
  <c r="V23" i="2"/>
  <c r="AN31" i="2"/>
  <c r="V28" i="2"/>
  <c r="V33" i="2"/>
  <c r="AN24" i="2"/>
  <c r="AX33" i="2"/>
  <c r="AX17" i="2"/>
  <c r="AX29" i="2"/>
  <c r="AM11" i="2"/>
  <c r="AX20" i="2"/>
  <c r="V18" i="2"/>
  <c r="AN23" i="2"/>
  <c r="AM19" i="2"/>
  <c r="AX28" i="2"/>
  <c r="AX11" i="2"/>
  <c r="AN16" i="2"/>
  <c r="AX24" i="2"/>
  <c r="AX14" i="2"/>
  <c r="AX23" i="2"/>
  <c r="AN26" i="2"/>
  <c r="AX19" i="2"/>
  <c r="AN22" i="2"/>
  <c r="AX32" i="2"/>
  <c r="AX13" i="2"/>
  <c r="AM31" i="2"/>
  <c r="AN14" i="2"/>
  <c r="AX21" i="2"/>
  <c r="V12" i="2"/>
  <c r="AM13" i="2"/>
  <c r="AX18" i="2"/>
  <c r="AN30" i="2"/>
  <c r="AN15" i="2"/>
  <c r="AX15" i="2"/>
  <c r="AN20" i="2"/>
  <c r="V19" i="2"/>
  <c r="AX34" i="2"/>
  <c r="V22" i="2"/>
  <c r="V16" i="2"/>
  <c r="V30" i="2"/>
  <c r="V32" i="2"/>
  <c r="V29" i="2"/>
  <c r="AX25" i="2"/>
  <c r="AX27" i="2"/>
  <c r="AM14" i="2"/>
  <c r="AM15" i="2"/>
  <c r="AM20" i="2"/>
  <c r="AM23" i="2"/>
  <c r="AM26" i="2"/>
  <c r="AM24" i="2"/>
  <c r="AM34" i="2"/>
  <c r="AX12" i="2"/>
  <c r="AX16" i="2"/>
  <c r="AX30" i="2"/>
  <c r="AX22" i="2"/>
  <c r="AX10" i="2"/>
  <c r="AM29" i="2"/>
  <c r="V10" i="2"/>
  <c r="AF5" i="9"/>
  <c r="AF4" i="9"/>
  <c r="AF3" i="9"/>
  <c r="C7" i="9"/>
  <c r="AE5" i="9"/>
  <c r="AE4" i="9"/>
  <c r="AE3" i="9"/>
  <c r="AY1" i="6" l="1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/>
  <c r="J12" i="9" s="1"/>
  <c r="J13" i="9" s="1"/>
  <c r="J14" i="9" s="1"/>
  <c r="J15" i="9" s="1"/>
  <c r="J16" i="9" s="1"/>
  <c r="AS7" i="2"/>
  <c r="AU7" i="2"/>
  <c r="F8" i="2"/>
  <c r="AJ7" i="2"/>
  <c r="L21" i="9"/>
  <c r="L22" i="9" s="1"/>
  <c r="L23" i="9" s="1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L14" i="14606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1" i="2"/>
  <c r="A6" i="14600"/>
  <c r="AJ29" i="2" l="1"/>
  <c r="AB29" i="2" s="1"/>
  <c r="AJ10" i="2"/>
  <c r="AB10" i="2" s="1"/>
  <c r="AJ18" i="2"/>
  <c r="AB18" i="2" s="1"/>
  <c r="AJ19" i="2"/>
  <c r="AB19" i="2" s="1"/>
  <c r="AJ14" i="2"/>
  <c r="AB14" i="2" s="1"/>
  <c r="AJ24" i="2"/>
  <c r="AB24" i="2" s="1"/>
  <c r="AJ15" i="2"/>
  <c r="AB15" i="2" s="1"/>
  <c r="AJ22" i="2"/>
  <c r="AB22" i="2" s="1"/>
  <c r="AJ17" i="2"/>
  <c r="AB17" i="2" s="1"/>
  <c r="AJ30" i="2"/>
  <c r="AB30" i="2" s="1"/>
  <c r="AJ32" i="2"/>
  <c r="AB32" i="2" s="1"/>
  <c r="AJ11" i="2"/>
  <c r="AB11" i="2" s="1"/>
  <c r="AJ28" i="2"/>
  <c r="AB28" i="2" s="1"/>
  <c r="AJ26" i="2"/>
  <c r="AB26" i="2" s="1"/>
  <c r="AJ13" i="2"/>
  <c r="AB13" i="2" s="1"/>
  <c r="AJ23" i="2"/>
  <c r="AB23" i="2" s="1"/>
  <c r="AJ27" i="2"/>
  <c r="AB27" i="2" s="1"/>
  <c r="AJ33" i="2"/>
  <c r="AB33" i="2" s="1"/>
  <c r="AJ12" i="2"/>
  <c r="AB12" i="2" s="1"/>
  <c r="AJ21" i="2"/>
  <c r="AB21" i="2" s="1"/>
  <c r="AJ20" i="2"/>
  <c r="AB20" i="2" s="1"/>
  <c r="AJ16" i="2"/>
  <c r="AB16" i="2" s="1"/>
  <c r="AJ31" i="2"/>
  <c r="AB31" i="2" s="1"/>
  <c r="AJ34" i="2"/>
  <c r="AB34" i="2" s="1"/>
  <c r="AJ25" i="2"/>
  <c r="AB25" i="2" s="1"/>
  <c r="J17" i="9"/>
  <c r="J18" i="9" s="1"/>
  <c r="J19" i="9" s="1"/>
  <c r="J20" i="9" s="1"/>
  <c r="J21" i="9" s="1"/>
  <c r="J22" i="9" s="1"/>
  <c r="J23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AF6" i="2"/>
  <c r="A7" i="2"/>
  <c r="B7" i="14600"/>
  <c r="V9" i="2"/>
  <c r="AM9" i="2"/>
  <c r="M14" i="14606"/>
  <c r="L15" i="14606"/>
  <c r="AJ9" i="2"/>
  <c r="AY10" i="2"/>
  <c r="AY29" i="2"/>
  <c r="AY11" i="2"/>
  <c r="B9" i="14600"/>
  <c r="AR11" i="2" l="1"/>
  <c r="AR10" i="2"/>
  <c r="AR29" i="2"/>
  <c r="AF29" i="2" s="1"/>
  <c r="AC12" i="2"/>
  <c r="AQ12" i="2"/>
  <c r="AD12" i="2"/>
  <c r="AQ18" i="2"/>
  <c r="AD18" i="2"/>
  <c r="AC18" i="2"/>
  <c r="AQ33" i="2"/>
  <c r="AC33" i="2"/>
  <c r="AD33" i="2"/>
  <c r="AC27" i="2"/>
  <c r="AQ27" i="2"/>
  <c r="AC23" i="2"/>
  <c r="AQ23" i="2"/>
  <c r="AD23" i="2"/>
  <c r="AC13" i="2"/>
  <c r="AD13" i="2"/>
  <c r="AQ13" i="2"/>
  <c r="AQ28" i="2"/>
  <c r="AC28" i="2"/>
  <c r="AD28" i="2" s="1"/>
  <c r="AG11" i="2"/>
  <c r="AD11" i="2"/>
  <c r="AQ11" i="2"/>
  <c r="AC11" i="2"/>
  <c r="AQ32" i="2"/>
  <c r="AC32" i="2"/>
  <c r="AD32" i="2" s="1"/>
  <c r="AC30" i="2"/>
  <c r="AQ30" i="2"/>
  <c r="AD30" i="2"/>
  <c r="AQ25" i="2"/>
  <c r="AC25" i="2"/>
  <c r="AD25" i="2" s="1"/>
  <c r="AC17" i="2"/>
  <c r="AQ17" i="2"/>
  <c r="AD17" i="2"/>
  <c r="AQ34" i="2"/>
  <c r="AC34" i="2"/>
  <c r="AD34" i="2" s="1"/>
  <c r="AQ22" i="2"/>
  <c r="AC22" i="2"/>
  <c r="AQ31" i="2"/>
  <c r="AC31" i="2"/>
  <c r="AD31" i="2" s="1"/>
  <c r="AQ15" i="2"/>
  <c r="AD15" i="2"/>
  <c r="AC15" i="2"/>
  <c r="AQ26" i="2"/>
  <c r="AC26" i="2"/>
  <c r="AD26" i="2" s="1"/>
  <c r="AD16" i="2"/>
  <c r="AC16" i="2"/>
  <c r="AQ16" i="2"/>
  <c r="AQ24" i="2"/>
  <c r="AC24" i="2"/>
  <c r="AQ20" i="2"/>
  <c r="AC20" i="2"/>
  <c r="AC14" i="2"/>
  <c r="AQ14" i="2"/>
  <c r="AD14" i="2"/>
  <c r="AD21" i="2"/>
  <c r="AQ21" i="2"/>
  <c r="AC21" i="2"/>
  <c r="AC19" i="2"/>
  <c r="AD19" i="2"/>
  <c r="AQ19" i="2"/>
  <c r="AD10" i="2"/>
  <c r="AC10" i="2"/>
  <c r="AQ10" i="2"/>
  <c r="AG29" i="2"/>
  <c r="AC29" i="2"/>
  <c r="AQ29" i="2"/>
  <c r="AD29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B10" i="14600"/>
  <c r="B11" i="14600"/>
  <c r="B13" i="14600"/>
  <c r="P9" i="14600"/>
  <c r="B14" i="14600"/>
  <c r="B12" i="14600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Y13" i="2"/>
  <c r="AY26" i="2"/>
  <c r="AY21" i="2"/>
  <c r="AY12" i="2"/>
  <c r="AY16" i="2"/>
  <c r="AY14" i="2"/>
  <c r="AY32" i="2"/>
  <c r="AY17" i="2"/>
  <c r="AY34" i="2"/>
  <c r="AY20" i="2"/>
  <c r="AY24" i="2"/>
  <c r="A4" i="2"/>
  <c r="AY15" i="2"/>
  <c r="AY23" i="2"/>
  <c r="AY22" i="2"/>
  <c r="AY28" i="2"/>
  <c r="AY18" i="2"/>
  <c r="AY25" i="2"/>
  <c r="AY27" i="2"/>
  <c r="AY33" i="2"/>
  <c r="AY31" i="2"/>
  <c r="AY19" i="2"/>
  <c r="AY30" i="2"/>
  <c r="AR13" i="2" l="1"/>
  <c r="AT13" i="2" s="1"/>
  <c r="AR30" i="2"/>
  <c r="AT30" i="2" s="1"/>
  <c r="AR19" i="2"/>
  <c r="AT19" i="2" s="1"/>
  <c r="AR21" i="2"/>
  <c r="AT21" i="2" s="1"/>
  <c r="AR17" i="2"/>
  <c r="AT17" i="2" s="1"/>
  <c r="AR18" i="2"/>
  <c r="AT18" i="2" s="1"/>
  <c r="AR14" i="2"/>
  <c r="AT14" i="2" s="1"/>
  <c r="AR12" i="2"/>
  <c r="AT12" i="2" s="1"/>
  <c r="AR15" i="2"/>
  <c r="AT15" i="2" s="1"/>
  <c r="AR20" i="2"/>
  <c r="AT20" i="2" s="1"/>
  <c r="AR16" i="2"/>
  <c r="AT16" i="2" s="1"/>
  <c r="AD20" i="2"/>
  <c r="AR24" i="2"/>
  <c r="AT24" i="2" s="1"/>
  <c r="AR22" i="2"/>
  <c r="AR26" i="2"/>
  <c r="AR34" i="2"/>
  <c r="AT34" i="2" s="1"/>
  <c r="AR32" i="2"/>
  <c r="AR27" i="2"/>
  <c r="AT27" i="2" s="1"/>
  <c r="AR31" i="2"/>
  <c r="AR23" i="2"/>
  <c r="AR28" i="2"/>
  <c r="AR25" i="2"/>
  <c r="AR33" i="2"/>
  <c r="AT33" i="2" s="1"/>
  <c r="AD27" i="2"/>
  <c r="AD22" i="2"/>
  <c r="AD24" i="2"/>
  <c r="AT10" i="2"/>
  <c r="AF11" i="2"/>
  <c r="AT11" i="2"/>
  <c r="AT29" i="2"/>
  <c r="AG10" i="2"/>
  <c r="AF10" i="2"/>
  <c r="D11" i="14606"/>
  <c r="E11" i="14606" s="1"/>
  <c r="AD9" i="2"/>
  <c r="AG9" i="2"/>
  <c r="AQ9" i="2"/>
  <c r="AF9" i="2"/>
  <c r="AC9" i="2"/>
  <c r="B4" i="2"/>
  <c r="AS10" i="2"/>
  <c r="A3" i="14608"/>
  <c r="AS31" i="2"/>
  <c r="AS29" i="2"/>
  <c r="A2" i="2"/>
  <c r="F2" i="2"/>
  <c r="AS28" i="2"/>
  <c r="AS23" i="2"/>
  <c r="AS25" i="2"/>
  <c r="AT23" i="2" l="1"/>
  <c r="AT28" i="2"/>
  <c r="AT26" i="2"/>
  <c r="AT25" i="2"/>
  <c r="AT31" i="2"/>
  <c r="AT32" i="2"/>
  <c r="AT22" i="2"/>
  <c r="D6" i="14606"/>
  <c r="E6" i="14606" s="1"/>
  <c r="D14" i="14606"/>
  <c r="E14" i="14606" s="1"/>
  <c r="F14" i="14606" s="1"/>
  <c r="J1" i="2"/>
  <c r="A5" i="2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AS12" i="2"/>
  <c r="AS9" i="2"/>
  <c r="AS26" i="2"/>
  <c r="AS19" i="2"/>
  <c r="AU24" i="2"/>
  <c r="AS32" i="2"/>
  <c r="AS27" i="2"/>
  <c r="AU17" i="2"/>
  <c r="AU25" i="2"/>
  <c r="AS34" i="2"/>
  <c r="AU12" i="2"/>
  <c r="AU11" i="2"/>
  <c r="H2" i="2"/>
  <c r="AU19" i="2"/>
  <c r="AU30" i="2"/>
  <c r="AU34" i="2"/>
  <c r="AU33" i="2"/>
  <c r="AU21" i="2"/>
  <c r="AS16" i="2"/>
  <c r="AU16" i="2"/>
  <c r="AS14" i="2"/>
  <c r="AS30" i="2"/>
  <c r="AS13" i="2"/>
  <c r="AS15" i="2"/>
  <c r="AU26" i="2"/>
  <c r="D3" i="2"/>
  <c r="AU29" i="2"/>
  <c r="AU27" i="2"/>
  <c r="AU18" i="2"/>
  <c r="AS18" i="2"/>
  <c r="AS24" i="2"/>
  <c r="AU28" i="2"/>
  <c r="AU14" i="2"/>
  <c r="AS11" i="2"/>
  <c r="AU22" i="2"/>
  <c r="AU23" i="2"/>
  <c r="AS21" i="2"/>
  <c r="AS33" i="2"/>
  <c r="AS22" i="2"/>
  <c r="AU20" i="2"/>
  <c r="AS17" i="2"/>
  <c r="AU31" i="2"/>
  <c r="AS20" i="2"/>
  <c r="AV22" i="2" l="1"/>
  <c r="AV34" i="2"/>
  <c r="AV27" i="2"/>
  <c r="AV33" i="2"/>
  <c r="AV16" i="2"/>
  <c r="AV30" i="2"/>
  <c r="AV14" i="2"/>
  <c r="AV20" i="2"/>
  <c r="AV29" i="2"/>
  <c r="AV21" i="2"/>
  <c r="AV12" i="2"/>
  <c r="AV24" i="2"/>
  <c r="AV25" i="2"/>
  <c r="AV19" i="2"/>
  <c r="AV11" i="2"/>
  <c r="AV17" i="2"/>
  <c r="AV18" i="2"/>
  <c r="AV28" i="2"/>
  <c r="AV31" i="2"/>
  <c r="AV26" i="2"/>
  <c r="AV23" i="2"/>
  <c r="H4" i="14608"/>
  <c r="A6" i="14608"/>
  <c r="F7" i="14606"/>
  <c r="G7" i="14606" s="1"/>
  <c r="H7" i="14606" s="1"/>
  <c r="F4" i="14606"/>
  <c r="G4" i="14606" s="1"/>
  <c r="H4" i="14606" s="1"/>
  <c r="G13" i="14606"/>
  <c r="H13" i="14606" s="1"/>
  <c r="I2" i="2"/>
  <c r="G7" i="9"/>
  <c r="D4" i="2"/>
  <c r="H3" i="2"/>
  <c r="I3" i="2" s="1"/>
  <c r="D7" i="9"/>
  <c r="M17" i="14606"/>
  <c r="A17" i="14606" s="1"/>
  <c r="L18" i="14606"/>
  <c r="G9" i="14606"/>
  <c r="H9" i="14606" s="1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11" i="14606"/>
  <c r="AU32" i="2"/>
  <c r="AU10" i="2"/>
  <c r="AU15" i="2"/>
  <c r="AU9" i="2"/>
  <c r="AU13" i="2"/>
  <c r="AV15" i="2" l="1"/>
  <c r="AG15" i="2" s="1"/>
  <c r="AV13" i="2"/>
  <c r="AG13" i="2" s="1"/>
  <c r="AV10" i="2"/>
  <c r="AV32" i="2"/>
  <c r="AG32" i="2" s="1"/>
  <c r="AG21" i="2"/>
  <c r="AF21" i="2"/>
  <c r="AG14" i="2"/>
  <c r="AF14" i="2"/>
  <c r="AG17" i="2"/>
  <c r="AF17" i="2"/>
  <c r="AG30" i="2"/>
  <c r="AF30" i="2"/>
  <c r="AF18" i="2"/>
  <c r="AG18" i="2"/>
  <c r="AG12" i="2"/>
  <c r="AF12" i="2"/>
  <c r="AG19" i="2"/>
  <c r="AF19" i="2"/>
  <c r="AG20" i="2"/>
  <c r="AF20" i="2"/>
  <c r="AG16" i="2"/>
  <c r="AF16" i="2"/>
  <c r="AG24" i="2"/>
  <c r="AF24" i="2"/>
  <c r="AG28" i="2"/>
  <c r="AF28" i="2"/>
  <c r="AG27" i="2"/>
  <c r="AF27" i="2"/>
  <c r="AG23" i="2"/>
  <c r="AF23" i="2"/>
  <c r="AG31" i="2"/>
  <c r="AF31" i="2"/>
  <c r="AG25" i="2"/>
  <c r="AF25" i="2"/>
  <c r="AG26" i="2"/>
  <c r="AF26" i="2"/>
  <c r="AG33" i="2"/>
  <c r="AF33" i="2"/>
  <c r="AG34" i="2"/>
  <c r="AF34" i="2"/>
  <c r="AG22" i="2"/>
  <c r="AF22" i="2"/>
  <c r="E20" i="9"/>
  <c r="E18" i="9"/>
  <c r="E19" i="9"/>
  <c r="E16" i="9"/>
  <c r="E17" i="9"/>
  <c r="E14" i="9"/>
  <c r="E15" i="9"/>
  <c r="E12" i="9"/>
  <c r="E13" i="9"/>
  <c r="E10" i="9"/>
  <c r="E11" i="9"/>
  <c r="H10" i="9"/>
  <c r="H11" i="9" s="1"/>
  <c r="A16" i="14608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AF32" i="2" l="1"/>
  <c r="AF13" i="2"/>
  <c r="AF15" i="2"/>
  <c r="H12" i="9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K12" i="14600"/>
  <c r="K11" i="14600"/>
  <c r="K13" i="14600"/>
  <c r="K14" i="14600"/>
  <c r="P11" i="14600" l="1"/>
  <c r="N11" i="14600"/>
  <c r="M11" i="14600"/>
  <c r="L11" i="14600"/>
  <c r="O11" i="14600"/>
  <c r="O14" i="14600"/>
  <c r="L14" i="14600"/>
  <c r="N14" i="14600"/>
  <c r="M14" i="14600"/>
  <c r="P14" i="14600"/>
  <c r="N13" i="14600"/>
  <c r="L13" i="14600"/>
  <c r="M13" i="14600"/>
  <c r="O13" i="14600"/>
  <c r="P13" i="14600"/>
  <c r="M12" i="14600"/>
  <c r="N12" i="14600"/>
  <c r="O12" i="14600"/>
  <c r="L12" i="14600"/>
  <c r="P12" i="14600"/>
  <c r="H13" i="9"/>
  <c r="H14" i="9" s="1"/>
  <c r="L5" i="14608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K10" i="14600"/>
  <c r="O10" i="14600" l="1"/>
  <c r="L10" i="14600"/>
  <c r="P10" i="14600"/>
  <c r="M10" i="14600"/>
  <c r="N10" i="14600"/>
  <c r="H15" i="9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H17" i="9" l="1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F47" i="14606" s="1"/>
  <c r="H46" i="14606"/>
  <c r="M50" i="14606"/>
  <c r="A50" i="14606" s="1"/>
  <c r="L51" i="14606"/>
  <c r="B49" i="14606"/>
  <c r="C49" i="14606" s="1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G70" i="14606"/>
  <c r="H70" i="14606" s="1"/>
  <c r="C71" i="14606"/>
  <c r="D71" i="14606" s="1"/>
  <c r="H68" i="14606"/>
  <c r="I68" i="14606" s="1"/>
  <c r="J68" i="14606" s="1"/>
  <c r="I69" i="14606"/>
  <c r="J69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G97" i="14606" s="1"/>
  <c r="D98" i="14606"/>
  <c r="E98" i="14606" s="1"/>
  <c r="M100" i="14606"/>
  <c r="A100" i="14606" s="1"/>
  <c r="L101" i="14606"/>
  <c r="B99" i="14606"/>
  <c r="C99" i="14606" s="1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E145" i="14606" s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I170" i="14606" s="1"/>
  <c r="B174" i="14606"/>
  <c r="C174" i="14606" s="1"/>
  <c r="C173" i="14606"/>
  <c r="E172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7" i="14606"/>
  <c r="H197" i="14606" s="1"/>
  <c r="D199" i="14606"/>
  <c r="E199" i="14606" s="1"/>
  <c r="F199" i="14606" s="1"/>
  <c r="G199" i="14606" s="1"/>
  <c r="G196" i="14606"/>
  <c r="H196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3" i="14606"/>
  <c r="I213" i="14606" s="1"/>
  <c r="J213" i="14606" s="1"/>
  <c r="H214" i="14606"/>
  <c r="I214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AB2" i="14607"/>
  <c r="H2" i="14607"/>
  <c r="G2" i="14607"/>
  <c r="F2" i="14607"/>
  <c r="D1" i="14607"/>
  <c r="C1" i="14607"/>
  <c r="BQ1" i="2"/>
  <c r="BQ2" i="2"/>
  <c r="BQ3" i="2"/>
  <c r="BQ4" i="2"/>
  <c r="BQ5" i="2"/>
  <c r="BQ6" i="2"/>
  <c r="BQ7" i="2"/>
  <c r="BQ8" i="2"/>
  <c r="AK29" i="2"/>
  <c r="AK25" i="2"/>
  <c r="AK28" i="2"/>
  <c r="AK26" i="2"/>
  <c r="AK27" i="2"/>
  <c r="AK33" i="2"/>
  <c r="AK34" i="2"/>
  <c r="AK30" i="2"/>
  <c r="AK32" i="2"/>
  <c r="AK31" i="2"/>
  <c r="AK24" i="2"/>
  <c r="AK19" i="2"/>
  <c r="AK10" i="2"/>
  <c r="AK23" i="2"/>
  <c r="AK17" i="2"/>
  <c r="AK15" i="2"/>
  <c r="AK20" i="2"/>
  <c r="AK21" i="2"/>
  <c r="AK14" i="2"/>
  <c r="AK11" i="2"/>
  <c r="AK13" i="2"/>
  <c r="AK18" i="2"/>
  <c r="AK16" i="2"/>
  <c r="AK22" i="2"/>
  <c r="AK12" i="2"/>
</calcChain>
</file>

<file path=xl/sharedStrings.xml><?xml version="1.0" encoding="utf-8"?>
<sst xmlns="http://schemas.openxmlformats.org/spreadsheetml/2006/main" count="1448" uniqueCount="712">
  <si>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</si>
  <si>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</si>
  <si>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</si>
  <si>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</si>
  <si>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</si>
  <si>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</si>
  <si>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</si>
  <si>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</si>
  <si>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</si>
  <si>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</si>
  <si>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</si>
  <si>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</si>
  <si>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</si>
  <si>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</si>
  <si>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</si>
  <si>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</si>
  <si>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</si>
  <si>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</si>
  <si>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</si>
  <si>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</si>
  <si>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</si>
  <si>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</si>
  <si>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</si>
  <si>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</si>
  <si>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</si>
  <si>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</si>
  <si>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</si>
  <si>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</si>
  <si>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</si>
  <si>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</si>
  <si>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</si>
  <si>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</si>
  <si>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</si>
  <si>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</si>
  <si>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</si>
  <si>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</si>
  <si>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</si>
  <si>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</si>
  <si>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</si>
  <si>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</si>
  <si>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</si>
  <si>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</si>
  <si>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</si>
  <si>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</si>
  <si>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</si>
  <si>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</si>
  <si>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</si>
  <si>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</si>
  <si>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</si>
  <si>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</si>
  <si>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</si>
  <si>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</si>
  <si>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</si>
  <si>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</si>
  <si>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</si>
  <si>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</si>
  <si>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</si>
  <si>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</si>
  <si>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</si>
  <si>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</si>
  <si>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</si>
  <si>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</si>
  <si>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</si>
  <si>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</si>
  <si>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</si>
  <si>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</si>
  <si>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</si>
  <si>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</si>
  <si>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</si>
  <si>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</si>
  <si>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</si>
  <si>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</si>
  <si>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</si>
  <si>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</si>
  <si>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</si>
  <si>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</si>
  <si>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</si>
  <si>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</si>
  <si>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</si>
  <si>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</si>
  <si>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</si>
  <si>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</si>
  <si>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</si>
  <si>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</si>
  <si>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</si>
  <si>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</si>
  <si>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</si>
  <si>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</si>
  <si>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</si>
  <si>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</si>
  <si>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</si>
  <si>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</si>
  <si>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</si>
  <si>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</si>
  <si>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</si>
  <si>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</si>
  <si>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</si>
  <si>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</si>
  <si>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</si>
  <si>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</si>
  <si>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</si>
  <si>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</si>
  <si>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</si>
  <si>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</si>
  <si>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</si>
  <si>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</si>
  <si>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</si>
  <si>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</si>
  <si>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</si>
  <si>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</si>
  <si>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</si>
  <si>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</si>
  <si>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</si>
  <si>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</si>
  <si>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</si>
  <si>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</si>
  <si>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</si>
  <si>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</si>
  <si>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</si>
  <si>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</si>
  <si>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</si>
  <si>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</si>
  <si>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</si>
  <si>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</si>
  <si>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</si>
  <si>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</si>
  <si>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</si>
  <si>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</si>
  <si>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</si>
  <si>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</si>
  <si>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</si>
  <si>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</si>
  <si>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</si>
  <si>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</si>
  <si>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</si>
  <si>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</si>
  <si>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</si>
  <si>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</si>
  <si>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</si>
  <si>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</si>
  <si>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</si>
  <si>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</si>
  <si>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</si>
  <si>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</si>
  <si>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</si>
  <si>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</si>
  <si>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</si>
  <si>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</si>
  <si>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</si>
  <si>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</si>
  <si>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</si>
  <si>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</si>
  <si>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</si>
  <si>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</si>
  <si>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</si>
  <si>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</si>
  <si>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Glossbrenner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</si>
  <si>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</si>
  <si>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</si>
  <si>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</si>
  <si>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</si>
  <si>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</si>
  <si>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</si>
  <si>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</si>
  <si>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</si>
  <si>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</si>
  <si>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</si>
  <si>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Wt Cls:</t>
  </si>
  <si>
    <t>M_OR_APF</t>
  </si>
  <si>
    <t>M_OR_AAPF</t>
  </si>
  <si>
    <t>M_OEM_APF</t>
  </si>
  <si>
    <t>M_OEM_AAPF</t>
  </si>
  <si>
    <t>M_OES_APF</t>
  </si>
  <si>
    <t>M_OES_AAPF</t>
  </si>
  <si>
    <t>M_TR_1_APF</t>
  </si>
  <si>
    <t>M_TR_1_AAPF</t>
  </si>
  <si>
    <t>M_TEM_1_APF</t>
  </si>
  <si>
    <t>M_TEM_1_AAPF</t>
  </si>
  <si>
    <t>M_TES_1_APF</t>
  </si>
  <si>
    <t>M_TES_1_AAPF</t>
  </si>
  <si>
    <t>M_TR_2_APF</t>
  </si>
  <si>
    <t>M_TR_2_AAPF</t>
  </si>
  <si>
    <t>M_TEM_2_APF</t>
  </si>
  <si>
    <t>M_TEM_2_AAPF</t>
  </si>
  <si>
    <t>M_TES_2_APF</t>
  </si>
  <si>
    <t>M_TES_2_AAPF</t>
  </si>
  <si>
    <t>M_TR_3_APF</t>
  </si>
  <si>
    <t>M_TR_3_AAPF</t>
  </si>
  <si>
    <t>M_TEM_3_APF</t>
  </si>
  <si>
    <t>M_TEM_3_AAPF</t>
  </si>
  <si>
    <t>M_TES_3_APF</t>
  </si>
  <si>
    <t>M_TES_3_AAPF</t>
  </si>
  <si>
    <t>M_JR_APF</t>
  </si>
  <si>
    <t>M_JR_AAPF</t>
  </si>
  <si>
    <t>M_JEM_APF</t>
  </si>
  <si>
    <t>M_JEM_AAPF</t>
  </si>
  <si>
    <t>M_JES_APF</t>
  </si>
  <si>
    <t>M_JES_AAPF</t>
  </si>
  <si>
    <t>M_SR_APF</t>
  </si>
  <si>
    <t>M_SR_AAPF</t>
  </si>
  <si>
    <t>M_SEM_APF</t>
  </si>
  <si>
    <t>M_SEM_AAPF</t>
  </si>
  <si>
    <t>M_SES_APF</t>
  </si>
  <si>
    <t>M_SES_AAPF</t>
  </si>
  <si>
    <t>M_MR_1_APF</t>
  </si>
  <si>
    <t>M_MR_1_AAPF</t>
  </si>
  <si>
    <t>M_MEM_1_APF</t>
  </si>
  <si>
    <t>M_MEM_1_AAPF</t>
  </si>
  <si>
    <t>M_MES_1_APF</t>
  </si>
  <si>
    <t>M_MES_1_AAPF</t>
  </si>
  <si>
    <t>M_MR_2_APF</t>
  </si>
  <si>
    <t>M_MR_2_AAPF</t>
  </si>
  <si>
    <t>M_MEM_2_APF</t>
  </si>
  <si>
    <t>M_MEM_2_AAPF</t>
  </si>
  <si>
    <t>M_MES_2_APF</t>
  </si>
  <si>
    <t>M_MES_2_AAPF</t>
  </si>
  <si>
    <t>M_MR_3_APF</t>
  </si>
  <si>
    <t>M_MR_3_AAPF</t>
  </si>
  <si>
    <t>M_MEM_3_APF</t>
  </si>
  <si>
    <t>M_MEM_3_AAPF</t>
  </si>
  <si>
    <t>M_MES_3_APF</t>
  </si>
  <si>
    <t>M_MES_3_AAPF</t>
  </si>
  <si>
    <t>M_MR_4_APF</t>
  </si>
  <si>
    <t>M_MR_4_AAPF</t>
  </si>
  <si>
    <t>M_MEM_4_APF</t>
  </si>
  <si>
    <t>M_MEM_4_AAPF</t>
  </si>
  <si>
    <t>M_MES_4_APF</t>
  </si>
  <si>
    <t>M_MES_4_AAPF</t>
  </si>
  <si>
    <t>M_MR_5_APF</t>
  </si>
  <si>
    <t>M_MR_5_AAPF</t>
  </si>
  <si>
    <t>M_MEM_5_APF</t>
  </si>
  <si>
    <t>M_MEM_5_AAPF</t>
  </si>
  <si>
    <t>M_MES_5_APF</t>
  </si>
  <si>
    <t>M_MES_5_AAPF</t>
  </si>
  <si>
    <t>M_MR_6_APF</t>
  </si>
  <si>
    <t>M_MR_6_AAPF</t>
  </si>
  <si>
    <t>M_MEM_6_APF</t>
  </si>
  <si>
    <t>M_MEM_6_AAPF</t>
  </si>
  <si>
    <t>M_MES_6_APF</t>
  </si>
  <si>
    <t>M_MES_6_AAPF</t>
  </si>
  <si>
    <t>M_MR_7_APF</t>
  </si>
  <si>
    <t>M_MR_7_AAPF</t>
  </si>
  <si>
    <t>M_MEM_7_APF</t>
  </si>
  <si>
    <t>M_MEM_7_AAPF</t>
  </si>
  <si>
    <t>M_MES_7_APF</t>
  </si>
  <si>
    <t>M_MES_7_AAPF</t>
  </si>
  <si>
    <t>M_MR_8_APF</t>
  </si>
  <si>
    <t>M_MR_8_AAPF</t>
  </si>
  <si>
    <t>M_MEM_8_APF</t>
  </si>
  <si>
    <t>M_MEM_8_AAPF</t>
  </si>
  <si>
    <t>M_MES_8_APF</t>
  </si>
  <si>
    <t>M_MES_8_AAPF</t>
  </si>
  <si>
    <t>M_MR_9_APF</t>
  </si>
  <si>
    <t>M_MR_9_AAPF</t>
  </si>
  <si>
    <t>M_MEM_9_APF</t>
  </si>
  <si>
    <t>M_MEM_9_AAPF</t>
  </si>
  <si>
    <t>M_MES_9_APF</t>
  </si>
  <si>
    <t>M_MES_9_AAPF</t>
  </si>
  <si>
    <t>F_OR_APF</t>
  </si>
  <si>
    <t>F_OR_AAPF</t>
  </si>
  <si>
    <t>F_OEM_APF</t>
  </si>
  <si>
    <t>F_OEM_AAPF</t>
  </si>
  <si>
    <t>F_OES_APF</t>
  </si>
  <si>
    <t>F_OES_AAPF</t>
  </si>
  <si>
    <t>F_TR_1_APF</t>
  </si>
  <si>
    <t>F_TR_1_AAPF</t>
  </si>
  <si>
    <t>F_TEM_1_APF</t>
  </si>
  <si>
    <t>F_TEM_1_AAPF</t>
  </si>
  <si>
    <t>F_TES_1_APF</t>
  </si>
  <si>
    <t>F_TES_1_AAPF</t>
  </si>
  <si>
    <t>F_TR_2_APF</t>
  </si>
  <si>
    <t>F_TR_2_AAPF</t>
  </si>
  <si>
    <t>F_TEM_2_APF</t>
  </si>
  <si>
    <t>F_TEM_2_AAPF</t>
  </si>
  <si>
    <t>F_TES_2_APF</t>
  </si>
  <si>
    <t>F_TES_2_AAPF</t>
  </si>
  <si>
    <t>F_TR_3_APF</t>
  </si>
  <si>
    <t>F_TR_3_AAPF</t>
  </si>
  <si>
    <t>F_TEM_3_APF</t>
  </si>
  <si>
    <t>F_TEM_3_AAPF</t>
  </si>
  <si>
    <t>F_TES_3_APF</t>
  </si>
  <si>
    <t>F_TES_3_AAPF</t>
  </si>
  <si>
    <t>F_JR_APF</t>
  </si>
  <si>
    <t>F_JR_AAPF</t>
  </si>
  <si>
    <t>F_JEM_APF</t>
  </si>
  <si>
    <t>F_JEM_AAPF</t>
  </si>
  <si>
    <t>F_JES_APF</t>
  </si>
  <si>
    <t>F_JES_AAPF</t>
  </si>
  <si>
    <t>F_SR_APF</t>
  </si>
  <si>
    <t>F_SR_AAPF</t>
  </si>
  <si>
    <t>F_SEM_APF</t>
  </si>
  <si>
    <t>F_SEM_AAPF</t>
  </si>
  <si>
    <t>F_SES_APF</t>
  </si>
  <si>
    <t>F_SES_AAPF</t>
  </si>
  <si>
    <t>F_MR_1_APF</t>
  </si>
  <si>
    <t>F_MR_1_AAPF</t>
  </si>
  <si>
    <t>F_MEM_1_APF</t>
  </si>
  <si>
    <t>F_MEM_1_AAPF</t>
  </si>
  <si>
    <t>F_MES_1_APF</t>
  </si>
  <si>
    <t>F_MES_1_AAPF</t>
  </si>
  <si>
    <t>F_MR_2_APF</t>
  </si>
  <si>
    <t>F_MR_2_AAPF</t>
  </si>
  <si>
    <t>F_MEM_2_APF</t>
  </si>
  <si>
    <t>F_MEM_2_AAPF</t>
  </si>
  <si>
    <t>F_MES_2_APF</t>
  </si>
  <si>
    <t>F_MES_2_AAPF</t>
  </si>
  <si>
    <t>F_MR_3_APF</t>
  </si>
  <si>
    <t>F_MR_3_AAPF</t>
  </si>
  <si>
    <t>F_MEM_3_APF</t>
  </si>
  <si>
    <t>F_MEM_3_AAPF</t>
  </si>
  <si>
    <t>F_MES_3_APF</t>
  </si>
  <si>
    <t>F_MES_3_AAPF</t>
  </si>
  <si>
    <t>F_MR_4_APF</t>
  </si>
  <si>
    <t>F_MR_4_AAPF</t>
  </si>
  <si>
    <t>F_MEM_4_APF</t>
  </si>
  <si>
    <t>F_MEM_4_AAPF</t>
  </si>
  <si>
    <t>F_MES_4_APF</t>
  </si>
  <si>
    <t>F_MES_4_AAPF</t>
  </si>
  <si>
    <t>F_MR_5_APF</t>
  </si>
  <si>
    <t>F_MR_5_AAPF</t>
  </si>
  <si>
    <t>F_MEM_5_APF</t>
  </si>
  <si>
    <t>F_MEM_5_AAPF</t>
  </si>
  <si>
    <t>F_MES_5_APF</t>
  </si>
  <si>
    <t>F_MES_5_AAPF</t>
  </si>
  <si>
    <t>F_MR_6_APF</t>
  </si>
  <si>
    <t>F_MR_6_AAPF</t>
  </si>
  <si>
    <t>F_MEM_6_APF</t>
  </si>
  <si>
    <t>F_MEM_6_AAPF</t>
  </si>
  <si>
    <t>F_MES_6_APF</t>
  </si>
  <si>
    <t>F_MES_6_AAPF</t>
  </si>
  <si>
    <t>F_MR_7_APF</t>
  </si>
  <si>
    <t>F_MR_7_AAPF</t>
  </si>
  <si>
    <t>F_MEM_7_APF</t>
  </si>
  <si>
    <t>F_MEM_7_AAPF</t>
  </si>
  <si>
    <t>F_MES_7_APF</t>
  </si>
  <si>
    <t>F_MES_7_AAPF</t>
  </si>
  <si>
    <t>F_MR_8_APF</t>
  </si>
  <si>
    <t>F_MR_8_AAPF</t>
  </si>
  <si>
    <t>F_MEM_8_APF</t>
  </si>
  <si>
    <t>F_MEM_8_AAPF</t>
  </si>
  <si>
    <t>F_MES_8_APF</t>
  </si>
  <si>
    <t>F_MES_8_AAPF</t>
  </si>
  <si>
    <t>F_MR_9_APF</t>
  </si>
  <si>
    <t>F_MR_9_AAPF</t>
  </si>
  <si>
    <t>F_MEM_9_APF</t>
  </si>
  <si>
    <t>F_MEM_9_AAPF</t>
  </si>
  <si>
    <t>F_MES_9_APF</t>
  </si>
  <si>
    <t>F_MES_9_AAPF</t>
  </si>
  <si>
    <t>BP</t>
  </si>
  <si>
    <t>DL</t>
  </si>
  <si>
    <t>S</t>
  </si>
  <si>
    <t>Male Open Raw APF</t>
  </si>
  <si>
    <t>Male Open Raw AAPF</t>
  </si>
  <si>
    <t>M_OCR_APF</t>
  </si>
  <si>
    <t>Male Open Classic Raw APF</t>
  </si>
  <si>
    <t>M_OCR_AAPF</t>
  </si>
  <si>
    <t>Male Open Classic Raw AAPF</t>
  </si>
  <si>
    <t>Male Open Equipped Multiply APF</t>
  </si>
  <si>
    <t>Male Open Equipped Multiply AAPF</t>
  </si>
  <si>
    <t>Male Open Equipped Single-Ply APF</t>
  </si>
  <si>
    <t>Male Open Equipped Single-Ply AAPF</t>
  </si>
  <si>
    <t>Male Teen 1 Raw APF: 13-15</t>
  </si>
  <si>
    <t>Male Teen 1 Raw AAPF: 13-15</t>
  </si>
  <si>
    <t>M_TCR_1_APF</t>
  </si>
  <si>
    <t>Male Teen 1 Classic Raw APF: 13-15</t>
  </si>
  <si>
    <t>M_TCR_1_AAPF</t>
  </si>
  <si>
    <t>Male Teen 1 Classic Raw AAPF: 13-15</t>
  </si>
  <si>
    <t>Male Teen 1 Equipped Multiply APF: 13-15</t>
  </si>
  <si>
    <t>Male Teen 1 Equipped Multiply AAPF: 13-15</t>
  </si>
  <si>
    <t>Male Teen 1 Equipped Single-Ply APF: 13-15</t>
  </si>
  <si>
    <t>Male Teen 1 Equipped Single-PlyAAPF: 13-15</t>
  </si>
  <si>
    <t>Male Teen 2 Raw APF: 16-17</t>
  </si>
  <si>
    <t>Male Teen 2 Raw AAPF: 16-17</t>
  </si>
  <si>
    <t>M_TCR_2_APF</t>
  </si>
  <si>
    <t>Male Teen 2 Classic Raw APF: 16-17</t>
  </si>
  <si>
    <t>M_TCR_2_AAPF</t>
  </si>
  <si>
    <t>Male Teen 2 Classic Raw AAPF: 16-17</t>
  </si>
  <si>
    <t>Male Teen 2 Equipped Multiply APF: 16-17</t>
  </si>
  <si>
    <t>Male Teen 2 Equipped Multiply AAPF: 16-17</t>
  </si>
  <si>
    <t>Male Teen 2 Equipped Single-Ply APF: 16-17</t>
  </si>
  <si>
    <t>Male Teen 2 Equipped Single-Ply AAPF: 16-17</t>
  </si>
  <si>
    <t>Male Teen 3 Raw APF: 18-19</t>
  </si>
  <si>
    <t>Male Teen 3 Raw AAPF: 18-19</t>
  </si>
  <si>
    <t>M_TCR_3_APF</t>
  </si>
  <si>
    <t>Male Teen 3 Classic Raw APF: 18-19</t>
  </si>
  <si>
    <t>M_TCR_3_AAPF</t>
  </si>
  <si>
    <t>Male Teen 3 Classic Raw AAPF: 18-19</t>
  </si>
  <si>
    <t>Male Teen 3 Equipped Mulitply APF: 18-19</t>
  </si>
  <si>
    <t>Male Teen 3 Equipped Mulitply AAPF: 18-19</t>
  </si>
  <si>
    <t>Male Teen 3 Equipped Single-Ply APF: 18-19</t>
  </si>
  <si>
    <t>Male Teen 3 Equipped Single-Ply AAPF: 18-19</t>
  </si>
  <si>
    <t>Male Junior Raw APF: 20-23</t>
  </si>
  <si>
    <t>Male Junior Raw AAPF: 20-23</t>
  </si>
  <si>
    <t>M_JCR_APF</t>
  </si>
  <si>
    <t>Male Junior Classic Raw APF: 20-23</t>
  </si>
  <si>
    <t>M_JCR_AAPF</t>
  </si>
  <si>
    <t>Male Junior Classic Raw AAPF: 20-23</t>
  </si>
  <si>
    <t>Male Junior Equipped Mulitply APF: 20-23</t>
  </si>
  <si>
    <t>Male Junior Equipped Mulitply AAPF: 20-23</t>
  </si>
  <si>
    <t>Male Junior Equipped Single-Ply APF: 20-23</t>
  </si>
  <si>
    <t>Male Junior Equipped Single-Ply AAPF: 20-23</t>
  </si>
  <si>
    <t>Male Sub-Master Raw APF: 33-39</t>
  </si>
  <si>
    <t>Male Sub-Master Raw AAPF: 33-39</t>
  </si>
  <si>
    <t>M_SCR_APF</t>
  </si>
  <si>
    <t>Male Sub-Master Classic Raw APF: 33-39</t>
  </si>
  <si>
    <t>M_SCR_AAPF</t>
  </si>
  <si>
    <t>Male Sub-Master Classic Raw AAPF: 33-39</t>
  </si>
  <si>
    <t>Male Sub-Master Equipped Multiply APF: 33-39</t>
  </si>
  <si>
    <t>Male Sub-Master Equipped Multiply AAPF: 33-39</t>
  </si>
  <si>
    <t>Male Sub-Master Equipped Single-Ply APF: 33-39</t>
  </si>
  <si>
    <t>Male Sub-Master Equipped Single-Ply AAPF: 33-39</t>
  </si>
  <si>
    <t>Male Master 1 Raw APF: 40-44</t>
  </si>
  <si>
    <t>Male Master 1 Raw AAPF: 40-44</t>
  </si>
  <si>
    <t>M_MCR_1_APF</t>
  </si>
  <si>
    <t>Male Master 1 Classic Raw APF: 40-44</t>
  </si>
  <si>
    <t>M_MCR_1_AAPF</t>
  </si>
  <si>
    <t>Male Master 1 Classic Raw AAPF: 40-44</t>
  </si>
  <si>
    <t>Male Master 1 Equipped Multiply APF: 40-44</t>
  </si>
  <si>
    <t>Male Master 1 Equipped Multiply AAPF: 40-44</t>
  </si>
  <si>
    <t>Male Master 1 Equipped Single-Ply APF: 40-44</t>
  </si>
  <si>
    <t>Male Master 1 Equipped Single-Ply AAPF: 40-44</t>
  </si>
  <si>
    <t>Male Master 2 Raw APF: 45-49</t>
  </si>
  <si>
    <t>Male Master 2 Raw AAPF: 45-49</t>
  </si>
  <si>
    <t>M_MCR_2_APF</t>
  </si>
  <si>
    <t>Male Master 2 Classic Raw APF: 45-49</t>
  </si>
  <si>
    <t>M_MCR_2_AAPF</t>
  </si>
  <si>
    <t>Male Master 2 Classic Raw AAPF: 45-49</t>
  </si>
  <si>
    <t>Male Master 2 Equipped Mulitply APF: 45-49</t>
  </si>
  <si>
    <t>Male Master 2 Equipped Multiply AAPF: 45-49</t>
  </si>
  <si>
    <t>Male Master 2 Equipped Single-Ply APF: 45-49</t>
  </si>
  <si>
    <t>Male Master 2 Equipped Sinlge-Ply AAPF: 45-49</t>
  </si>
  <si>
    <t>Male Master 3 Raw APF: 50-54</t>
  </si>
  <si>
    <t>Male Master 3 Raw AAPF: 50-54</t>
  </si>
  <si>
    <t>M_MCR_3_APF</t>
  </si>
  <si>
    <t>Male Master 3 Classic Raw APF: 50-54</t>
  </si>
  <si>
    <t>M_MCR_3_AAPF</t>
  </si>
  <si>
    <t>Male Master 3 Classic Raw AAPF: 50-54</t>
  </si>
  <si>
    <t>Male Master 3 Equipped Mulitply APF: 50-54</t>
  </si>
  <si>
    <t>Male Master 3 Equipped Multiply AAPF: 50-54</t>
  </si>
  <si>
    <t>Male Master 3 Equipped Single-Ply APF: 50-54</t>
  </si>
  <si>
    <t>Male Master 3 Equipped Single-Ply AAPF: 50-54</t>
  </si>
  <si>
    <t>Male Master 4 Raw APF: 55-59</t>
  </si>
  <si>
    <t>Male Master 4 Raw AAPF: 55-59</t>
  </si>
  <si>
    <t>M_MCR_4_APF</t>
  </si>
  <si>
    <t>Male Master 4 Classic Raw APF: 55-59</t>
  </si>
  <si>
    <t>M_MCR_4_AAPF</t>
  </si>
  <si>
    <t>Male Master 4 Classic Raw AAPF: 55-59</t>
  </si>
  <si>
    <t>Male Master 4 Equipped Mulitply APF: 55-59</t>
  </si>
  <si>
    <t>Male Master 4 Equipped Multiply AAPF: 55-59</t>
  </si>
  <si>
    <t>Male Master 4 Equipped Single-Ply APF: 55-59</t>
  </si>
  <si>
    <t>Male Master 4 Equipped Single-Ply AAPF: 55-59</t>
  </si>
  <si>
    <t>Male Master 5 Raw APF: 60-64</t>
  </si>
  <si>
    <t>Male Master 5 Raw AAPF: 60-64</t>
  </si>
  <si>
    <t>M_MCR_5_APF</t>
  </si>
  <si>
    <t>Male Master 5 Classic Raw APF: 60-64</t>
  </si>
  <si>
    <t>M_MCR_5_AAPF</t>
  </si>
  <si>
    <t>Male Master 5 Classic Raw AAPF: 60-64</t>
  </si>
  <si>
    <t>Male Master 5 Equipped Multiply APF: 60-64</t>
  </si>
  <si>
    <t>Male Master 5 Equipped Multiply AAPF: 60-64</t>
  </si>
  <si>
    <t>Male Master 5 Equipped Single-Ply APF: 60-64</t>
  </si>
  <si>
    <t>Male Master 5 Equipped Single-Ply AAPF: 60-64</t>
  </si>
  <si>
    <t>Male Master 6 Raw APF: 65-69</t>
  </si>
  <si>
    <t>Male Master 6 Raw AAPF: 65-69</t>
  </si>
  <si>
    <t>M_MCR_6_APF</t>
  </si>
  <si>
    <t>Male Master 6 Classic Raw APF: 65-69</t>
  </si>
  <si>
    <t>M_MCR_6_AAPF</t>
  </si>
  <si>
    <t>Male Master 6 Classic Raw AAPF: 65-69</t>
  </si>
  <si>
    <t>Male Master 6 Equipped Multiply APF: 65-69</t>
  </si>
  <si>
    <t>Male Master 6 Equipped Multiply AAPF: 65-69</t>
  </si>
  <si>
    <t>Male Master 6 Equipped Single-Ply APF: 65-69</t>
  </si>
  <si>
    <t>Male Master 6 Equipped Single-Ply AAPF: 65-69</t>
  </si>
  <si>
    <t>Male Master 7 Raw APF: 70-74</t>
  </si>
  <si>
    <t>Male Master 7 Raw AAPF: 70-74</t>
  </si>
  <si>
    <t>M_MCR_7_APF</t>
  </si>
  <si>
    <t>Male Master 7 Classic Raw APF: 70-74</t>
  </si>
  <si>
    <t>M_MCR_7_AAPF</t>
  </si>
  <si>
    <t>Male Master 7 Classic Raw AAPF: 70-74</t>
  </si>
  <si>
    <t>Male Master 7 Equipped Multiply APF: 70-74</t>
  </si>
  <si>
    <t>Male Master 7 Equipped Multiply AAPF: 70-74</t>
  </si>
  <si>
    <t>Male Master 7 Equipped Single-Ply APF: 70-74</t>
  </si>
  <si>
    <t>Male Master 7 Equipped Single-Ply AAPF: 70-74</t>
  </si>
  <si>
    <t>Male Master 8 Raw APF: 75-79</t>
  </si>
  <si>
    <t>Male Master 8 Raw AAPF: 75-79</t>
  </si>
  <si>
    <t>M_MCR_8_APF</t>
  </si>
  <si>
    <t>Male Master 8 Classic Raw APF: 75-79</t>
  </si>
  <si>
    <t>M_MCR_8_AAPF</t>
  </si>
  <si>
    <t>Male Master 8 Classic Raw AAPF: 75-79</t>
  </si>
  <si>
    <t>Male Master 8 Equipped Mulitply APF: 75-79</t>
  </si>
  <si>
    <t>Male Master 8 Equipped Multiply AAPF: 75-79</t>
  </si>
  <si>
    <t>Male Master 8 Equipped Single-Ply  APF: 75-79</t>
  </si>
  <si>
    <t>Male Master 8 Equipped Single-Ply AAPF: 75-79</t>
  </si>
  <si>
    <t>Male Master 9 Raw APF: 80+</t>
  </si>
  <si>
    <t>Male Master 9 Raw AAPF: 80+</t>
  </si>
  <si>
    <t>M_MCR_9_APF</t>
  </si>
  <si>
    <t>Male Master 9 Classic Raw APF: 80+</t>
  </si>
  <si>
    <t>M_MCR_9_AAPF</t>
  </si>
  <si>
    <t>Male Master 9 Classic Raw AAPF: 80+</t>
  </si>
  <si>
    <t>Male Master 9 Equipped Multiply APF: 80+</t>
  </si>
  <si>
    <t>Male Master 9 Equipped Multiply AAPF: 80+</t>
  </si>
  <si>
    <t>Male Master 9 Equipped Single-Ply APF: 80+</t>
  </si>
  <si>
    <t>Male Master 9 Equipped Single-Ply AAPF: 80+</t>
  </si>
  <si>
    <t>Female Open Raw APF</t>
  </si>
  <si>
    <t>Female Open Raw AAPF</t>
  </si>
  <si>
    <t>F_OCR_APF</t>
  </si>
  <si>
    <t>Female Open Classic Raw APF</t>
  </si>
  <si>
    <t>F_OCR_AAPF</t>
  </si>
  <si>
    <t>Female Open Classic Raw AAPF</t>
  </si>
  <si>
    <t>Female Open Equipped Multiply APF</t>
  </si>
  <si>
    <t>Female Open Equipped Multiply AAPF</t>
  </si>
  <si>
    <t>Female Open Equipped Single-Ply APF</t>
  </si>
  <si>
    <t>Female Open Equipped Single-Ply AAPF</t>
  </si>
  <si>
    <t>Female Teen 1 Raw APF: 13-15</t>
  </si>
  <si>
    <t>Female Teen 1 Raw AAPF: 13-15</t>
  </si>
  <si>
    <t>F_TCR_1_APF</t>
  </si>
  <si>
    <t>Female Teen 1 Classic Raw APF: 13-15</t>
  </si>
  <si>
    <t>F_TCR_1_AAPF</t>
  </si>
  <si>
    <t>Female Teen 1 Classic Raw AAPF: 13-15</t>
  </si>
  <si>
    <t>Female Teen 1 Equipped Multiply APF: 13-15</t>
  </si>
  <si>
    <t>Female Teen 1 Equipped Multiply AAPF: 13-15</t>
  </si>
  <si>
    <t>Female Teen 1 Equipped Single-Ply APF: 13-15</t>
  </si>
  <si>
    <t>Female Teen 1 Equipped Single-PlyAAPF: 13-15</t>
  </si>
  <si>
    <t>Female Teen 2 Raw APF: 16-17</t>
  </si>
  <si>
    <t>Female Teen 2 Raw AAPF: 16-17</t>
  </si>
  <si>
    <t>F_TCR_2_APF</t>
  </si>
  <si>
    <t>Female Teen 2 Classic Raw APF: 16-17</t>
  </si>
  <si>
    <t>F_TCR_2_AAPF</t>
  </si>
  <si>
    <t>Female Teen 2 Classic Raw AAPF: 16-17</t>
  </si>
  <si>
    <t>Female Teen 2 Equipped Multiply APF: 16-17</t>
  </si>
  <si>
    <t>Female Teen 2 Equipped Multiply AAPF: 16-17</t>
  </si>
  <si>
    <t>Female Teen 2 Equipped Single-Ply APF: 16-17</t>
  </si>
  <si>
    <t>Female Teen 2 Equipped Single-Ply AAPF: 16-17</t>
  </si>
  <si>
    <t>Female Teen 3 Raw APF: 18-19</t>
  </si>
  <si>
    <t>Female Teen 3 Raw AAPF: 18-19</t>
  </si>
  <si>
    <t>F_TCR_3_APF</t>
  </si>
  <si>
    <t>Female Teen 3 Classic Raw APF: 18-19</t>
  </si>
  <si>
    <t>F_TCR_3_AAPF</t>
  </si>
  <si>
    <t>Female Teen 3 Classic Raw AAPF: 18-19</t>
  </si>
  <si>
    <t>Female Teen 3 Equipped Mulitply APF: 18-19</t>
  </si>
  <si>
    <t>Female Teen 3 Equipped Mulitply AAPF: 18-19</t>
  </si>
  <si>
    <t>Female Teen 3 Equipped Single-Ply APF: 18-19</t>
  </si>
  <si>
    <t>Female Teen 3 Equipped Single-Ply AAPF: 18-19</t>
  </si>
  <si>
    <t>Female Junior Raw APF: 20-23</t>
  </si>
  <si>
    <t>Female Junior Raw AAPF: 20-23</t>
  </si>
  <si>
    <t>F_JCR_APF</t>
  </si>
  <si>
    <t>Female Junior Classic Raw APF: 20-23</t>
  </si>
  <si>
    <t>F_JCR_AAPF</t>
  </si>
  <si>
    <t>Female Junior Classic Raw AAPF: 20-23</t>
  </si>
  <si>
    <t>Female Junior Equipped Mulitply APF: 20-23</t>
  </si>
  <si>
    <t>Female Junior Equipped Mulitply AAPF: 20-23</t>
  </si>
  <si>
    <t>Female Junior Equipped Single-Ply APF: 20-23</t>
  </si>
  <si>
    <t>Female Junior Equipped Single-Ply AAPF: 20-23</t>
  </si>
  <si>
    <t>Female Sub-Master Raw APF: 33-39</t>
  </si>
  <si>
    <t>Female Sub-Master Raw AAPF: 33-39</t>
  </si>
  <si>
    <t>F_SCR_APF</t>
  </si>
  <si>
    <t>Female Sub-Master Classic Raw APF: 33-39</t>
  </si>
  <si>
    <t>F_SCR_AAPF</t>
  </si>
  <si>
    <t>Female Sub-Master Classic Raw AAPF: 33-39</t>
  </si>
  <si>
    <t>Female Sub-Master Equipped Multiply APF: 33-39</t>
  </si>
  <si>
    <t>Female Sub-Master Equipped Multiply AAPF: 33-39</t>
  </si>
  <si>
    <t>Female Sub-Master Equipped Single-Ply APF: 33-39</t>
  </si>
  <si>
    <t>Female Sub-Master Equipped Single-Ply AAPF: 33-39</t>
  </si>
  <si>
    <t>Female Master 1 Raw APF: 40-44</t>
  </si>
  <si>
    <t>Female Master 1 Raw AAPF: 40-44</t>
  </si>
  <si>
    <t>F_MCR_1_APF</t>
  </si>
  <si>
    <t>Female Master 1 Classic Raw APF: 40-44</t>
  </si>
  <si>
    <t>F_MCR_1_AAPF</t>
  </si>
  <si>
    <t>Female Master 1 Classic Raw AAPF: 40-44</t>
  </si>
  <si>
    <t>Female Master 1 Equipped Multiply APF: 40-44</t>
  </si>
  <si>
    <t>Female Master 1 Equipped Multiply AAPF: 40-44</t>
  </si>
  <si>
    <t>Female Master 1 Equipped Single-Ply APF: 40-44</t>
  </si>
  <si>
    <t>Female Master 1 Equipped Single-Ply AAPF: 40-44</t>
  </si>
  <si>
    <t>Female Master 2 Raw APF: 45-49</t>
  </si>
  <si>
    <t>Female Master 2 Raw AAPF: 45-49</t>
  </si>
  <si>
    <t>F_MCR_2_APF</t>
  </si>
  <si>
    <t>Female Master 2 Classic Raw APF: 45-49</t>
  </si>
  <si>
    <t>F_MCR_2_AAPF</t>
  </si>
  <si>
    <t>Female Master 2 Classic Raw AAPF: 45-49</t>
  </si>
  <si>
    <t>Female Master 2 Equipped Mulitply APF: 45-49</t>
  </si>
  <si>
    <t>Female Master 2 Equipped Multiply AAPF: 45-49</t>
  </si>
  <si>
    <t>Female Master 2 Equipped Single-Ply APF: 45-49</t>
  </si>
  <si>
    <t>Female Master 2 Equipped Sinlge-Ply AAPF: 45-49</t>
  </si>
  <si>
    <t>Female Master 3 Raw APF: 50-54</t>
  </si>
  <si>
    <t>Female Master 3 Raw AAPF: 50-54</t>
  </si>
  <si>
    <t>F_MCR_3_APF</t>
  </si>
  <si>
    <t>Female Master 3 Classic Raw APF: 50-54</t>
  </si>
  <si>
    <t>F_MCR_3_AAPF</t>
  </si>
  <si>
    <t>Female Master 3 Classic Raw AAPF: 50-54</t>
  </si>
  <si>
    <t>Female Master 3 Equipped Mulitply APF: 50-54</t>
  </si>
  <si>
    <t>Female Master 3 Equipped Multiply AAPF: 50-54</t>
  </si>
  <si>
    <t>Female Master 3 Equipped Single-Ply APF: 50-54</t>
  </si>
  <si>
    <t>Female Master 3 Equipped Single-Ply AAPF: 50-54</t>
  </si>
  <si>
    <t>Female Master 4 Raw APF: 55-59</t>
  </si>
  <si>
    <t>Female Master 4 Raw AAPF: 55-59</t>
  </si>
  <si>
    <t>F_MCR_4_APF</t>
  </si>
  <si>
    <t>Female Master 4 Classic Raw APF: 55-59</t>
  </si>
  <si>
    <t>F_MCR_4_AAPF</t>
  </si>
  <si>
    <t>Female Master 4 Classic Raw AAPF: 55-59</t>
  </si>
  <si>
    <t>Female Master 4 Equipped Mulitply APF: 55-59</t>
  </si>
  <si>
    <t>Female Master 4 Equipped Multiply AAPF: 55-59</t>
  </si>
  <si>
    <t>Female Master 4 Equipped Single-Ply APF: 55-59</t>
  </si>
  <si>
    <t>Female Master 4 Equipped Single-Ply AAPF: 55-59</t>
  </si>
  <si>
    <t>Female Master 5 Raw APF: 60-64</t>
  </si>
  <si>
    <t>Female Master 5 Raw AAPF: 60-64</t>
  </si>
  <si>
    <t>F_MCR_5_APF</t>
  </si>
  <si>
    <t>Female Master 5 Classic Raw APF: 60-64</t>
  </si>
  <si>
    <t>F_MCR_5_AAPF</t>
  </si>
  <si>
    <t>Female Master 5 Classic Raw AAPF: 60-64</t>
  </si>
  <si>
    <t>Female Master 5 Equipped Multiply APF: 60-64</t>
  </si>
  <si>
    <t>Female Master 5 Equipped Multiply AAPF: 60-64</t>
  </si>
  <si>
    <t>Female Master 5 Equipped Single-Ply APF: 60-64</t>
  </si>
  <si>
    <t>Female Master 5 Equipped Single-Ply AAPF: 60-64</t>
  </si>
  <si>
    <t>Female Master 6 Raw APF: 65-69</t>
  </si>
  <si>
    <t>Female Master 6 Raw AAPF: 65-69</t>
  </si>
  <si>
    <t>F_MCR_6_APF</t>
  </si>
  <si>
    <t>Female Master 6 Classic Raw APF: 65-69</t>
  </si>
  <si>
    <t>F_MCR_6_AAPF</t>
  </si>
  <si>
    <t>Female Master 6 Classic Raw AAPF: 65-69</t>
  </si>
  <si>
    <t>Female Master 6 Equipped Multiply APF: 65-69</t>
  </si>
  <si>
    <t>Female Master 6 Equipped Multiply AAPF: 65-69</t>
  </si>
  <si>
    <t>Female Master 6 Equipped Single-Ply APF: 65-69</t>
  </si>
  <si>
    <t>Female Master 6 Equipped Single-Ply AAPF: 65-69</t>
  </si>
  <si>
    <t>Female Master 7 Raw APF: 70-74</t>
  </si>
  <si>
    <t>Female Master 7 Raw AAPF: 70-74</t>
  </si>
  <si>
    <t>F_MCR_7_APF</t>
  </si>
  <si>
    <t>Female Master 7 Classic Raw APF: 70-74</t>
  </si>
  <si>
    <t>F_MCR_7_AAPF</t>
  </si>
  <si>
    <t>Female Master 7 Classic Raw AAPF: 70-74</t>
  </si>
  <si>
    <t>Female Master 7 Equipped Multiply APF: 70-74</t>
  </si>
  <si>
    <t>Female Master 7 Equipped Multiply AAPF: 70-74</t>
  </si>
  <si>
    <t>Female Master 7 Equipped Single-Ply APF: 70-74</t>
  </si>
  <si>
    <t>Female Master 7 Equipped Single-Ply AAPF: 70-74</t>
  </si>
  <si>
    <t>Female Master 8 Raw APF: 75-79</t>
  </si>
  <si>
    <t>Female Master 8 Raw AAPF: 75-79</t>
  </si>
  <si>
    <t>F_MCR_8_APF</t>
  </si>
  <si>
    <t>Female Master 8 Classic Raw APF: 75-79</t>
  </si>
  <si>
    <t>F_MCR_8_AAPF</t>
  </si>
  <si>
    <t>Female Master 8 Classic Raw AAPF: 75-79</t>
  </si>
  <si>
    <t>Female Master 8 Equipped Mulitply APF: 75-79</t>
  </si>
  <si>
    <t>Female Master 8 Equipped Multiply AAPF: 75-79</t>
  </si>
  <si>
    <t>Female Master 8 Equipped Single-Ply  APF: 75-79</t>
  </si>
  <si>
    <t>Female Master 8 Equipped Single-Ply AAPF: 75-79</t>
  </si>
  <si>
    <t>Female Master 9 Raw APF: 80+</t>
  </si>
  <si>
    <t>Female Master 9 Raw AAPF: 80+</t>
  </si>
  <si>
    <t>F_MCR_9_APF</t>
  </si>
  <si>
    <t>Female Master 9 Classic Raw APF: 80+</t>
  </si>
  <si>
    <t>F_MCR_9_AAPF</t>
  </si>
  <si>
    <t>Female Master 9 Classic Raw AAPF: 80+</t>
  </si>
  <si>
    <t>Female Master 9 Equipped Multiply APF: 80+</t>
  </si>
  <si>
    <t>Female Master 9 Equipped Multiply AAPF: 80+</t>
  </si>
  <si>
    <t>Female Master 9 Equipped Single-Ply APF: 80+</t>
  </si>
  <si>
    <t>Female Master 9 Equipped Single-Ply AAPF: 80+</t>
  </si>
  <si>
    <t>Hazel Cruz</t>
  </si>
  <si>
    <t>Amanda Taylor</t>
  </si>
  <si>
    <t>Caleb McClure</t>
  </si>
  <si>
    <t>Sandra Linsenmeyer</t>
  </si>
  <si>
    <t>Joel Flores</t>
  </si>
  <si>
    <t>Destiny Nwosu</t>
  </si>
  <si>
    <t>Lupe Hernandez</t>
  </si>
  <si>
    <t>Toby Merrill</t>
  </si>
  <si>
    <t>Mitch Kelly</t>
  </si>
  <si>
    <t>Bradley H. Williams</t>
  </si>
  <si>
    <t>Tim Allison</t>
  </si>
  <si>
    <t>Lien Vu</t>
  </si>
  <si>
    <t>Russell Carroll</t>
  </si>
  <si>
    <t>Jody Burr</t>
  </si>
  <si>
    <t>Jackson Edwards</t>
  </si>
  <si>
    <t>Drew Douglas Whitted</t>
  </si>
  <si>
    <t>PP</t>
  </si>
  <si>
    <t>Daniel J Morjal_1</t>
  </si>
  <si>
    <t>Daniel J Morjal_2</t>
  </si>
  <si>
    <t>Rilynn Marie Younker_1</t>
  </si>
  <si>
    <t>Rilynn Marie Younker_2</t>
  </si>
  <si>
    <t>MadMax Push/Pull</t>
  </si>
  <si>
    <t>Flt</t>
  </si>
  <si>
    <t>Upcoming Flights</t>
  </si>
  <si>
    <t>ETA Next Flight:</t>
  </si>
  <si>
    <t>Cory Henry_1</t>
  </si>
  <si>
    <t>Cory Henry_2</t>
  </si>
  <si>
    <t xml:space="preserve">	56kg</t>
  </si>
  <si>
    <t>67.5kg</t>
  </si>
  <si>
    <t>Lexie Pflug</t>
  </si>
  <si>
    <t>J_OR_AAPF</t>
  </si>
  <si>
    <t>Aaron Neff_1</t>
  </si>
  <si>
    <t>Aaron Neff_2</t>
  </si>
  <si>
    <t>16</t>
  </si>
  <si>
    <t>MadMax Push/Pull-Kg Results</t>
  </si>
  <si>
    <t>2-M_OR_APF-SHW</t>
  </si>
  <si>
    <t>1-M_OR_APF-140</t>
  </si>
  <si>
    <t>1-M_OR_APF-SHW</t>
  </si>
  <si>
    <t>MadMax Push/Pull-Lb Results</t>
  </si>
  <si>
    <t>1-M_OR_AAPF-82.5</t>
  </si>
  <si>
    <t>1-M_OR_AAPF-SHW</t>
  </si>
  <si>
    <t>1-M_OR_APF-82.5</t>
  </si>
  <si>
    <t>1-F_OR_AAPF-67.5</t>
  </si>
  <si>
    <t>Sort-on</t>
  </si>
  <si>
    <t>Flt A</t>
  </si>
  <si>
    <t>Y12</t>
  </si>
  <si>
    <t>1-F_MR_1_AAPF-67.5</t>
  </si>
  <si>
    <t>1-M_TR_2_APF-100</t>
  </si>
  <si>
    <t>1-M_MR_2_APF-100</t>
  </si>
  <si>
    <t>2-M_MR_2_APF-SHW</t>
  </si>
  <si>
    <t>1-M_MR_3_AAPF-100</t>
  </si>
  <si>
    <t>1-M_MR_2_APF-125</t>
  </si>
  <si>
    <t>1-M_MR_2_APF-140</t>
  </si>
  <si>
    <t>1-M_MR_2_APF-SHW</t>
  </si>
  <si>
    <t>1-M_MR_1_APF-110</t>
  </si>
  <si>
    <t>1-F_MR_5_AAPF-75</t>
  </si>
  <si>
    <t>1-F_SR_APF-67.5</t>
  </si>
  <si>
    <t>1-F_JR_AAPF-56</t>
  </si>
  <si>
    <t>1-F_SR_APF-110</t>
  </si>
  <si>
    <t>1-M_TR_3_APF-67.5</t>
  </si>
  <si>
    <t>1-M_MR_1_AAPF-140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</si>
</sst>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0.000"/>
    <numFmt numFmtId="167" formatCode="0.00000000000"/>
    <numFmt numFmtId="168" formatCode="0.000000000"/>
    <numFmt numFmtId="169" formatCode="hh:mm:ss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54"/>
      <name val="Arial"/>
      <family val="2"/>
    </font>
    <font>
      <sz val="54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sz val="11"/>
      <name val="Verdana"/>
      <family val="2"/>
    </font>
    <font>
      <b/>
      <sz val="18"/>
      <color rgb="FF000000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9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7" fillId="0" borderId="0"/>
    <xf numFmtId="0" fontId="49" fillId="0" borderId="0" applyNumberFormat="0" applyFill="0" applyBorder="0" applyAlignment="0" applyProtection="0"/>
    <xf numFmtId="0" fontId="50" fillId="0" borderId="62" applyNumberFormat="0" applyFill="0" applyAlignment="0" applyProtection="0"/>
    <xf numFmtId="0" fontId="51" fillId="0" borderId="63" applyNumberFormat="0" applyFill="0" applyAlignment="0" applyProtection="0"/>
    <xf numFmtId="0" fontId="52" fillId="0" borderId="64" applyNumberFormat="0" applyFill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65" applyNumberFormat="0" applyAlignment="0" applyProtection="0"/>
    <xf numFmtId="0" fontId="57" fillId="15" borderId="66" applyNumberFormat="0" applyAlignment="0" applyProtection="0"/>
    <xf numFmtId="0" fontId="58" fillId="15" borderId="65" applyNumberFormat="0" applyAlignment="0" applyProtection="0"/>
    <xf numFmtId="0" fontId="59" fillId="0" borderId="67" applyNumberFormat="0" applyFill="0" applyAlignment="0" applyProtection="0"/>
    <xf numFmtId="0" fontId="60" fillId="16" borderId="6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0" applyNumberFormat="0" applyFill="0" applyAlignment="0" applyProtection="0"/>
    <xf numFmtId="0" fontId="6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1" applyAlignment="1" applyProtection="1"/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1" fillId="2" borderId="0" xfId="0" applyFont="1" applyFill="1"/>
    <xf numFmtId="0" fontId="9" fillId="2" borderId="7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2" borderId="1" xfId="0" applyFill="1" applyBorder="1"/>
    <xf numFmtId="0" fontId="0" fillId="0" borderId="9" xfId="0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0" borderId="12" xfId="0" applyBorder="1"/>
    <xf numFmtId="0" fontId="0" fillId="2" borderId="10" xfId="0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3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165" fontId="18" fillId="0" borderId="6" xfId="0" applyNumberFormat="1" applyFont="1" applyBorder="1" applyAlignment="1" applyProtection="1">
      <alignment horizontal="center"/>
      <protection locked="0"/>
    </xf>
    <xf numFmtId="166" fontId="18" fillId="0" borderId="6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Alignment="1" applyProtection="1">
      <alignment horizontal="center"/>
      <protection locked="0"/>
    </xf>
    <xf numFmtId="164" fontId="18" fillId="0" borderId="0" xfId="0" applyNumberFormat="1" applyFont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18" fillId="0" borderId="6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shrinkToFit="1"/>
      <protection locked="0"/>
    </xf>
    <xf numFmtId="0" fontId="18" fillId="0" borderId="6" xfId="0" applyFont="1" applyBorder="1" applyAlignment="1" applyProtection="1">
      <alignment horizontal="center" shrinkToFit="1"/>
      <protection locked="0"/>
    </xf>
    <xf numFmtId="0" fontId="11" fillId="0" borderId="0" xfId="0" applyFont="1"/>
    <xf numFmtId="0" fontId="0" fillId="0" borderId="10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/>
    <xf numFmtId="0" fontId="9" fillId="0" borderId="17" xfId="0" applyFont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164" fontId="24" fillId="0" borderId="18" xfId="0" applyNumberFormat="1" applyFont="1" applyBorder="1" applyAlignment="1">
      <alignment vertical="center" shrinkToFit="1"/>
    </xf>
    <xf numFmtId="0" fontId="0" fillId="2" borderId="6" xfId="0" applyFill="1" applyBorder="1"/>
    <xf numFmtId="0" fontId="9" fillId="2" borderId="21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6" fillId="8" borderId="25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Border="1" applyAlignment="1">
      <alignment horizontal="center"/>
    </xf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left"/>
    </xf>
    <xf numFmtId="0" fontId="21" fillId="8" borderId="25" xfId="0" applyFont="1" applyFill="1" applyBorder="1" applyAlignment="1" applyProtection="1">
      <alignment horizontal="center" vertical="center" wrapText="1"/>
      <protection locked="0"/>
    </xf>
    <xf numFmtId="2" fontId="18" fillId="0" borderId="6" xfId="0" applyNumberFormat="1" applyFont="1" applyBorder="1" applyAlignment="1" applyProtection="1">
      <alignment horizontal="center" shrinkToFit="1"/>
      <protection locked="0"/>
    </xf>
    <xf numFmtId="2" fontId="18" fillId="0" borderId="0" xfId="0" applyNumberFormat="1" applyFont="1" applyAlignment="1" applyProtection="1">
      <alignment horizontal="center" shrinkToFit="1"/>
      <protection locked="0"/>
    </xf>
    <xf numFmtId="0" fontId="0" fillId="2" borderId="0" xfId="0" applyFill="1"/>
    <xf numFmtId="0" fontId="9" fillId="2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1" fillId="2" borderId="12" xfId="0" applyFont="1" applyFill="1" applyBorder="1"/>
    <xf numFmtId="0" fontId="18" fillId="2" borderId="12" xfId="0" applyFont="1" applyFill="1" applyBorder="1" applyAlignment="1">
      <alignment wrapText="1"/>
    </xf>
    <xf numFmtId="0" fontId="0" fillId="2" borderId="18" xfId="0" applyFill="1" applyBorder="1"/>
    <xf numFmtId="0" fontId="18" fillId="2" borderId="18" xfId="0" applyFont="1" applyFill="1" applyBorder="1"/>
    <xf numFmtId="0" fontId="18" fillId="2" borderId="0" xfId="0" applyFont="1" applyFill="1" applyAlignment="1">
      <alignment wrapText="1"/>
    </xf>
    <xf numFmtId="0" fontId="0" fillId="2" borderId="0" xfId="0" quotePrefix="1" applyFill="1"/>
    <xf numFmtId="0" fontId="0" fillId="0" borderId="1" xfId="0" applyBorder="1" applyAlignment="1" applyProtection="1">
      <alignment horizontal="center" shrinkToFit="1"/>
      <protection locked="0"/>
    </xf>
    <xf numFmtId="0" fontId="11" fillId="0" borderId="6" xfId="0" applyFont="1" applyBorder="1" applyAlignment="1" applyProtection="1">
      <alignment horizontal="center" shrinkToFit="1"/>
      <protection locked="0"/>
    </xf>
    <xf numFmtId="0" fontId="0" fillId="0" borderId="6" xfId="0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166" fontId="0" fillId="2" borderId="6" xfId="0" applyNumberFormat="1" applyFill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19" fillId="2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1" fillId="7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30" fillId="8" borderId="0" xfId="0" applyFont="1" applyFill="1" applyProtection="1">
      <protection locked="0"/>
    </xf>
    <xf numFmtId="0" fontId="30" fillId="8" borderId="0" xfId="0" applyFont="1" applyFill="1" applyAlignment="1" applyProtection="1">
      <alignment horizontal="center"/>
      <protection locked="0"/>
    </xf>
    <xf numFmtId="0" fontId="32" fillId="8" borderId="0" xfId="0" applyFont="1" applyFill="1" applyAlignment="1" applyProtection="1">
      <alignment horizontal="center" wrapText="1"/>
      <protection locked="0"/>
    </xf>
    <xf numFmtId="0" fontId="30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>
      <alignment horizontal="center" vertical="center" wrapText="1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0" fillId="8" borderId="0" xfId="0" applyNumberFormat="1" applyFont="1" applyFill="1" applyAlignment="1" applyProtection="1">
      <alignment horizontal="center"/>
      <protection locked="0"/>
    </xf>
    <xf numFmtId="0" fontId="33" fillId="8" borderId="0" xfId="0" applyFont="1" applyFill="1" applyAlignment="1">
      <alignment horizontal="left" vertical="center" wrapText="1"/>
    </xf>
    <xf numFmtId="0" fontId="30" fillId="8" borderId="0" xfId="0" applyFont="1" applyFill="1" applyAlignment="1">
      <alignment horizontal="center"/>
    </xf>
    <xf numFmtId="0" fontId="30" fillId="8" borderId="0" xfId="0" applyFont="1" applyFill="1"/>
    <xf numFmtId="0" fontId="36" fillId="8" borderId="0" xfId="0" applyFont="1" applyFill="1" applyAlignment="1">
      <alignment horizontal="center" vertical="center" wrapText="1"/>
    </xf>
    <xf numFmtId="0" fontId="36" fillId="8" borderId="0" xfId="0" applyFont="1" applyFill="1" applyAlignment="1">
      <alignment horizontal="left" vertical="center" wrapText="1"/>
    </xf>
    <xf numFmtId="0" fontId="34" fillId="8" borderId="0" xfId="0" applyFont="1" applyFill="1" applyAlignment="1">
      <alignment horizontal="center" vertical="center" wrapText="1"/>
    </xf>
    <xf numFmtId="0" fontId="30" fillId="8" borderId="0" xfId="0" applyFont="1" applyFill="1" applyAlignment="1" applyProtection="1">
      <alignment horizontal="left" vertical="center"/>
      <protection locked="0"/>
    </xf>
    <xf numFmtId="0" fontId="36" fillId="8" borderId="0" xfId="0" applyFont="1" applyFill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left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  <protection locked="0"/>
    </xf>
    <xf numFmtId="15" fontId="13" fillId="0" borderId="23" xfId="0" applyNumberFormat="1" applyFont="1" applyBorder="1" applyAlignment="1" applyProtection="1">
      <alignment horizontal="center" shrinkToFit="1"/>
      <protection locked="0"/>
    </xf>
    <xf numFmtId="0" fontId="19" fillId="0" borderId="0" xfId="0" applyFont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wrapText="1"/>
    </xf>
    <xf numFmtId="165" fontId="19" fillId="0" borderId="28" xfId="0" applyNumberFormat="1" applyFont="1" applyBorder="1" applyAlignment="1">
      <alignment horizontal="center" vertical="center" wrapText="1"/>
    </xf>
    <xf numFmtId="164" fontId="19" fillId="0" borderId="28" xfId="0" applyNumberFormat="1" applyFont="1" applyBorder="1" applyAlignment="1">
      <alignment horizontal="center" vertical="center" wrapText="1"/>
    </xf>
    <xf numFmtId="2" fontId="19" fillId="0" borderId="28" xfId="0" applyNumberFormat="1" applyFont="1" applyBorder="1" applyAlignment="1">
      <alignment horizontal="center" vertical="center" wrapText="1"/>
    </xf>
    <xf numFmtId="166" fontId="19" fillId="0" borderId="28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37" fillId="2" borderId="0" xfId="0" applyFont="1" applyFill="1"/>
    <xf numFmtId="0" fontId="37" fillId="0" borderId="0" xfId="0" applyFont="1"/>
    <xf numFmtId="0" fontId="38" fillId="2" borderId="22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center"/>
    </xf>
    <xf numFmtId="0" fontId="37" fillId="0" borderId="1" xfId="0" applyFont="1" applyBorder="1"/>
    <xf numFmtId="168" fontId="14" fillId="2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9" fillId="2" borderId="22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166" fontId="9" fillId="2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9" fillId="2" borderId="3" xfId="0" applyNumberFormat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wrapText="1"/>
    </xf>
    <xf numFmtId="165" fontId="39" fillId="0" borderId="0" xfId="0" applyNumberFormat="1" applyFont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35" fillId="8" borderId="0" xfId="0" applyFont="1" applyFill="1" applyAlignment="1" applyProtection="1">
      <alignment horizontal="center" vertical="center" shrinkToFit="1"/>
      <protection locked="0"/>
    </xf>
    <xf numFmtId="0" fontId="18" fillId="0" borderId="6" xfId="0" applyFont="1" applyBorder="1" applyAlignment="1">
      <alignment horizontal="center" shrinkToFit="1"/>
    </xf>
    <xf numFmtId="164" fontId="42" fillId="0" borderId="1" xfId="2" applyNumberFormat="1" applyFont="1" applyBorder="1" applyAlignment="1">
      <alignment horizontal="center" wrapText="1"/>
    </xf>
    <xf numFmtId="0" fontId="40" fillId="2" borderId="1" xfId="2" applyFont="1" applyFill="1" applyBorder="1" applyAlignment="1" applyProtection="1">
      <alignment horizontal="center" wrapText="1"/>
      <protection locked="0"/>
    </xf>
    <xf numFmtId="0" fontId="40" fillId="0" borderId="1" xfId="2" applyFont="1" applyBorder="1" applyAlignment="1" applyProtection="1">
      <alignment horizontal="center" wrapText="1"/>
      <protection locked="0"/>
    </xf>
    <xf numFmtId="0" fontId="41" fillId="0" borderId="0" xfId="2" applyAlignment="1">
      <alignment horizontal="center" wrapText="1"/>
    </xf>
    <xf numFmtId="0" fontId="41" fillId="0" borderId="0" xfId="2" applyAlignment="1">
      <alignment wrapText="1"/>
    </xf>
    <xf numFmtId="164" fontId="42" fillId="0" borderId="1" xfId="2" applyNumberFormat="1" applyFont="1" applyBorder="1" applyAlignment="1" applyProtection="1">
      <alignment horizontal="center"/>
      <protection locked="0"/>
    </xf>
    <xf numFmtId="0" fontId="40" fillId="2" borderId="1" xfId="2" applyFont="1" applyFill="1" applyBorder="1" applyAlignment="1">
      <alignment horizontal="center"/>
    </xf>
    <xf numFmtId="0" fontId="40" fillId="0" borderId="1" xfId="2" applyFont="1" applyBorder="1" applyAlignment="1">
      <alignment horizontal="center"/>
    </xf>
    <xf numFmtId="0" fontId="40" fillId="0" borderId="1" xfId="2" applyFont="1" applyBorder="1" applyAlignment="1" applyProtection="1">
      <alignment horizontal="center"/>
      <protection locked="0"/>
    </xf>
    <xf numFmtId="0" fontId="41" fillId="0" borderId="0" xfId="2" applyAlignment="1">
      <alignment horizontal="center"/>
    </xf>
    <xf numFmtId="0" fontId="41" fillId="0" borderId="0" xfId="2"/>
    <xf numFmtId="164" fontId="42" fillId="0" borderId="1" xfId="2" applyNumberFormat="1" applyFont="1" applyBorder="1" applyAlignment="1">
      <alignment horizontal="center"/>
    </xf>
    <xf numFmtId="0" fontId="23" fillId="0" borderId="0" xfId="2" applyFont="1" applyAlignment="1">
      <alignment horizontal="center"/>
    </xf>
    <xf numFmtId="0" fontId="8" fillId="2" borderId="0" xfId="2" applyFont="1" applyFill="1"/>
    <xf numFmtId="0" fontId="8" fillId="0" borderId="0" xfId="2" applyFont="1"/>
    <xf numFmtId="0" fontId="9" fillId="2" borderId="1" xfId="0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66" fontId="0" fillId="0" borderId="6" xfId="0" applyNumberFormat="1" applyBorder="1" applyAlignment="1">
      <alignment horizontal="center"/>
    </xf>
    <xf numFmtId="0" fontId="43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4" fillId="2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9" fillId="2" borderId="25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1" applyFill="1" applyBorder="1" applyAlignment="1" applyProtection="1"/>
    <xf numFmtId="0" fontId="25" fillId="2" borderId="33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/>
    </xf>
    <xf numFmtId="164" fontId="24" fillId="0" borderId="0" xfId="0" applyNumberFormat="1" applyFont="1" applyAlignment="1">
      <alignment vertical="center" shrinkToFit="1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16" fillId="0" borderId="23" xfId="0" applyFont="1" applyBorder="1" applyAlignment="1">
      <alignment horizontal="center" vertical="center" shrinkToFit="1"/>
    </xf>
    <xf numFmtId="164" fontId="24" fillId="0" borderId="8" xfId="0" applyNumberFormat="1" applyFont="1" applyBorder="1" applyAlignment="1">
      <alignment vertical="center" shrinkToFit="1"/>
    </xf>
    <xf numFmtId="164" fontId="24" fillId="0" borderId="39" xfId="0" applyNumberFormat="1" applyFont="1" applyBorder="1" applyAlignment="1">
      <alignment vertical="center" shrinkToFit="1"/>
    </xf>
    <xf numFmtId="164" fontId="24" fillId="0" borderId="19" xfId="0" applyNumberFormat="1" applyFont="1" applyBorder="1" applyAlignment="1">
      <alignment vertical="center" shrinkToFit="1"/>
    </xf>
    <xf numFmtId="0" fontId="0" fillId="0" borderId="58" xfId="0" applyBorder="1"/>
    <xf numFmtId="165" fontId="18" fillId="0" borderId="0" xfId="0" applyNumberFormat="1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7" xfId="0" applyFont="1" applyBorder="1" applyAlignment="1">
      <alignment vertical="center"/>
    </xf>
    <xf numFmtId="2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9" fillId="2" borderId="1" xfId="46" applyFont="1" applyFill="1" applyBorder="1" applyAlignment="1">
      <alignment horizontal="center"/>
    </xf>
    <xf numFmtId="0" fontId="9" fillId="2" borderId="2" xfId="46" applyFont="1" applyFill="1" applyBorder="1" applyAlignment="1">
      <alignment horizontal="center"/>
    </xf>
    <xf numFmtId="0" fontId="9" fillId="2" borderId="3" xfId="46" applyFont="1" applyFill="1" applyBorder="1" applyAlignment="1">
      <alignment horizontal="center"/>
    </xf>
    <xf numFmtId="0" fontId="8" fillId="2" borderId="1" xfId="46" applyFill="1" applyBorder="1" applyAlignment="1">
      <alignment horizontal="center"/>
    </xf>
    <xf numFmtId="0" fontId="8" fillId="0" borderId="1" xfId="46" applyBorder="1" applyAlignment="1" applyProtection="1">
      <alignment horizontal="center"/>
      <protection locked="0"/>
    </xf>
    <xf numFmtId="0" fontId="8" fillId="0" borderId="0" xfId="46" applyProtection="1">
      <protection locked="0"/>
    </xf>
    <xf numFmtId="0" fontId="0" fillId="0" borderId="61" xfId="0" applyBorder="1"/>
    <xf numFmtId="0" fontId="65" fillId="0" borderId="0" xfId="46" applyFont="1" applyAlignment="1">
      <alignment horizontal="left" vertical="top"/>
    </xf>
    <xf numFmtId="0" fontId="8" fillId="0" borderId="0" xfId="0" applyFo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6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8" fillId="0" borderId="0" xfId="0" quotePrefix="1" applyFont="1"/>
    <xf numFmtId="0" fontId="8" fillId="0" borderId="3" xfId="0" applyFont="1" applyBorder="1" applyAlignment="1" applyProtection="1">
      <alignment horizontal="center"/>
      <protection locked="0"/>
    </xf>
    <xf numFmtId="0" fontId="67" fillId="0" borderId="0" xfId="0" applyFont="1" applyAlignment="1">
      <alignment horizontal="center" shrinkToFit="1"/>
    </xf>
    <xf numFmtId="0" fontId="6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6" fillId="0" borderId="0" xfId="0" applyFont="1" applyAlignment="1">
      <alignment horizontal="center" vertical="center" wrapText="1" shrinkToFit="1"/>
    </xf>
    <xf numFmtId="0" fontId="21" fillId="8" borderId="25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6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11" fillId="9" borderId="6" xfId="0" applyFont="1" applyFill="1" applyBorder="1" applyAlignment="1" applyProtection="1">
      <alignment horizontal="center" shrinkToFit="1"/>
      <protection locked="0"/>
    </xf>
    <xf numFmtId="0" fontId="70" fillId="0" borderId="0" xfId="0" applyFont="1"/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wrapText="1" shrinkToFit="1"/>
    </xf>
    <xf numFmtId="0" fontId="70" fillId="0" borderId="0" xfId="0" applyFont="1" applyAlignment="1">
      <alignment horizontal="center" shrinkToFit="1"/>
    </xf>
    <xf numFmtId="0" fontId="70" fillId="0" borderId="0" xfId="0" applyFont="1" applyAlignment="1">
      <alignment horizontal="left" vertical="center"/>
    </xf>
    <xf numFmtId="0" fontId="71" fillId="0" borderId="0" xfId="0" applyFont="1"/>
    <xf numFmtId="0" fontId="7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164" fontId="8" fillId="0" borderId="0" xfId="0" applyNumberFormat="1" applyFont="1" applyAlignment="1">
      <alignment horizontal="center" wrapText="1" shrinkToFit="1"/>
    </xf>
    <xf numFmtId="164" fontId="8" fillId="0" borderId="0" xfId="0" applyNumberFormat="1" applyFont="1" applyAlignment="1">
      <alignment horizontal="center" vertical="center" wrapText="1" shrinkToFit="1"/>
    </xf>
    <xf numFmtId="1" fontId="8" fillId="0" borderId="0" xfId="0" applyNumberFormat="1" applyFont="1" applyAlignment="1">
      <alignment horizontal="center" wrapText="1" shrinkToFit="1"/>
    </xf>
    <xf numFmtId="1" fontId="8" fillId="0" borderId="0" xfId="0" applyNumberFormat="1" applyFont="1" applyAlignment="1">
      <alignment horizontal="center" vertical="center" wrapText="1" shrinkToFi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 shrinkToFit="1"/>
    </xf>
    <xf numFmtId="1" fontId="0" fillId="0" borderId="0" xfId="0" applyNumberFormat="1" applyAlignment="1">
      <alignment horizontal="center" wrapText="1" shrinkToFit="1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5" fontId="28" fillId="2" borderId="8" xfId="46" applyNumberFormat="1" applyFont="1" applyFill="1" applyBorder="1" applyAlignment="1">
      <alignment horizontal="center" vertical="center" shrinkToFit="1"/>
    </xf>
    <xf numFmtId="0" fontId="28" fillId="2" borderId="39" xfId="46" applyFont="1" applyFill="1" applyBorder="1" applyAlignment="1">
      <alignment horizontal="center" vertical="center" shrinkToFit="1"/>
    </xf>
    <xf numFmtId="0" fontId="28" fillId="2" borderId="19" xfId="46" applyFont="1" applyFill="1" applyBorder="1" applyAlignment="1">
      <alignment horizontal="center" vertical="center" shrinkToFit="1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22" fillId="8" borderId="46" xfId="0" applyFont="1" applyFill="1" applyBorder="1" applyAlignment="1" applyProtection="1">
      <alignment horizontal="center" vertical="center" shrinkToFit="1"/>
      <protection locked="0"/>
    </xf>
    <xf numFmtId="0" fontId="22" fillId="8" borderId="47" xfId="0" applyFont="1" applyFill="1" applyBorder="1" applyAlignment="1" applyProtection="1">
      <alignment horizontal="center" vertical="center" shrinkToFit="1"/>
      <protection locked="0"/>
    </xf>
    <xf numFmtId="0" fontId="22" fillId="8" borderId="48" xfId="0" applyFont="1" applyFill="1" applyBorder="1" applyAlignment="1" applyProtection="1">
      <alignment horizontal="center" vertical="center" shrinkToFit="1"/>
      <protection locked="0"/>
    </xf>
    <xf numFmtId="0" fontId="22" fillId="8" borderId="30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  <protection locked="0"/>
    </xf>
    <xf numFmtId="0" fontId="22" fillId="8" borderId="38" xfId="0" applyFont="1" applyFill="1" applyBorder="1" applyAlignment="1" applyProtection="1">
      <alignment horizontal="center" vertical="center" shrinkToFit="1"/>
      <protection locked="0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22" fillId="8" borderId="42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2" fillId="8" borderId="43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Alignment="1" applyProtection="1">
      <alignment horizontal="center" vertical="center"/>
      <protection locked="0"/>
    </xf>
    <xf numFmtId="0" fontId="22" fillId="8" borderId="44" xfId="0" applyFont="1" applyFill="1" applyBorder="1" applyAlignment="1" applyProtection="1">
      <alignment horizontal="center" vertical="center"/>
      <protection locked="0"/>
    </xf>
    <xf numFmtId="0" fontId="22" fillId="8" borderId="30" xfId="0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8" fillId="2" borderId="8" xfId="44" applyFont="1" applyFill="1" applyBorder="1" applyAlignment="1" applyProtection="1">
      <alignment horizontal="center" vertical="center" shrinkToFit="1"/>
      <protection locked="0"/>
    </xf>
    <xf numFmtId="0" fontId="28" fillId="2" borderId="39" xfId="44" applyFont="1" applyFill="1" applyBorder="1" applyAlignment="1" applyProtection="1">
      <alignment horizontal="center" vertical="center" shrinkToFit="1"/>
      <protection locked="0"/>
    </xf>
    <xf numFmtId="0" fontId="28" fillId="2" borderId="19" xfId="44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textRotation="90" shrinkToFit="1"/>
    </xf>
    <xf numFmtId="0" fontId="0" fillId="0" borderId="0" xfId="0" applyAlignment="1">
      <alignment horizontal="center" textRotation="90" shrinkToFit="1"/>
    </xf>
    <xf numFmtId="164" fontId="16" fillId="9" borderId="8" xfId="0" applyNumberFormat="1" applyFont="1" applyFill="1" applyBorder="1" applyAlignment="1">
      <alignment horizontal="center" vertical="center"/>
    </xf>
    <xf numFmtId="164" fontId="16" fillId="9" borderId="39" xfId="0" applyNumberFormat="1" applyFont="1" applyFill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45" fillId="0" borderId="8" xfId="0" applyFont="1" applyBorder="1" applyAlignment="1" applyProtection="1">
      <alignment horizontal="center" vertical="center" shrinkToFit="1"/>
      <protection locked="0"/>
    </xf>
    <xf numFmtId="0" fontId="45" fillId="0" borderId="39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164" fontId="21" fillId="10" borderId="39" xfId="0" applyNumberFormat="1" applyFont="1" applyFill="1" applyBorder="1" applyAlignment="1" applyProtection="1">
      <alignment horizontal="center" vertical="center" shrinkToFit="1"/>
      <protection locked="0"/>
    </xf>
    <xf numFmtId="0" fontId="17" fillId="6" borderId="21" xfId="0" applyFont="1" applyFill="1" applyBorder="1" applyAlignment="1">
      <alignment horizontal="center" vertical="center" shrinkToFit="1"/>
    </xf>
    <xf numFmtId="0" fontId="17" fillId="6" borderId="55" xfId="0" applyFont="1" applyFill="1" applyBorder="1" applyAlignment="1">
      <alignment horizontal="center" vertical="center" shrinkToFit="1"/>
    </xf>
    <xf numFmtId="0" fontId="44" fillId="0" borderId="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164" fontId="16" fillId="9" borderId="32" xfId="0" applyNumberFormat="1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 shrinkToFit="1"/>
    </xf>
    <xf numFmtId="164" fontId="46" fillId="0" borderId="58" xfId="0" applyNumberFormat="1" applyFont="1" applyBorder="1" applyAlignment="1">
      <alignment horizontal="right" vertical="center"/>
    </xf>
    <xf numFmtId="164" fontId="46" fillId="0" borderId="0" xfId="0" applyNumberFormat="1" applyFont="1" applyAlignment="1">
      <alignment horizontal="right" vertical="center"/>
    </xf>
    <xf numFmtId="164" fontId="46" fillId="0" borderId="27" xfId="0" applyNumberFormat="1" applyFont="1" applyBorder="1" applyAlignment="1">
      <alignment horizontal="right" vertical="center"/>
    </xf>
    <xf numFmtId="164" fontId="46" fillId="0" borderId="7" xfId="0" applyNumberFormat="1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61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6" fillId="0" borderId="71" xfId="0" applyFont="1" applyBorder="1" applyAlignment="1">
      <alignment horizontal="left" vertical="center"/>
    </xf>
    <xf numFmtId="0" fontId="46" fillId="0" borderId="5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61" xfId="0" applyFont="1" applyBorder="1" applyAlignment="1">
      <alignment horizontal="left" vertical="center"/>
    </xf>
    <xf numFmtId="0" fontId="45" fillId="0" borderId="58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61" xfId="0" applyFont="1" applyBorder="1" applyAlignment="1">
      <alignment horizontal="right" vertical="center"/>
    </xf>
    <xf numFmtId="0" fontId="46" fillId="0" borderId="58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65" fillId="0" borderId="58" xfId="46" applyFont="1" applyBorder="1" applyAlignment="1">
      <alignment horizontal="left" vertical="top"/>
    </xf>
    <xf numFmtId="0" fontId="65" fillId="0" borderId="0" xfId="46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169" fontId="69" fillId="0" borderId="0" xfId="0" applyNumberFormat="1" applyFont="1" applyAlignment="1">
      <alignment horizontal="left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3" fillId="0" borderId="8" xfId="0" applyFont="1" applyBorder="1" applyAlignment="1" applyProtection="1">
      <alignment horizontal="center" shrinkToFit="1"/>
      <protection locked="0"/>
    </xf>
    <xf numFmtId="0" fontId="13" fillId="0" borderId="39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 applyProtection="1">
      <alignment horizontal="center" shrinkToFit="1"/>
      <protection locked="0"/>
    </xf>
    <xf numFmtId="0" fontId="35" fillId="8" borderId="0" xfId="0" applyFont="1" applyFill="1" applyAlignment="1" applyProtection="1">
      <alignment horizontal="center" vertical="center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0" fontId="31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996">
    <cellStyle name="20% - Accent1" xfId="21" builtinId="30" customBuiltin="1"/>
    <cellStyle name="20% - Accent1 2" xfId="51" xr:uid="{00000000-0005-0000-0000-000001000000}"/>
    <cellStyle name="20% - Accent1 2 2" xfId="80" xr:uid="{00000000-0005-0000-0000-000002000000}"/>
    <cellStyle name="20% - Accent1 2 2 2" xfId="141" xr:uid="{00000000-0005-0000-0000-000003000000}"/>
    <cellStyle name="20% - Accent1 2 2 2 2" xfId="262" xr:uid="{00000000-0005-0000-0000-000004000000}"/>
    <cellStyle name="20% - Accent1 2 2 2 2 2" xfId="503" xr:uid="{00000000-0005-0000-0000-000005000000}"/>
    <cellStyle name="20% - Accent1 2 2 2 2 2 2" xfId="984" xr:uid="{00000000-0005-0000-0000-000006000000}"/>
    <cellStyle name="20% - Accent1 2 2 2 2 3" xfId="744" xr:uid="{00000000-0005-0000-0000-000007000000}"/>
    <cellStyle name="20% - Accent1 2 2 2 3" xfId="383" xr:uid="{00000000-0005-0000-0000-000008000000}"/>
    <cellStyle name="20% - Accent1 2 2 2 3 2" xfId="864" xr:uid="{00000000-0005-0000-0000-000009000000}"/>
    <cellStyle name="20% - Accent1 2 2 2 4" xfId="624" xr:uid="{00000000-0005-0000-0000-00000A000000}"/>
    <cellStyle name="20% - Accent1 2 2 3" xfId="202" xr:uid="{00000000-0005-0000-0000-00000B000000}"/>
    <cellStyle name="20% - Accent1 2 2 3 2" xfId="443" xr:uid="{00000000-0005-0000-0000-00000C000000}"/>
    <cellStyle name="20% - Accent1 2 2 3 2 2" xfId="924" xr:uid="{00000000-0005-0000-0000-00000D000000}"/>
    <cellStyle name="20% - Accent1 2 2 3 3" xfId="684" xr:uid="{00000000-0005-0000-0000-00000E000000}"/>
    <cellStyle name="20% - Accent1 2 2 4" xfId="323" xr:uid="{00000000-0005-0000-0000-00000F000000}"/>
    <cellStyle name="20% - Accent1 2 2 4 2" xfId="804" xr:uid="{00000000-0005-0000-0000-000010000000}"/>
    <cellStyle name="20% - Accent1 2 2 5" xfId="564" xr:uid="{00000000-0005-0000-0000-000011000000}"/>
    <cellStyle name="20% - Accent1 2 3" xfId="112" xr:uid="{00000000-0005-0000-0000-000012000000}"/>
    <cellStyle name="20% - Accent1 2 3 2" xfId="233" xr:uid="{00000000-0005-0000-0000-000013000000}"/>
    <cellStyle name="20% - Accent1 2 3 2 2" xfId="474" xr:uid="{00000000-0005-0000-0000-000014000000}"/>
    <cellStyle name="20% - Accent1 2 3 2 2 2" xfId="955" xr:uid="{00000000-0005-0000-0000-000015000000}"/>
    <cellStyle name="20% - Accent1 2 3 2 3" xfId="715" xr:uid="{00000000-0005-0000-0000-000016000000}"/>
    <cellStyle name="20% - Accent1 2 3 3" xfId="354" xr:uid="{00000000-0005-0000-0000-000017000000}"/>
    <cellStyle name="20% - Accent1 2 3 3 2" xfId="835" xr:uid="{00000000-0005-0000-0000-000018000000}"/>
    <cellStyle name="20% - Accent1 2 3 4" xfId="595" xr:uid="{00000000-0005-0000-0000-000019000000}"/>
    <cellStyle name="20% - Accent1 2 4" xfId="173" xr:uid="{00000000-0005-0000-0000-00001A000000}"/>
    <cellStyle name="20% - Accent1 2 4 2" xfId="414" xr:uid="{00000000-0005-0000-0000-00001B000000}"/>
    <cellStyle name="20% - Accent1 2 4 2 2" xfId="895" xr:uid="{00000000-0005-0000-0000-00001C000000}"/>
    <cellStyle name="20% - Accent1 2 4 3" xfId="655" xr:uid="{00000000-0005-0000-0000-00001D000000}"/>
    <cellStyle name="20% - Accent1 2 5" xfId="294" xr:uid="{00000000-0005-0000-0000-00001E000000}"/>
    <cellStyle name="20% - Accent1 2 5 2" xfId="775" xr:uid="{00000000-0005-0000-0000-00001F000000}"/>
    <cellStyle name="20% - Accent1 2 6" xfId="535" xr:uid="{00000000-0005-0000-0000-000020000000}"/>
    <cellStyle name="20% - Accent1 3" xfId="64" xr:uid="{00000000-0005-0000-0000-000021000000}"/>
    <cellStyle name="20% - Accent1 3 2" xfId="125" xr:uid="{00000000-0005-0000-0000-000022000000}"/>
    <cellStyle name="20% - Accent1 3 2 2" xfId="246" xr:uid="{00000000-0005-0000-0000-000023000000}"/>
    <cellStyle name="20% - Accent1 3 2 2 2" xfId="487" xr:uid="{00000000-0005-0000-0000-000024000000}"/>
    <cellStyle name="20% - Accent1 3 2 2 2 2" xfId="968" xr:uid="{00000000-0005-0000-0000-000025000000}"/>
    <cellStyle name="20% - Accent1 3 2 2 3" xfId="728" xr:uid="{00000000-0005-0000-0000-000026000000}"/>
    <cellStyle name="20% - Accent1 3 2 3" xfId="367" xr:uid="{00000000-0005-0000-0000-000027000000}"/>
    <cellStyle name="20% - Accent1 3 2 3 2" xfId="848" xr:uid="{00000000-0005-0000-0000-000028000000}"/>
    <cellStyle name="20% - Accent1 3 2 4" xfId="608" xr:uid="{00000000-0005-0000-0000-000029000000}"/>
    <cellStyle name="20% - Accent1 3 3" xfId="186" xr:uid="{00000000-0005-0000-0000-00002A000000}"/>
    <cellStyle name="20% - Accent1 3 3 2" xfId="427" xr:uid="{00000000-0005-0000-0000-00002B000000}"/>
    <cellStyle name="20% - Accent1 3 3 2 2" xfId="908" xr:uid="{00000000-0005-0000-0000-00002C000000}"/>
    <cellStyle name="20% - Accent1 3 3 3" xfId="668" xr:uid="{00000000-0005-0000-0000-00002D000000}"/>
    <cellStyle name="20% - Accent1 3 4" xfId="307" xr:uid="{00000000-0005-0000-0000-00002E000000}"/>
    <cellStyle name="20% - Accent1 3 4 2" xfId="788" xr:uid="{00000000-0005-0000-0000-00002F000000}"/>
    <cellStyle name="20% - Accent1 3 5" xfId="548" xr:uid="{00000000-0005-0000-0000-000030000000}"/>
    <cellStyle name="20% - Accent1 4" xfId="93" xr:uid="{00000000-0005-0000-0000-000031000000}"/>
    <cellStyle name="20% - Accent1 4 2" xfId="215" xr:uid="{00000000-0005-0000-0000-000032000000}"/>
    <cellStyle name="20% - Accent1 4 2 2" xfId="456" xr:uid="{00000000-0005-0000-0000-000033000000}"/>
    <cellStyle name="20% - Accent1 4 2 2 2" xfId="937" xr:uid="{00000000-0005-0000-0000-000034000000}"/>
    <cellStyle name="20% - Accent1 4 2 3" xfId="697" xr:uid="{00000000-0005-0000-0000-000035000000}"/>
    <cellStyle name="20% - Accent1 4 3" xfId="336" xr:uid="{00000000-0005-0000-0000-000036000000}"/>
    <cellStyle name="20% - Accent1 4 3 2" xfId="817" xr:uid="{00000000-0005-0000-0000-000037000000}"/>
    <cellStyle name="20% - Accent1 4 4" xfId="577" xr:uid="{00000000-0005-0000-0000-000038000000}"/>
    <cellStyle name="20% - Accent1 5" xfId="154" xr:uid="{00000000-0005-0000-0000-000039000000}"/>
    <cellStyle name="20% - Accent1 5 2" xfId="396" xr:uid="{00000000-0005-0000-0000-00003A000000}"/>
    <cellStyle name="20% - Accent1 5 2 2" xfId="877" xr:uid="{00000000-0005-0000-0000-00003B000000}"/>
    <cellStyle name="20% - Accent1 5 3" xfId="637" xr:uid="{00000000-0005-0000-0000-00003C000000}"/>
    <cellStyle name="20% - Accent1 6" xfId="275" xr:uid="{00000000-0005-0000-0000-00003D000000}"/>
    <cellStyle name="20% - Accent1 6 2" xfId="757" xr:uid="{00000000-0005-0000-0000-00003E000000}"/>
    <cellStyle name="20% - Accent1 7" xfId="516" xr:uid="{00000000-0005-0000-0000-00003F000000}"/>
    <cellStyle name="20% - Accent2" xfId="25" builtinId="34" customBuiltin="1"/>
    <cellStyle name="20% - Accent2 2" xfId="53" xr:uid="{00000000-0005-0000-0000-000041000000}"/>
    <cellStyle name="20% - Accent2 2 2" xfId="82" xr:uid="{00000000-0005-0000-0000-000042000000}"/>
    <cellStyle name="20% - Accent2 2 2 2" xfId="143" xr:uid="{00000000-0005-0000-0000-000043000000}"/>
    <cellStyle name="20% - Accent2 2 2 2 2" xfId="264" xr:uid="{00000000-0005-0000-0000-000044000000}"/>
    <cellStyle name="20% - Accent2 2 2 2 2 2" xfId="505" xr:uid="{00000000-0005-0000-0000-000045000000}"/>
    <cellStyle name="20% - Accent2 2 2 2 2 2 2" xfId="986" xr:uid="{00000000-0005-0000-0000-000046000000}"/>
    <cellStyle name="20% - Accent2 2 2 2 2 3" xfId="746" xr:uid="{00000000-0005-0000-0000-000047000000}"/>
    <cellStyle name="20% - Accent2 2 2 2 3" xfId="385" xr:uid="{00000000-0005-0000-0000-000048000000}"/>
    <cellStyle name="20% - Accent2 2 2 2 3 2" xfId="866" xr:uid="{00000000-0005-0000-0000-000049000000}"/>
    <cellStyle name="20% - Accent2 2 2 2 4" xfId="626" xr:uid="{00000000-0005-0000-0000-00004A000000}"/>
    <cellStyle name="20% - Accent2 2 2 3" xfId="204" xr:uid="{00000000-0005-0000-0000-00004B000000}"/>
    <cellStyle name="20% - Accent2 2 2 3 2" xfId="445" xr:uid="{00000000-0005-0000-0000-00004C000000}"/>
    <cellStyle name="20% - Accent2 2 2 3 2 2" xfId="926" xr:uid="{00000000-0005-0000-0000-00004D000000}"/>
    <cellStyle name="20% - Accent2 2 2 3 3" xfId="686" xr:uid="{00000000-0005-0000-0000-00004E000000}"/>
    <cellStyle name="20% - Accent2 2 2 4" xfId="325" xr:uid="{00000000-0005-0000-0000-00004F000000}"/>
    <cellStyle name="20% - Accent2 2 2 4 2" xfId="806" xr:uid="{00000000-0005-0000-0000-000050000000}"/>
    <cellStyle name="20% - Accent2 2 2 5" xfId="566" xr:uid="{00000000-0005-0000-0000-000051000000}"/>
    <cellStyle name="20% - Accent2 2 3" xfId="114" xr:uid="{00000000-0005-0000-0000-000052000000}"/>
    <cellStyle name="20% - Accent2 2 3 2" xfId="235" xr:uid="{00000000-0005-0000-0000-000053000000}"/>
    <cellStyle name="20% - Accent2 2 3 2 2" xfId="476" xr:uid="{00000000-0005-0000-0000-000054000000}"/>
    <cellStyle name="20% - Accent2 2 3 2 2 2" xfId="957" xr:uid="{00000000-0005-0000-0000-000055000000}"/>
    <cellStyle name="20% - Accent2 2 3 2 3" xfId="717" xr:uid="{00000000-0005-0000-0000-000056000000}"/>
    <cellStyle name="20% - Accent2 2 3 3" xfId="356" xr:uid="{00000000-0005-0000-0000-000057000000}"/>
    <cellStyle name="20% - Accent2 2 3 3 2" xfId="837" xr:uid="{00000000-0005-0000-0000-000058000000}"/>
    <cellStyle name="20% - Accent2 2 3 4" xfId="597" xr:uid="{00000000-0005-0000-0000-000059000000}"/>
    <cellStyle name="20% - Accent2 2 4" xfId="175" xr:uid="{00000000-0005-0000-0000-00005A000000}"/>
    <cellStyle name="20% - Accent2 2 4 2" xfId="416" xr:uid="{00000000-0005-0000-0000-00005B000000}"/>
    <cellStyle name="20% - Accent2 2 4 2 2" xfId="897" xr:uid="{00000000-0005-0000-0000-00005C000000}"/>
    <cellStyle name="20% - Accent2 2 4 3" xfId="657" xr:uid="{00000000-0005-0000-0000-00005D000000}"/>
    <cellStyle name="20% - Accent2 2 5" xfId="296" xr:uid="{00000000-0005-0000-0000-00005E000000}"/>
    <cellStyle name="20% - Accent2 2 5 2" xfId="777" xr:uid="{00000000-0005-0000-0000-00005F000000}"/>
    <cellStyle name="20% - Accent2 2 6" xfId="537" xr:uid="{00000000-0005-0000-0000-000060000000}"/>
    <cellStyle name="20% - Accent2 3" xfId="66" xr:uid="{00000000-0005-0000-0000-000061000000}"/>
    <cellStyle name="20% - Accent2 3 2" xfId="127" xr:uid="{00000000-0005-0000-0000-000062000000}"/>
    <cellStyle name="20% - Accent2 3 2 2" xfId="248" xr:uid="{00000000-0005-0000-0000-000063000000}"/>
    <cellStyle name="20% - Accent2 3 2 2 2" xfId="489" xr:uid="{00000000-0005-0000-0000-000064000000}"/>
    <cellStyle name="20% - Accent2 3 2 2 2 2" xfId="970" xr:uid="{00000000-0005-0000-0000-000065000000}"/>
    <cellStyle name="20% - Accent2 3 2 2 3" xfId="730" xr:uid="{00000000-0005-0000-0000-000066000000}"/>
    <cellStyle name="20% - Accent2 3 2 3" xfId="369" xr:uid="{00000000-0005-0000-0000-000067000000}"/>
    <cellStyle name="20% - Accent2 3 2 3 2" xfId="850" xr:uid="{00000000-0005-0000-0000-000068000000}"/>
    <cellStyle name="20% - Accent2 3 2 4" xfId="610" xr:uid="{00000000-0005-0000-0000-000069000000}"/>
    <cellStyle name="20% - Accent2 3 3" xfId="188" xr:uid="{00000000-0005-0000-0000-00006A000000}"/>
    <cellStyle name="20% - Accent2 3 3 2" xfId="429" xr:uid="{00000000-0005-0000-0000-00006B000000}"/>
    <cellStyle name="20% - Accent2 3 3 2 2" xfId="910" xr:uid="{00000000-0005-0000-0000-00006C000000}"/>
    <cellStyle name="20% - Accent2 3 3 3" xfId="670" xr:uid="{00000000-0005-0000-0000-00006D000000}"/>
    <cellStyle name="20% - Accent2 3 4" xfId="309" xr:uid="{00000000-0005-0000-0000-00006E000000}"/>
    <cellStyle name="20% - Accent2 3 4 2" xfId="790" xr:uid="{00000000-0005-0000-0000-00006F000000}"/>
    <cellStyle name="20% - Accent2 3 5" xfId="550" xr:uid="{00000000-0005-0000-0000-000070000000}"/>
    <cellStyle name="20% - Accent2 4" xfId="95" xr:uid="{00000000-0005-0000-0000-000071000000}"/>
    <cellStyle name="20% - Accent2 4 2" xfId="217" xr:uid="{00000000-0005-0000-0000-000072000000}"/>
    <cellStyle name="20% - Accent2 4 2 2" xfId="458" xr:uid="{00000000-0005-0000-0000-000073000000}"/>
    <cellStyle name="20% - Accent2 4 2 2 2" xfId="939" xr:uid="{00000000-0005-0000-0000-000074000000}"/>
    <cellStyle name="20% - Accent2 4 2 3" xfId="699" xr:uid="{00000000-0005-0000-0000-000075000000}"/>
    <cellStyle name="20% - Accent2 4 3" xfId="338" xr:uid="{00000000-0005-0000-0000-000076000000}"/>
    <cellStyle name="20% - Accent2 4 3 2" xfId="819" xr:uid="{00000000-0005-0000-0000-000077000000}"/>
    <cellStyle name="20% - Accent2 4 4" xfId="579" xr:uid="{00000000-0005-0000-0000-000078000000}"/>
    <cellStyle name="20% - Accent2 5" xfId="156" xr:uid="{00000000-0005-0000-0000-000079000000}"/>
    <cellStyle name="20% - Accent2 5 2" xfId="398" xr:uid="{00000000-0005-0000-0000-00007A000000}"/>
    <cellStyle name="20% - Accent2 5 2 2" xfId="879" xr:uid="{00000000-0005-0000-0000-00007B000000}"/>
    <cellStyle name="20% - Accent2 5 3" xfId="639" xr:uid="{00000000-0005-0000-0000-00007C000000}"/>
    <cellStyle name="20% - Accent2 6" xfId="277" xr:uid="{00000000-0005-0000-0000-00007D000000}"/>
    <cellStyle name="20% - Accent2 6 2" xfId="759" xr:uid="{00000000-0005-0000-0000-00007E000000}"/>
    <cellStyle name="20% - Accent2 7" xfId="518" xr:uid="{00000000-0005-0000-0000-00007F000000}"/>
    <cellStyle name="20% - Accent3" xfId="29" builtinId="38" customBuiltin="1"/>
    <cellStyle name="20% - Accent3 2" xfId="55" xr:uid="{00000000-0005-0000-0000-000081000000}"/>
    <cellStyle name="20% - Accent3 2 2" xfId="84" xr:uid="{00000000-0005-0000-0000-000082000000}"/>
    <cellStyle name="20% - Accent3 2 2 2" xfId="145" xr:uid="{00000000-0005-0000-0000-000083000000}"/>
    <cellStyle name="20% - Accent3 2 2 2 2" xfId="266" xr:uid="{00000000-0005-0000-0000-000084000000}"/>
    <cellStyle name="20% - Accent3 2 2 2 2 2" xfId="507" xr:uid="{00000000-0005-0000-0000-000085000000}"/>
    <cellStyle name="20% - Accent3 2 2 2 2 2 2" xfId="988" xr:uid="{00000000-0005-0000-0000-000086000000}"/>
    <cellStyle name="20% - Accent3 2 2 2 2 3" xfId="748" xr:uid="{00000000-0005-0000-0000-000087000000}"/>
    <cellStyle name="20% - Accent3 2 2 2 3" xfId="387" xr:uid="{00000000-0005-0000-0000-000088000000}"/>
    <cellStyle name="20% - Accent3 2 2 2 3 2" xfId="868" xr:uid="{00000000-0005-0000-0000-000089000000}"/>
    <cellStyle name="20% - Accent3 2 2 2 4" xfId="628" xr:uid="{00000000-0005-0000-0000-00008A000000}"/>
    <cellStyle name="20% - Accent3 2 2 3" xfId="206" xr:uid="{00000000-0005-0000-0000-00008B000000}"/>
    <cellStyle name="20% - Accent3 2 2 3 2" xfId="447" xr:uid="{00000000-0005-0000-0000-00008C000000}"/>
    <cellStyle name="20% - Accent3 2 2 3 2 2" xfId="928" xr:uid="{00000000-0005-0000-0000-00008D000000}"/>
    <cellStyle name="20% - Accent3 2 2 3 3" xfId="688" xr:uid="{00000000-0005-0000-0000-00008E000000}"/>
    <cellStyle name="20% - Accent3 2 2 4" xfId="327" xr:uid="{00000000-0005-0000-0000-00008F000000}"/>
    <cellStyle name="20% - Accent3 2 2 4 2" xfId="808" xr:uid="{00000000-0005-0000-0000-000090000000}"/>
    <cellStyle name="20% - Accent3 2 2 5" xfId="568" xr:uid="{00000000-0005-0000-0000-000091000000}"/>
    <cellStyle name="20% - Accent3 2 3" xfId="116" xr:uid="{00000000-0005-0000-0000-000092000000}"/>
    <cellStyle name="20% - Accent3 2 3 2" xfId="237" xr:uid="{00000000-0005-0000-0000-000093000000}"/>
    <cellStyle name="20% - Accent3 2 3 2 2" xfId="478" xr:uid="{00000000-0005-0000-0000-000094000000}"/>
    <cellStyle name="20% - Accent3 2 3 2 2 2" xfId="959" xr:uid="{00000000-0005-0000-0000-000095000000}"/>
    <cellStyle name="20% - Accent3 2 3 2 3" xfId="719" xr:uid="{00000000-0005-0000-0000-000096000000}"/>
    <cellStyle name="20% - Accent3 2 3 3" xfId="358" xr:uid="{00000000-0005-0000-0000-000097000000}"/>
    <cellStyle name="20% - Accent3 2 3 3 2" xfId="839" xr:uid="{00000000-0005-0000-0000-000098000000}"/>
    <cellStyle name="20% - Accent3 2 3 4" xfId="599" xr:uid="{00000000-0005-0000-0000-000099000000}"/>
    <cellStyle name="20% - Accent3 2 4" xfId="177" xr:uid="{00000000-0005-0000-0000-00009A000000}"/>
    <cellStyle name="20% - Accent3 2 4 2" xfId="418" xr:uid="{00000000-0005-0000-0000-00009B000000}"/>
    <cellStyle name="20% - Accent3 2 4 2 2" xfId="899" xr:uid="{00000000-0005-0000-0000-00009C000000}"/>
    <cellStyle name="20% - Accent3 2 4 3" xfId="659" xr:uid="{00000000-0005-0000-0000-00009D000000}"/>
    <cellStyle name="20% - Accent3 2 5" xfId="298" xr:uid="{00000000-0005-0000-0000-00009E000000}"/>
    <cellStyle name="20% - Accent3 2 5 2" xfId="779" xr:uid="{00000000-0005-0000-0000-00009F000000}"/>
    <cellStyle name="20% - Accent3 2 6" xfId="539" xr:uid="{00000000-0005-0000-0000-0000A0000000}"/>
    <cellStyle name="20% - Accent3 3" xfId="68" xr:uid="{00000000-0005-0000-0000-0000A1000000}"/>
    <cellStyle name="20% - Accent3 3 2" xfId="129" xr:uid="{00000000-0005-0000-0000-0000A2000000}"/>
    <cellStyle name="20% - Accent3 3 2 2" xfId="250" xr:uid="{00000000-0005-0000-0000-0000A3000000}"/>
    <cellStyle name="20% - Accent3 3 2 2 2" xfId="491" xr:uid="{00000000-0005-0000-0000-0000A4000000}"/>
    <cellStyle name="20% - Accent3 3 2 2 2 2" xfId="972" xr:uid="{00000000-0005-0000-0000-0000A5000000}"/>
    <cellStyle name="20% - Accent3 3 2 2 3" xfId="732" xr:uid="{00000000-0005-0000-0000-0000A6000000}"/>
    <cellStyle name="20% - Accent3 3 2 3" xfId="371" xr:uid="{00000000-0005-0000-0000-0000A7000000}"/>
    <cellStyle name="20% - Accent3 3 2 3 2" xfId="852" xr:uid="{00000000-0005-0000-0000-0000A8000000}"/>
    <cellStyle name="20% - Accent3 3 2 4" xfId="612" xr:uid="{00000000-0005-0000-0000-0000A9000000}"/>
    <cellStyle name="20% - Accent3 3 3" xfId="190" xr:uid="{00000000-0005-0000-0000-0000AA000000}"/>
    <cellStyle name="20% - Accent3 3 3 2" xfId="431" xr:uid="{00000000-0005-0000-0000-0000AB000000}"/>
    <cellStyle name="20% - Accent3 3 3 2 2" xfId="912" xr:uid="{00000000-0005-0000-0000-0000AC000000}"/>
    <cellStyle name="20% - Accent3 3 3 3" xfId="672" xr:uid="{00000000-0005-0000-0000-0000AD000000}"/>
    <cellStyle name="20% - Accent3 3 4" xfId="311" xr:uid="{00000000-0005-0000-0000-0000AE000000}"/>
    <cellStyle name="20% - Accent3 3 4 2" xfId="792" xr:uid="{00000000-0005-0000-0000-0000AF000000}"/>
    <cellStyle name="20% - Accent3 3 5" xfId="552" xr:uid="{00000000-0005-0000-0000-0000B0000000}"/>
    <cellStyle name="20% - Accent3 4" xfId="97" xr:uid="{00000000-0005-0000-0000-0000B1000000}"/>
    <cellStyle name="20% - Accent3 4 2" xfId="219" xr:uid="{00000000-0005-0000-0000-0000B2000000}"/>
    <cellStyle name="20% - Accent3 4 2 2" xfId="460" xr:uid="{00000000-0005-0000-0000-0000B3000000}"/>
    <cellStyle name="20% - Accent3 4 2 2 2" xfId="941" xr:uid="{00000000-0005-0000-0000-0000B4000000}"/>
    <cellStyle name="20% - Accent3 4 2 3" xfId="701" xr:uid="{00000000-0005-0000-0000-0000B5000000}"/>
    <cellStyle name="20% - Accent3 4 3" xfId="340" xr:uid="{00000000-0005-0000-0000-0000B6000000}"/>
    <cellStyle name="20% - Accent3 4 3 2" xfId="821" xr:uid="{00000000-0005-0000-0000-0000B7000000}"/>
    <cellStyle name="20% - Accent3 4 4" xfId="581" xr:uid="{00000000-0005-0000-0000-0000B8000000}"/>
    <cellStyle name="20% - Accent3 5" xfId="158" xr:uid="{00000000-0005-0000-0000-0000B9000000}"/>
    <cellStyle name="20% - Accent3 5 2" xfId="400" xr:uid="{00000000-0005-0000-0000-0000BA000000}"/>
    <cellStyle name="20% - Accent3 5 2 2" xfId="881" xr:uid="{00000000-0005-0000-0000-0000BB000000}"/>
    <cellStyle name="20% - Accent3 5 3" xfId="641" xr:uid="{00000000-0005-0000-0000-0000BC000000}"/>
    <cellStyle name="20% - Accent3 6" xfId="279" xr:uid="{00000000-0005-0000-0000-0000BD000000}"/>
    <cellStyle name="20% - Accent3 6 2" xfId="761" xr:uid="{00000000-0005-0000-0000-0000BE000000}"/>
    <cellStyle name="20% - Accent3 7" xfId="520" xr:uid="{00000000-0005-0000-0000-0000BF000000}"/>
    <cellStyle name="20% - Accent4" xfId="33" builtinId="42" customBuiltin="1"/>
    <cellStyle name="20% - Accent4 2" xfId="57" xr:uid="{00000000-0005-0000-0000-0000C1000000}"/>
    <cellStyle name="20% - Accent4 2 2" xfId="86" xr:uid="{00000000-0005-0000-0000-0000C2000000}"/>
    <cellStyle name="20% - Accent4 2 2 2" xfId="147" xr:uid="{00000000-0005-0000-0000-0000C3000000}"/>
    <cellStyle name="20% - Accent4 2 2 2 2" xfId="268" xr:uid="{00000000-0005-0000-0000-0000C4000000}"/>
    <cellStyle name="20% - Accent4 2 2 2 2 2" xfId="509" xr:uid="{00000000-0005-0000-0000-0000C5000000}"/>
    <cellStyle name="20% - Accent4 2 2 2 2 2 2" xfId="990" xr:uid="{00000000-0005-0000-0000-0000C6000000}"/>
    <cellStyle name="20% - Accent4 2 2 2 2 3" xfId="750" xr:uid="{00000000-0005-0000-0000-0000C7000000}"/>
    <cellStyle name="20% - Accent4 2 2 2 3" xfId="389" xr:uid="{00000000-0005-0000-0000-0000C8000000}"/>
    <cellStyle name="20% - Accent4 2 2 2 3 2" xfId="870" xr:uid="{00000000-0005-0000-0000-0000C9000000}"/>
    <cellStyle name="20% - Accent4 2 2 2 4" xfId="630" xr:uid="{00000000-0005-0000-0000-0000CA000000}"/>
    <cellStyle name="20% - Accent4 2 2 3" xfId="208" xr:uid="{00000000-0005-0000-0000-0000CB000000}"/>
    <cellStyle name="20% - Accent4 2 2 3 2" xfId="449" xr:uid="{00000000-0005-0000-0000-0000CC000000}"/>
    <cellStyle name="20% - Accent4 2 2 3 2 2" xfId="930" xr:uid="{00000000-0005-0000-0000-0000CD000000}"/>
    <cellStyle name="20% - Accent4 2 2 3 3" xfId="690" xr:uid="{00000000-0005-0000-0000-0000CE000000}"/>
    <cellStyle name="20% - Accent4 2 2 4" xfId="329" xr:uid="{00000000-0005-0000-0000-0000CF000000}"/>
    <cellStyle name="20% - Accent4 2 2 4 2" xfId="810" xr:uid="{00000000-0005-0000-0000-0000D0000000}"/>
    <cellStyle name="20% - Accent4 2 2 5" xfId="570" xr:uid="{00000000-0005-0000-0000-0000D1000000}"/>
    <cellStyle name="20% - Accent4 2 3" xfId="118" xr:uid="{00000000-0005-0000-0000-0000D2000000}"/>
    <cellStyle name="20% - Accent4 2 3 2" xfId="239" xr:uid="{00000000-0005-0000-0000-0000D3000000}"/>
    <cellStyle name="20% - Accent4 2 3 2 2" xfId="480" xr:uid="{00000000-0005-0000-0000-0000D4000000}"/>
    <cellStyle name="20% - Accent4 2 3 2 2 2" xfId="961" xr:uid="{00000000-0005-0000-0000-0000D5000000}"/>
    <cellStyle name="20% - Accent4 2 3 2 3" xfId="721" xr:uid="{00000000-0005-0000-0000-0000D6000000}"/>
    <cellStyle name="20% - Accent4 2 3 3" xfId="360" xr:uid="{00000000-0005-0000-0000-0000D7000000}"/>
    <cellStyle name="20% - Accent4 2 3 3 2" xfId="841" xr:uid="{00000000-0005-0000-0000-0000D8000000}"/>
    <cellStyle name="20% - Accent4 2 3 4" xfId="601" xr:uid="{00000000-0005-0000-0000-0000D9000000}"/>
    <cellStyle name="20% - Accent4 2 4" xfId="179" xr:uid="{00000000-0005-0000-0000-0000DA000000}"/>
    <cellStyle name="20% - Accent4 2 4 2" xfId="420" xr:uid="{00000000-0005-0000-0000-0000DB000000}"/>
    <cellStyle name="20% - Accent4 2 4 2 2" xfId="901" xr:uid="{00000000-0005-0000-0000-0000DC000000}"/>
    <cellStyle name="20% - Accent4 2 4 3" xfId="661" xr:uid="{00000000-0005-0000-0000-0000DD000000}"/>
    <cellStyle name="20% - Accent4 2 5" xfId="300" xr:uid="{00000000-0005-0000-0000-0000DE000000}"/>
    <cellStyle name="20% - Accent4 2 5 2" xfId="781" xr:uid="{00000000-0005-0000-0000-0000DF000000}"/>
    <cellStyle name="20% - Accent4 2 6" xfId="541" xr:uid="{00000000-0005-0000-0000-0000E0000000}"/>
    <cellStyle name="20% - Accent4 3" xfId="70" xr:uid="{00000000-0005-0000-0000-0000E1000000}"/>
    <cellStyle name="20% - Accent4 3 2" xfId="131" xr:uid="{00000000-0005-0000-0000-0000E2000000}"/>
    <cellStyle name="20% - Accent4 3 2 2" xfId="252" xr:uid="{00000000-0005-0000-0000-0000E3000000}"/>
    <cellStyle name="20% - Accent4 3 2 2 2" xfId="493" xr:uid="{00000000-0005-0000-0000-0000E4000000}"/>
    <cellStyle name="20% - Accent4 3 2 2 2 2" xfId="974" xr:uid="{00000000-0005-0000-0000-0000E5000000}"/>
    <cellStyle name="20% - Accent4 3 2 2 3" xfId="734" xr:uid="{00000000-0005-0000-0000-0000E6000000}"/>
    <cellStyle name="20% - Accent4 3 2 3" xfId="373" xr:uid="{00000000-0005-0000-0000-0000E7000000}"/>
    <cellStyle name="20% - Accent4 3 2 3 2" xfId="854" xr:uid="{00000000-0005-0000-0000-0000E8000000}"/>
    <cellStyle name="20% - Accent4 3 2 4" xfId="614" xr:uid="{00000000-0005-0000-0000-0000E9000000}"/>
    <cellStyle name="20% - Accent4 3 3" xfId="192" xr:uid="{00000000-0005-0000-0000-0000EA000000}"/>
    <cellStyle name="20% - Accent4 3 3 2" xfId="433" xr:uid="{00000000-0005-0000-0000-0000EB000000}"/>
    <cellStyle name="20% - Accent4 3 3 2 2" xfId="914" xr:uid="{00000000-0005-0000-0000-0000EC000000}"/>
    <cellStyle name="20% - Accent4 3 3 3" xfId="674" xr:uid="{00000000-0005-0000-0000-0000ED000000}"/>
    <cellStyle name="20% - Accent4 3 4" xfId="313" xr:uid="{00000000-0005-0000-0000-0000EE000000}"/>
    <cellStyle name="20% - Accent4 3 4 2" xfId="794" xr:uid="{00000000-0005-0000-0000-0000EF000000}"/>
    <cellStyle name="20% - Accent4 3 5" xfId="554" xr:uid="{00000000-0005-0000-0000-0000F0000000}"/>
    <cellStyle name="20% - Accent4 4" xfId="99" xr:uid="{00000000-0005-0000-0000-0000F1000000}"/>
    <cellStyle name="20% - Accent4 4 2" xfId="221" xr:uid="{00000000-0005-0000-0000-0000F2000000}"/>
    <cellStyle name="20% - Accent4 4 2 2" xfId="462" xr:uid="{00000000-0005-0000-0000-0000F3000000}"/>
    <cellStyle name="20% - Accent4 4 2 2 2" xfId="943" xr:uid="{00000000-0005-0000-0000-0000F4000000}"/>
    <cellStyle name="20% - Accent4 4 2 3" xfId="703" xr:uid="{00000000-0005-0000-0000-0000F5000000}"/>
    <cellStyle name="20% - Accent4 4 3" xfId="342" xr:uid="{00000000-0005-0000-0000-0000F6000000}"/>
    <cellStyle name="20% - Accent4 4 3 2" xfId="823" xr:uid="{00000000-0005-0000-0000-0000F7000000}"/>
    <cellStyle name="20% - Accent4 4 4" xfId="583" xr:uid="{00000000-0005-0000-0000-0000F8000000}"/>
    <cellStyle name="20% - Accent4 5" xfId="160" xr:uid="{00000000-0005-0000-0000-0000F9000000}"/>
    <cellStyle name="20% - Accent4 5 2" xfId="402" xr:uid="{00000000-0005-0000-0000-0000FA000000}"/>
    <cellStyle name="20% - Accent4 5 2 2" xfId="883" xr:uid="{00000000-0005-0000-0000-0000FB000000}"/>
    <cellStyle name="20% - Accent4 5 3" xfId="643" xr:uid="{00000000-0005-0000-0000-0000FC000000}"/>
    <cellStyle name="20% - Accent4 6" xfId="281" xr:uid="{00000000-0005-0000-0000-0000FD000000}"/>
    <cellStyle name="20% - Accent4 6 2" xfId="763" xr:uid="{00000000-0005-0000-0000-0000FE000000}"/>
    <cellStyle name="20% - Accent4 7" xfId="522" xr:uid="{00000000-0005-0000-0000-0000FF000000}"/>
    <cellStyle name="20% - Accent5" xfId="37" builtinId="46" customBuiltin="1"/>
    <cellStyle name="20% - Accent5 2" xfId="59" xr:uid="{00000000-0005-0000-0000-000001010000}"/>
    <cellStyle name="20% - Accent5 2 2" xfId="88" xr:uid="{00000000-0005-0000-0000-000002010000}"/>
    <cellStyle name="20% - Accent5 2 2 2" xfId="149" xr:uid="{00000000-0005-0000-0000-000003010000}"/>
    <cellStyle name="20% - Accent5 2 2 2 2" xfId="270" xr:uid="{00000000-0005-0000-0000-000004010000}"/>
    <cellStyle name="20% - Accent5 2 2 2 2 2" xfId="511" xr:uid="{00000000-0005-0000-0000-000005010000}"/>
    <cellStyle name="20% - Accent5 2 2 2 2 2 2" xfId="992" xr:uid="{00000000-0005-0000-0000-000006010000}"/>
    <cellStyle name="20% - Accent5 2 2 2 2 3" xfId="752" xr:uid="{00000000-0005-0000-0000-000007010000}"/>
    <cellStyle name="20% - Accent5 2 2 2 3" xfId="391" xr:uid="{00000000-0005-0000-0000-000008010000}"/>
    <cellStyle name="20% - Accent5 2 2 2 3 2" xfId="872" xr:uid="{00000000-0005-0000-0000-000009010000}"/>
    <cellStyle name="20% - Accent5 2 2 2 4" xfId="632" xr:uid="{00000000-0005-0000-0000-00000A010000}"/>
    <cellStyle name="20% - Accent5 2 2 3" xfId="210" xr:uid="{00000000-0005-0000-0000-00000B010000}"/>
    <cellStyle name="20% - Accent5 2 2 3 2" xfId="451" xr:uid="{00000000-0005-0000-0000-00000C010000}"/>
    <cellStyle name="20% - Accent5 2 2 3 2 2" xfId="932" xr:uid="{00000000-0005-0000-0000-00000D010000}"/>
    <cellStyle name="20% - Accent5 2 2 3 3" xfId="692" xr:uid="{00000000-0005-0000-0000-00000E010000}"/>
    <cellStyle name="20% - Accent5 2 2 4" xfId="331" xr:uid="{00000000-0005-0000-0000-00000F010000}"/>
    <cellStyle name="20% - Accent5 2 2 4 2" xfId="812" xr:uid="{00000000-0005-0000-0000-000010010000}"/>
    <cellStyle name="20% - Accent5 2 2 5" xfId="572" xr:uid="{00000000-0005-0000-0000-000011010000}"/>
    <cellStyle name="20% - Accent5 2 3" xfId="120" xr:uid="{00000000-0005-0000-0000-000012010000}"/>
    <cellStyle name="20% - Accent5 2 3 2" xfId="241" xr:uid="{00000000-0005-0000-0000-000013010000}"/>
    <cellStyle name="20% - Accent5 2 3 2 2" xfId="482" xr:uid="{00000000-0005-0000-0000-000014010000}"/>
    <cellStyle name="20% - Accent5 2 3 2 2 2" xfId="963" xr:uid="{00000000-0005-0000-0000-000015010000}"/>
    <cellStyle name="20% - Accent5 2 3 2 3" xfId="723" xr:uid="{00000000-0005-0000-0000-000016010000}"/>
    <cellStyle name="20% - Accent5 2 3 3" xfId="362" xr:uid="{00000000-0005-0000-0000-000017010000}"/>
    <cellStyle name="20% - Accent5 2 3 3 2" xfId="843" xr:uid="{00000000-0005-0000-0000-000018010000}"/>
    <cellStyle name="20% - Accent5 2 3 4" xfId="603" xr:uid="{00000000-0005-0000-0000-000019010000}"/>
    <cellStyle name="20% - Accent5 2 4" xfId="181" xr:uid="{00000000-0005-0000-0000-00001A010000}"/>
    <cellStyle name="20% - Accent5 2 4 2" xfId="422" xr:uid="{00000000-0005-0000-0000-00001B010000}"/>
    <cellStyle name="20% - Accent5 2 4 2 2" xfId="903" xr:uid="{00000000-0005-0000-0000-00001C010000}"/>
    <cellStyle name="20% - Accent5 2 4 3" xfId="663" xr:uid="{00000000-0005-0000-0000-00001D010000}"/>
    <cellStyle name="20% - Accent5 2 5" xfId="302" xr:uid="{00000000-0005-0000-0000-00001E010000}"/>
    <cellStyle name="20% - Accent5 2 5 2" xfId="783" xr:uid="{00000000-0005-0000-0000-00001F010000}"/>
    <cellStyle name="20% - Accent5 2 6" xfId="543" xr:uid="{00000000-0005-0000-0000-000020010000}"/>
    <cellStyle name="20% - Accent5 3" xfId="72" xr:uid="{00000000-0005-0000-0000-000021010000}"/>
    <cellStyle name="20% - Accent5 3 2" xfId="133" xr:uid="{00000000-0005-0000-0000-000022010000}"/>
    <cellStyle name="20% - Accent5 3 2 2" xfId="254" xr:uid="{00000000-0005-0000-0000-000023010000}"/>
    <cellStyle name="20% - Accent5 3 2 2 2" xfId="495" xr:uid="{00000000-0005-0000-0000-000024010000}"/>
    <cellStyle name="20% - Accent5 3 2 2 2 2" xfId="976" xr:uid="{00000000-0005-0000-0000-000025010000}"/>
    <cellStyle name="20% - Accent5 3 2 2 3" xfId="736" xr:uid="{00000000-0005-0000-0000-000026010000}"/>
    <cellStyle name="20% - Accent5 3 2 3" xfId="375" xr:uid="{00000000-0005-0000-0000-000027010000}"/>
    <cellStyle name="20% - Accent5 3 2 3 2" xfId="856" xr:uid="{00000000-0005-0000-0000-000028010000}"/>
    <cellStyle name="20% - Accent5 3 2 4" xfId="616" xr:uid="{00000000-0005-0000-0000-000029010000}"/>
    <cellStyle name="20% - Accent5 3 3" xfId="194" xr:uid="{00000000-0005-0000-0000-00002A010000}"/>
    <cellStyle name="20% - Accent5 3 3 2" xfId="435" xr:uid="{00000000-0005-0000-0000-00002B010000}"/>
    <cellStyle name="20% - Accent5 3 3 2 2" xfId="916" xr:uid="{00000000-0005-0000-0000-00002C010000}"/>
    <cellStyle name="20% - Accent5 3 3 3" xfId="676" xr:uid="{00000000-0005-0000-0000-00002D010000}"/>
    <cellStyle name="20% - Accent5 3 4" xfId="315" xr:uid="{00000000-0005-0000-0000-00002E010000}"/>
    <cellStyle name="20% - Accent5 3 4 2" xfId="796" xr:uid="{00000000-0005-0000-0000-00002F010000}"/>
    <cellStyle name="20% - Accent5 3 5" xfId="556" xr:uid="{00000000-0005-0000-0000-000030010000}"/>
    <cellStyle name="20% - Accent5 4" xfId="101" xr:uid="{00000000-0005-0000-0000-000031010000}"/>
    <cellStyle name="20% - Accent5 4 2" xfId="223" xr:uid="{00000000-0005-0000-0000-000032010000}"/>
    <cellStyle name="20% - Accent5 4 2 2" xfId="464" xr:uid="{00000000-0005-0000-0000-000033010000}"/>
    <cellStyle name="20% - Accent5 4 2 2 2" xfId="945" xr:uid="{00000000-0005-0000-0000-000034010000}"/>
    <cellStyle name="20% - Accent5 4 2 3" xfId="705" xr:uid="{00000000-0005-0000-0000-000035010000}"/>
    <cellStyle name="20% - Accent5 4 3" xfId="344" xr:uid="{00000000-0005-0000-0000-000036010000}"/>
    <cellStyle name="20% - Accent5 4 3 2" xfId="825" xr:uid="{00000000-0005-0000-0000-000037010000}"/>
    <cellStyle name="20% - Accent5 4 4" xfId="585" xr:uid="{00000000-0005-0000-0000-000038010000}"/>
    <cellStyle name="20% - Accent5 5" xfId="162" xr:uid="{00000000-0005-0000-0000-000039010000}"/>
    <cellStyle name="20% - Accent5 5 2" xfId="404" xr:uid="{00000000-0005-0000-0000-00003A010000}"/>
    <cellStyle name="20% - Accent5 5 2 2" xfId="885" xr:uid="{00000000-0005-0000-0000-00003B010000}"/>
    <cellStyle name="20% - Accent5 5 3" xfId="645" xr:uid="{00000000-0005-0000-0000-00003C010000}"/>
    <cellStyle name="20% - Accent5 6" xfId="283" xr:uid="{00000000-0005-0000-0000-00003D010000}"/>
    <cellStyle name="20% - Accent5 6 2" xfId="765" xr:uid="{00000000-0005-0000-0000-00003E010000}"/>
    <cellStyle name="20% - Accent5 7" xfId="524" xr:uid="{00000000-0005-0000-0000-00003F010000}"/>
    <cellStyle name="20% - Accent6" xfId="41" builtinId="50" customBuiltin="1"/>
    <cellStyle name="20% - Accent6 2" xfId="61" xr:uid="{00000000-0005-0000-0000-000041010000}"/>
    <cellStyle name="20% - Accent6 2 2" xfId="90" xr:uid="{00000000-0005-0000-0000-000042010000}"/>
    <cellStyle name="20% - Accent6 2 2 2" xfId="151" xr:uid="{00000000-0005-0000-0000-000043010000}"/>
    <cellStyle name="20% - Accent6 2 2 2 2" xfId="272" xr:uid="{00000000-0005-0000-0000-000044010000}"/>
    <cellStyle name="20% - Accent6 2 2 2 2 2" xfId="513" xr:uid="{00000000-0005-0000-0000-000045010000}"/>
    <cellStyle name="20% - Accent6 2 2 2 2 2 2" xfId="994" xr:uid="{00000000-0005-0000-0000-000046010000}"/>
    <cellStyle name="20% - Accent6 2 2 2 2 3" xfId="754" xr:uid="{00000000-0005-0000-0000-000047010000}"/>
    <cellStyle name="20% - Accent6 2 2 2 3" xfId="393" xr:uid="{00000000-0005-0000-0000-000048010000}"/>
    <cellStyle name="20% - Accent6 2 2 2 3 2" xfId="874" xr:uid="{00000000-0005-0000-0000-000049010000}"/>
    <cellStyle name="20% - Accent6 2 2 2 4" xfId="634" xr:uid="{00000000-0005-0000-0000-00004A010000}"/>
    <cellStyle name="20% - Accent6 2 2 3" xfId="212" xr:uid="{00000000-0005-0000-0000-00004B010000}"/>
    <cellStyle name="20% - Accent6 2 2 3 2" xfId="453" xr:uid="{00000000-0005-0000-0000-00004C010000}"/>
    <cellStyle name="20% - Accent6 2 2 3 2 2" xfId="934" xr:uid="{00000000-0005-0000-0000-00004D010000}"/>
    <cellStyle name="20% - Accent6 2 2 3 3" xfId="694" xr:uid="{00000000-0005-0000-0000-00004E010000}"/>
    <cellStyle name="20% - Accent6 2 2 4" xfId="333" xr:uid="{00000000-0005-0000-0000-00004F010000}"/>
    <cellStyle name="20% - Accent6 2 2 4 2" xfId="814" xr:uid="{00000000-0005-0000-0000-000050010000}"/>
    <cellStyle name="20% - Accent6 2 2 5" xfId="574" xr:uid="{00000000-0005-0000-0000-000051010000}"/>
    <cellStyle name="20% - Accent6 2 3" xfId="122" xr:uid="{00000000-0005-0000-0000-000052010000}"/>
    <cellStyle name="20% - Accent6 2 3 2" xfId="243" xr:uid="{00000000-0005-0000-0000-000053010000}"/>
    <cellStyle name="20% - Accent6 2 3 2 2" xfId="484" xr:uid="{00000000-0005-0000-0000-000054010000}"/>
    <cellStyle name="20% - Accent6 2 3 2 2 2" xfId="965" xr:uid="{00000000-0005-0000-0000-000055010000}"/>
    <cellStyle name="20% - Accent6 2 3 2 3" xfId="725" xr:uid="{00000000-0005-0000-0000-000056010000}"/>
    <cellStyle name="20% - Accent6 2 3 3" xfId="364" xr:uid="{00000000-0005-0000-0000-000057010000}"/>
    <cellStyle name="20% - Accent6 2 3 3 2" xfId="845" xr:uid="{00000000-0005-0000-0000-000058010000}"/>
    <cellStyle name="20% - Accent6 2 3 4" xfId="605" xr:uid="{00000000-0005-0000-0000-000059010000}"/>
    <cellStyle name="20% - Accent6 2 4" xfId="183" xr:uid="{00000000-0005-0000-0000-00005A010000}"/>
    <cellStyle name="20% - Accent6 2 4 2" xfId="424" xr:uid="{00000000-0005-0000-0000-00005B010000}"/>
    <cellStyle name="20% - Accent6 2 4 2 2" xfId="905" xr:uid="{00000000-0005-0000-0000-00005C010000}"/>
    <cellStyle name="20% - Accent6 2 4 3" xfId="665" xr:uid="{00000000-0005-0000-0000-00005D010000}"/>
    <cellStyle name="20% - Accent6 2 5" xfId="304" xr:uid="{00000000-0005-0000-0000-00005E010000}"/>
    <cellStyle name="20% - Accent6 2 5 2" xfId="785" xr:uid="{00000000-0005-0000-0000-00005F010000}"/>
    <cellStyle name="20% - Accent6 2 6" xfId="545" xr:uid="{00000000-0005-0000-0000-000060010000}"/>
    <cellStyle name="20% - Accent6 3" xfId="74" xr:uid="{00000000-0005-0000-0000-000061010000}"/>
    <cellStyle name="20% - Accent6 3 2" xfId="135" xr:uid="{00000000-0005-0000-0000-000062010000}"/>
    <cellStyle name="20% - Accent6 3 2 2" xfId="256" xr:uid="{00000000-0005-0000-0000-000063010000}"/>
    <cellStyle name="20% - Accent6 3 2 2 2" xfId="497" xr:uid="{00000000-0005-0000-0000-000064010000}"/>
    <cellStyle name="20% - Accent6 3 2 2 2 2" xfId="978" xr:uid="{00000000-0005-0000-0000-000065010000}"/>
    <cellStyle name="20% - Accent6 3 2 2 3" xfId="738" xr:uid="{00000000-0005-0000-0000-000066010000}"/>
    <cellStyle name="20% - Accent6 3 2 3" xfId="377" xr:uid="{00000000-0005-0000-0000-000067010000}"/>
    <cellStyle name="20% - Accent6 3 2 3 2" xfId="858" xr:uid="{00000000-0005-0000-0000-000068010000}"/>
    <cellStyle name="20% - Accent6 3 2 4" xfId="618" xr:uid="{00000000-0005-0000-0000-000069010000}"/>
    <cellStyle name="20% - Accent6 3 3" xfId="196" xr:uid="{00000000-0005-0000-0000-00006A010000}"/>
    <cellStyle name="20% - Accent6 3 3 2" xfId="437" xr:uid="{00000000-0005-0000-0000-00006B010000}"/>
    <cellStyle name="20% - Accent6 3 3 2 2" xfId="918" xr:uid="{00000000-0005-0000-0000-00006C010000}"/>
    <cellStyle name="20% - Accent6 3 3 3" xfId="678" xr:uid="{00000000-0005-0000-0000-00006D010000}"/>
    <cellStyle name="20% - Accent6 3 4" xfId="317" xr:uid="{00000000-0005-0000-0000-00006E010000}"/>
    <cellStyle name="20% - Accent6 3 4 2" xfId="798" xr:uid="{00000000-0005-0000-0000-00006F010000}"/>
    <cellStyle name="20% - Accent6 3 5" xfId="558" xr:uid="{00000000-0005-0000-0000-000070010000}"/>
    <cellStyle name="20% - Accent6 4" xfId="103" xr:uid="{00000000-0005-0000-0000-000071010000}"/>
    <cellStyle name="20% - Accent6 4 2" xfId="225" xr:uid="{00000000-0005-0000-0000-000072010000}"/>
    <cellStyle name="20% - Accent6 4 2 2" xfId="466" xr:uid="{00000000-0005-0000-0000-000073010000}"/>
    <cellStyle name="20% - Accent6 4 2 2 2" xfId="947" xr:uid="{00000000-0005-0000-0000-000074010000}"/>
    <cellStyle name="20% - Accent6 4 2 3" xfId="707" xr:uid="{00000000-0005-0000-0000-000075010000}"/>
    <cellStyle name="20% - Accent6 4 3" xfId="346" xr:uid="{00000000-0005-0000-0000-000076010000}"/>
    <cellStyle name="20% - Accent6 4 3 2" xfId="827" xr:uid="{00000000-0005-0000-0000-000077010000}"/>
    <cellStyle name="20% - Accent6 4 4" xfId="587" xr:uid="{00000000-0005-0000-0000-000078010000}"/>
    <cellStyle name="20% - Accent6 5" xfId="164" xr:uid="{00000000-0005-0000-0000-000079010000}"/>
    <cellStyle name="20% - Accent6 5 2" xfId="406" xr:uid="{00000000-0005-0000-0000-00007A010000}"/>
    <cellStyle name="20% - Accent6 5 2 2" xfId="887" xr:uid="{00000000-0005-0000-0000-00007B010000}"/>
    <cellStyle name="20% - Accent6 5 3" xfId="647" xr:uid="{00000000-0005-0000-0000-00007C010000}"/>
    <cellStyle name="20% - Accent6 6" xfId="285" xr:uid="{00000000-0005-0000-0000-00007D010000}"/>
    <cellStyle name="20% - Accent6 6 2" xfId="767" xr:uid="{00000000-0005-0000-0000-00007E010000}"/>
    <cellStyle name="20% - Accent6 7" xfId="526" xr:uid="{00000000-0005-0000-0000-00007F010000}"/>
    <cellStyle name="40% - Accent1" xfId="22" builtinId="31" customBuiltin="1"/>
    <cellStyle name="40% - Accent1 2" xfId="52" xr:uid="{00000000-0005-0000-0000-000081010000}"/>
    <cellStyle name="40% - Accent1 2 2" xfId="81" xr:uid="{00000000-0005-0000-0000-000082010000}"/>
    <cellStyle name="40% - Accent1 2 2 2" xfId="142" xr:uid="{00000000-0005-0000-0000-000083010000}"/>
    <cellStyle name="40% - Accent1 2 2 2 2" xfId="263" xr:uid="{00000000-0005-0000-0000-000084010000}"/>
    <cellStyle name="40% - Accent1 2 2 2 2 2" xfId="504" xr:uid="{00000000-0005-0000-0000-000085010000}"/>
    <cellStyle name="40% - Accent1 2 2 2 2 2 2" xfId="985" xr:uid="{00000000-0005-0000-0000-000086010000}"/>
    <cellStyle name="40% - Accent1 2 2 2 2 3" xfId="745" xr:uid="{00000000-0005-0000-0000-000087010000}"/>
    <cellStyle name="40% - Accent1 2 2 2 3" xfId="384" xr:uid="{00000000-0005-0000-0000-000088010000}"/>
    <cellStyle name="40% - Accent1 2 2 2 3 2" xfId="865" xr:uid="{00000000-0005-0000-0000-000089010000}"/>
    <cellStyle name="40% - Accent1 2 2 2 4" xfId="625" xr:uid="{00000000-0005-0000-0000-00008A010000}"/>
    <cellStyle name="40% - Accent1 2 2 3" xfId="203" xr:uid="{00000000-0005-0000-0000-00008B010000}"/>
    <cellStyle name="40% - Accent1 2 2 3 2" xfId="444" xr:uid="{00000000-0005-0000-0000-00008C010000}"/>
    <cellStyle name="40% - Accent1 2 2 3 2 2" xfId="925" xr:uid="{00000000-0005-0000-0000-00008D010000}"/>
    <cellStyle name="40% - Accent1 2 2 3 3" xfId="685" xr:uid="{00000000-0005-0000-0000-00008E010000}"/>
    <cellStyle name="40% - Accent1 2 2 4" xfId="324" xr:uid="{00000000-0005-0000-0000-00008F010000}"/>
    <cellStyle name="40% - Accent1 2 2 4 2" xfId="805" xr:uid="{00000000-0005-0000-0000-000090010000}"/>
    <cellStyle name="40% - Accent1 2 2 5" xfId="565" xr:uid="{00000000-0005-0000-0000-000091010000}"/>
    <cellStyle name="40% - Accent1 2 3" xfId="113" xr:uid="{00000000-0005-0000-0000-000092010000}"/>
    <cellStyle name="40% - Accent1 2 3 2" xfId="234" xr:uid="{00000000-0005-0000-0000-000093010000}"/>
    <cellStyle name="40% - Accent1 2 3 2 2" xfId="475" xr:uid="{00000000-0005-0000-0000-000094010000}"/>
    <cellStyle name="40% - Accent1 2 3 2 2 2" xfId="956" xr:uid="{00000000-0005-0000-0000-000095010000}"/>
    <cellStyle name="40% - Accent1 2 3 2 3" xfId="716" xr:uid="{00000000-0005-0000-0000-000096010000}"/>
    <cellStyle name="40% - Accent1 2 3 3" xfId="355" xr:uid="{00000000-0005-0000-0000-000097010000}"/>
    <cellStyle name="40% - Accent1 2 3 3 2" xfId="836" xr:uid="{00000000-0005-0000-0000-000098010000}"/>
    <cellStyle name="40% - Accent1 2 3 4" xfId="596" xr:uid="{00000000-0005-0000-0000-000099010000}"/>
    <cellStyle name="40% - Accent1 2 4" xfId="174" xr:uid="{00000000-0005-0000-0000-00009A010000}"/>
    <cellStyle name="40% - Accent1 2 4 2" xfId="415" xr:uid="{00000000-0005-0000-0000-00009B010000}"/>
    <cellStyle name="40% - Accent1 2 4 2 2" xfId="896" xr:uid="{00000000-0005-0000-0000-00009C010000}"/>
    <cellStyle name="40% - Accent1 2 4 3" xfId="656" xr:uid="{00000000-0005-0000-0000-00009D010000}"/>
    <cellStyle name="40% - Accent1 2 5" xfId="295" xr:uid="{00000000-0005-0000-0000-00009E010000}"/>
    <cellStyle name="40% - Accent1 2 5 2" xfId="776" xr:uid="{00000000-0005-0000-0000-00009F010000}"/>
    <cellStyle name="40% - Accent1 2 6" xfId="536" xr:uid="{00000000-0005-0000-0000-0000A0010000}"/>
    <cellStyle name="40% - Accent1 3" xfId="65" xr:uid="{00000000-0005-0000-0000-0000A1010000}"/>
    <cellStyle name="40% - Accent1 3 2" xfId="126" xr:uid="{00000000-0005-0000-0000-0000A2010000}"/>
    <cellStyle name="40% - Accent1 3 2 2" xfId="247" xr:uid="{00000000-0005-0000-0000-0000A3010000}"/>
    <cellStyle name="40% - Accent1 3 2 2 2" xfId="488" xr:uid="{00000000-0005-0000-0000-0000A4010000}"/>
    <cellStyle name="40% - Accent1 3 2 2 2 2" xfId="969" xr:uid="{00000000-0005-0000-0000-0000A5010000}"/>
    <cellStyle name="40% - Accent1 3 2 2 3" xfId="729" xr:uid="{00000000-0005-0000-0000-0000A6010000}"/>
    <cellStyle name="40% - Accent1 3 2 3" xfId="368" xr:uid="{00000000-0005-0000-0000-0000A7010000}"/>
    <cellStyle name="40% - Accent1 3 2 3 2" xfId="849" xr:uid="{00000000-0005-0000-0000-0000A8010000}"/>
    <cellStyle name="40% - Accent1 3 2 4" xfId="609" xr:uid="{00000000-0005-0000-0000-0000A9010000}"/>
    <cellStyle name="40% - Accent1 3 3" xfId="187" xr:uid="{00000000-0005-0000-0000-0000AA010000}"/>
    <cellStyle name="40% - Accent1 3 3 2" xfId="428" xr:uid="{00000000-0005-0000-0000-0000AB010000}"/>
    <cellStyle name="40% - Accent1 3 3 2 2" xfId="909" xr:uid="{00000000-0005-0000-0000-0000AC010000}"/>
    <cellStyle name="40% - Accent1 3 3 3" xfId="669" xr:uid="{00000000-0005-0000-0000-0000AD010000}"/>
    <cellStyle name="40% - Accent1 3 4" xfId="308" xr:uid="{00000000-0005-0000-0000-0000AE010000}"/>
    <cellStyle name="40% - Accent1 3 4 2" xfId="789" xr:uid="{00000000-0005-0000-0000-0000AF010000}"/>
    <cellStyle name="40% - Accent1 3 5" xfId="549" xr:uid="{00000000-0005-0000-0000-0000B0010000}"/>
    <cellStyle name="40% - Accent1 4" xfId="94" xr:uid="{00000000-0005-0000-0000-0000B1010000}"/>
    <cellStyle name="40% - Accent1 4 2" xfId="216" xr:uid="{00000000-0005-0000-0000-0000B2010000}"/>
    <cellStyle name="40% - Accent1 4 2 2" xfId="457" xr:uid="{00000000-0005-0000-0000-0000B3010000}"/>
    <cellStyle name="40% - Accent1 4 2 2 2" xfId="938" xr:uid="{00000000-0005-0000-0000-0000B4010000}"/>
    <cellStyle name="40% - Accent1 4 2 3" xfId="698" xr:uid="{00000000-0005-0000-0000-0000B5010000}"/>
    <cellStyle name="40% - Accent1 4 3" xfId="337" xr:uid="{00000000-0005-0000-0000-0000B6010000}"/>
    <cellStyle name="40% - Accent1 4 3 2" xfId="818" xr:uid="{00000000-0005-0000-0000-0000B7010000}"/>
    <cellStyle name="40% - Accent1 4 4" xfId="578" xr:uid="{00000000-0005-0000-0000-0000B8010000}"/>
    <cellStyle name="40% - Accent1 5" xfId="155" xr:uid="{00000000-0005-0000-0000-0000B9010000}"/>
    <cellStyle name="40% - Accent1 5 2" xfId="397" xr:uid="{00000000-0005-0000-0000-0000BA010000}"/>
    <cellStyle name="40% - Accent1 5 2 2" xfId="878" xr:uid="{00000000-0005-0000-0000-0000BB010000}"/>
    <cellStyle name="40% - Accent1 5 3" xfId="638" xr:uid="{00000000-0005-0000-0000-0000BC010000}"/>
    <cellStyle name="40% - Accent1 6" xfId="276" xr:uid="{00000000-0005-0000-0000-0000BD010000}"/>
    <cellStyle name="40% - Accent1 6 2" xfId="758" xr:uid="{00000000-0005-0000-0000-0000BE010000}"/>
    <cellStyle name="40% - Accent1 7" xfId="517" xr:uid="{00000000-0005-0000-0000-0000BF010000}"/>
    <cellStyle name="40% - Accent2" xfId="26" builtinId="35" customBuiltin="1"/>
    <cellStyle name="40% - Accent2 2" xfId="54" xr:uid="{00000000-0005-0000-0000-0000C1010000}"/>
    <cellStyle name="40% - Accent2 2 2" xfId="83" xr:uid="{00000000-0005-0000-0000-0000C2010000}"/>
    <cellStyle name="40% - Accent2 2 2 2" xfId="144" xr:uid="{00000000-0005-0000-0000-0000C3010000}"/>
    <cellStyle name="40% - Accent2 2 2 2 2" xfId="265" xr:uid="{00000000-0005-0000-0000-0000C4010000}"/>
    <cellStyle name="40% - Accent2 2 2 2 2 2" xfId="506" xr:uid="{00000000-0005-0000-0000-0000C5010000}"/>
    <cellStyle name="40% - Accent2 2 2 2 2 2 2" xfId="987" xr:uid="{00000000-0005-0000-0000-0000C6010000}"/>
    <cellStyle name="40% - Accent2 2 2 2 2 3" xfId="747" xr:uid="{00000000-0005-0000-0000-0000C7010000}"/>
    <cellStyle name="40% - Accent2 2 2 2 3" xfId="386" xr:uid="{00000000-0005-0000-0000-0000C8010000}"/>
    <cellStyle name="40% - Accent2 2 2 2 3 2" xfId="867" xr:uid="{00000000-0005-0000-0000-0000C9010000}"/>
    <cellStyle name="40% - Accent2 2 2 2 4" xfId="627" xr:uid="{00000000-0005-0000-0000-0000CA010000}"/>
    <cellStyle name="40% - Accent2 2 2 3" xfId="205" xr:uid="{00000000-0005-0000-0000-0000CB010000}"/>
    <cellStyle name="40% - Accent2 2 2 3 2" xfId="446" xr:uid="{00000000-0005-0000-0000-0000CC010000}"/>
    <cellStyle name="40% - Accent2 2 2 3 2 2" xfId="927" xr:uid="{00000000-0005-0000-0000-0000CD010000}"/>
    <cellStyle name="40% - Accent2 2 2 3 3" xfId="687" xr:uid="{00000000-0005-0000-0000-0000CE010000}"/>
    <cellStyle name="40% - Accent2 2 2 4" xfId="326" xr:uid="{00000000-0005-0000-0000-0000CF010000}"/>
    <cellStyle name="40% - Accent2 2 2 4 2" xfId="807" xr:uid="{00000000-0005-0000-0000-0000D0010000}"/>
    <cellStyle name="40% - Accent2 2 2 5" xfId="567" xr:uid="{00000000-0005-0000-0000-0000D1010000}"/>
    <cellStyle name="40% - Accent2 2 3" xfId="115" xr:uid="{00000000-0005-0000-0000-0000D2010000}"/>
    <cellStyle name="40% - Accent2 2 3 2" xfId="236" xr:uid="{00000000-0005-0000-0000-0000D3010000}"/>
    <cellStyle name="40% - Accent2 2 3 2 2" xfId="477" xr:uid="{00000000-0005-0000-0000-0000D4010000}"/>
    <cellStyle name="40% - Accent2 2 3 2 2 2" xfId="958" xr:uid="{00000000-0005-0000-0000-0000D5010000}"/>
    <cellStyle name="40% - Accent2 2 3 2 3" xfId="718" xr:uid="{00000000-0005-0000-0000-0000D6010000}"/>
    <cellStyle name="40% - Accent2 2 3 3" xfId="357" xr:uid="{00000000-0005-0000-0000-0000D7010000}"/>
    <cellStyle name="40% - Accent2 2 3 3 2" xfId="838" xr:uid="{00000000-0005-0000-0000-0000D8010000}"/>
    <cellStyle name="40% - Accent2 2 3 4" xfId="598" xr:uid="{00000000-0005-0000-0000-0000D9010000}"/>
    <cellStyle name="40% - Accent2 2 4" xfId="176" xr:uid="{00000000-0005-0000-0000-0000DA010000}"/>
    <cellStyle name="40% - Accent2 2 4 2" xfId="417" xr:uid="{00000000-0005-0000-0000-0000DB010000}"/>
    <cellStyle name="40% - Accent2 2 4 2 2" xfId="898" xr:uid="{00000000-0005-0000-0000-0000DC010000}"/>
    <cellStyle name="40% - Accent2 2 4 3" xfId="658" xr:uid="{00000000-0005-0000-0000-0000DD010000}"/>
    <cellStyle name="40% - Accent2 2 5" xfId="297" xr:uid="{00000000-0005-0000-0000-0000DE010000}"/>
    <cellStyle name="40% - Accent2 2 5 2" xfId="778" xr:uid="{00000000-0005-0000-0000-0000DF010000}"/>
    <cellStyle name="40% - Accent2 2 6" xfId="538" xr:uid="{00000000-0005-0000-0000-0000E0010000}"/>
    <cellStyle name="40% - Accent2 3" xfId="67" xr:uid="{00000000-0005-0000-0000-0000E1010000}"/>
    <cellStyle name="40% - Accent2 3 2" xfId="128" xr:uid="{00000000-0005-0000-0000-0000E2010000}"/>
    <cellStyle name="40% - Accent2 3 2 2" xfId="249" xr:uid="{00000000-0005-0000-0000-0000E3010000}"/>
    <cellStyle name="40% - Accent2 3 2 2 2" xfId="490" xr:uid="{00000000-0005-0000-0000-0000E4010000}"/>
    <cellStyle name="40% - Accent2 3 2 2 2 2" xfId="971" xr:uid="{00000000-0005-0000-0000-0000E5010000}"/>
    <cellStyle name="40% - Accent2 3 2 2 3" xfId="731" xr:uid="{00000000-0005-0000-0000-0000E6010000}"/>
    <cellStyle name="40% - Accent2 3 2 3" xfId="370" xr:uid="{00000000-0005-0000-0000-0000E7010000}"/>
    <cellStyle name="40% - Accent2 3 2 3 2" xfId="851" xr:uid="{00000000-0005-0000-0000-0000E8010000}"/>
    <cellStyle name="40% - Accent2 3 2 4" xfId="611" xr:uid="{00000000-0005-0000-0000-0000E9010000}"/>
    <cellStyle name="40% - Accent2 3 3" xfId="189" xr:uid="{00000000-0005-0000-0000-0000EA010000}"/>
    <cellStyle name="40% - Accent2 3 3 2" xfId="430" xr:uid="{00000000-0005-0000-0000-0000EB010000}"/>
    <cellStyle name="40% - Accent2 3 3 2 2" xfId="911" xr:uid="{00000000-0005-0000-0000-0000EC010000}"/>
    <cellStyle name="40% - Accent2 3 3 3" xfId="671" xr:uid="{00000000-0005-0000-0000-0000ED010000}"/>
    <cellStyle name="40% - Accent2 3 4" xfId="310" xr:uid="{00000000-0005-0000-0000-0000EE010000}"/>
    <cellStyle name="40% - Accent2 3 4 2" xfId="791" xr:uid="{00000000-0005-0000-0000-0000EF010000}"/>
    <cellStyle name="40% - Accent2 3 5" xfId="551" xr:uid="{00000000-0005-0000-0000-0000F0010000}"/>
    <cellStyle name="40% - Accent2 4" xfId="96" xr:uid="{00000000-0005-0000-0000-0000F1010000}"/>
    <cellStyle name="40% - Accent2 4 2" xfId="218" xr:uid="{00000000-0005-0000-0000-0000F2010000}"/>
    <cellStyle name="40% - Accent2 4 2 2" xfId="459" xr:uid="{00000000-0005-0000-0000-0000F3010000}"/>
    <cellStyle name="40% - Accent2 4 2 2 2" xfId="940" xr:uid="{00000000-0005-0000-0000-0000F4010000}"/>
    <cellStyle name="40% - Accent2 4 2 3" xfId="700" xr:uid="{00000000-0005-0000-0000-0000F5010000}"/>
    <cellStyle name="40% - Accent2 4 3" xfId="339" xr:uid="{00000000-0005-0000-0000-0000F6010000}"/>
    <cellStyle name="40% - Accent2 4 3 2" xfId="820" xr:uid="{00000000-0005-0000-0000-0000F7010000}"/>
    <cellStyle name="40% - Accent2 4 4" xfId="580" xr:uid="{00000000-0005-0000-0000-0000F8010000}"/>
    <cellStyle name="40% - Accent2 5" xfId="157" xr:uid="{00000000-0005-0000-0000-0000F9010000}"/>
    <cellStyle name="40% - Accent2 5 2" xfId="399" xr:uid="{00000000-0005-0000-0000-0000FA010000}"/>
    <cellStyle name="40% - Accent2 5 2 2" xfId="880" xr:uid="{00000000-0005-0000-0000-0000FB010000}"/>
    <cellStyle name="40% - Accent2 5 3" xfId="640" xr:uid="{00000000-0005-0000-0000-0000FC010000}"/>
    <cellStyle name="40% - Accent2 6" xfId="278" xr:uid="{00000000-0005-0000-0000-0000FD010000}"/>
    <cellStyle name="40% - Accent2 6 2" xfId="760" xr:uid="{00000000-0005-0000-0000-0000FE010000}"/>
    <cellStyle name="40% - Accent2 7" xfId="519" xr:uid="{00000000-0005-0000-0000-0000FF010000}"/>
    <cellStyle name="40% - Accent3" xfId="30" builtinId="39" customBuiltin="1"/>
    <cellStyle name="40% - Accent3 2" xfId="56" xr:uid="{00000000-0005-0000-0000-000001020000}"/>
    <cellStyle name="40% - Accent3 2 2" xfId="85" xr:uid="{00000000-0005-0000-0000-000002020000}"/>
    <cellStyle name="40% - Accent3 2 2 2" xfId="146" xr:uid="{00000000-0005-0000-0000-000003020000}"/>
    <cellStyle name="40% - Accent3 2 2 2 2" xfId="267" xr:uid="{00000000-0005-0000-0000-000004020000}"/>
    <cellStyle name="40% - Accent3 2 2 2 2 2" xfId="508" xr:uid="{00000000-0005-0000-0000-000005020000}"/>
    <cellStyle name="40% - Accent3 2 2 2 2 2 2" xfId="989" xr:uid="{00000000-0005-0000-0000-000006020000}"/>
    <cellStyle name="40% - Accent3 2 2 2 2 3" xfId="749" xr:uid="{00000000-0005-0000-0000-000007020000}"/>
    <cellStyle name="40% - Accent3 2 2 2 3" xfId="388" xr:uid="{00000000-0005-0000-0000-000008020000}"/>
    <cellStyle name="40% - Accent3 2 2 2 3 2" xfId="869" xr:uid="{00000000-0005-0000-0000-000009020000}"/>
    <cellStyle name="40% - Accent3 2 2 2 4" xfId="629" xr:uid="{00000000-0005-0000-0000-00000A020000}"/>
    <cellStyle name="40% - Accent3 2 2 3" xfId="207" xr:uid="{00000000-0005-0000-0000-00000B020000}"/>
    <cellStyle name="40% - Accent3 2 2 3 2" xfId="448" xr:uid="{00000000-0005-0000-0000-00000C020000}"/>
    <cellStyle name="40% - Accent3 2 2 3 2 2" xfId="929" xr:uid="{00000000-0005-0000-0000-00000D020000}"/>
    <cellStyle name="40% - Accent3 2 2 3 3" xfId="689" xr:uid="{00000000-0005-0000-0000-00000E020000}"/>
    <cellStyle name="40% - Accent3 2 2 4" xfId="328" xr:uid="{00000000-0005-0000-0000-00000F020000}"/>
    <cellStyle name="40% - Accent3 2 2 4 2" xfId="809" xr:uid="{00000000-0005-0000-0000-000010020000}"/>
    <cellStyle name="40% - Accent3 2 2 5" xfId="569" xr:uid="{00000000-0005-0000-0000-000011020000}"/>
    <cellStyle name="40% - Accent3 2 3" xfId="117" xr:uid="{00000000-0005-0000-0000-000012020000}"/>
    <cellStyle name="40% - Accent3 2 3 2" xfId="238" xr:uid="{00000000-0005-0000-0000-000013020000}"/>
    <cellStyle name="40% - Accent3 2 3 2 2" xfId="479" xr:uid="{00000000-0005-0000-0000-000014020000}"/>
    <cellStyle name="40% - Accent3 2 3 2 2 2" xfId="960" xr:uid="{00000000-0005-0000-0000-000015020000}"/>
    <cellStyle name="40% - Accent3 2 3 2 3" xfId="720" xr:uid="{00000000-0005-0000-0000-000016020000}"/>
    <cellStyle name="40% - Accent3 2 3 3" xfId="359" xr:uid="{00000000-0005-0000-0000-000017020000}"/>
    <cellStyle name="40% - Accent3 2 3 3 2" xfId="840" xr:uid="{00000000-0005-0000-0000-000018020000}"/>
    <cellStyle name="40% - Accent3 2 3 4" xfId="600" xr:uid="{00000000-0005-0000-0000-000019020000}"/>
    <cellStyle name="40% - Accent3 2 4" xfId="178" xr:uid="{00000000-0005-0000-0000-00001A020000}"/>
    <cellStyle name="40% - Accent3 2 4 2" xfId="419" xr:uid="{00000000-0005-0000-0000-00001B020000}"/>
    <cellStyle name="40% - Accent3 2 4 2 2" xfId="900" xr:uid="{00000000-0005-0000-0000-00001C020000}"/>
    <cellStyle name="40% - Accent3 2 4 3" xfId="660" xr:uid="{00000000-0005-0000-0000-00001D020000}"/>
    <cellStyle name="40% - Accent3 2 5" xfId="299" xr:uid="{00000000-0005-0000-0000-00001E020000}"/>
    <cellStyle name="40% - Accent3 2 5 2" xfId="780" xr:uid="{00000000-0005-0000-0000-00001F020000}"/>
    <cellStyle name="40% - Accent3 2 6" xfId="540" xr:uid="{00000000-0005-0000-0000-000020020000}"/>
    <cellStyle name="40% - Accent3 3" xfId="69" xr:uid="{00000000-0005-0000-0000-000021020000}"/>
    <cellStyle name="40% - Accent3 3 2" xfId="130" xr:uid="{00000000-0005-0000-0000-000022020000}"/>
    <cellStyle name="40% - Accent3 3 2 2" xfId="251" xr:uid="{00000000-0005-0000-0000-000023020000}"/>
    <cellStyle name="40% - Accent3 3 2 2 2" xfId="492" xr:uid="{00000000-0005-0000-0000-000024020000}"/>
    <cellStyle name="40% - Accent3 3 2 2 2 2" xfId="973" xr:uid="{00000000-0005-0000-0000-000025020000}"/>
    <cellStyle name="40% - Accent3 3 2 2 3" xfId="733" xr:uid="{00000000-0005-0000-0000-000026020000}"/>
    <cellStyle name="40% - Accent3 3 2 3" xfId="372" xr:uid="{00000000-0005-0000-0000-000027020000}"/>
    <cellStyle name="40% - Accent3 3 2 3 2" xfId="853" xr:uid="{00000000-0005-0000-0000-000028020000}"/>
    <cellStyle name="40% - Accent3 3 2 4" xfId="613" xr:uid="{00000000-0005-0000-0000-000029020000}"/>
    <cellStyle name="40% - Accent3 3 3" xfId="191" xr:uid="{00000000-0005-0000-0000-00002A020000}"/>
    <cellStyle name="40% - Accent3 3 3 2" xfId="432" xr:uid="{00000000-0005-0000-0000-00002B020000}"/>
    <cellStyle name="40% - Accent3 3 3 2 2" xfId="913" xr:uid="{00000000-0005-0000-0000-00002C020000}"/>
    <cellStyle name="40% - Accent3 3 3 3" xfId="673" xr:uid="{00000000-0005-0000-0000-00002D020000}"/>
    <cellStyle name="40% - Accent3 3 4" xfId="312" xr:uid="{00000000-0005-0000-0000-00002E020000}"/>
    <cellStyle name="40% - Accent3 3 4 2" xfId="793" xr:uid="{00000000-0005-0000-0000-00002F020000}"/>
    <cellStyle name="40% - Accent3 3 5" xfId="553" xr:uid="{00000000-0005-0000-0000-000030020000}"/>
    <cellStyle name="40% - Accent3 4" xfId="98" xr:uid="{00000000-0005-0000-0000-000031020000}"/>
    <cellStyle name="40% - Accent3 4 2" xfId="220" xr:uid="{00000000-0005-0000-0000-000032020000}"/>
    <cellStyle name="40% - Accent3 4 2 2" xfId="461" xr:uid="{00000000-0005-0000-0000-000033020000}"/>
    <cellStyle name="40% - Accent3 4 2 2 2" xfId="942" xr:uid="{00000000-0005-0000-0000-000034020000}"/>
    <cellStyle name="40% - Accent3 4 2 3" xfId="702" xr:uid="{00000000-0005-0000-0000-000035020000}"/>
    <cellStyle name="40% - Accent3 4 3" xfId="341" xr:uid="{00000000-0005-0000-0000-000036020000}"/>
    <cellStyle name="40% - Accent3 4 3 2" xfId="822" xr:uid="{00000000-0005-0000-0000-000037020000}"/>
    <cellStyle name="40% - Accent3 4 4" xfId="582" xr:uid="{00000000-0005-0000-0000-000038020000}"/>
    <cellStyle name="40% - Accent3 5" xfId="159" xr:uid="{00000000-0005-0000-0000-000039020000}"/>
    <cellStyle name="40% - Accent3 5 2" xfId="401" xr:uid="{00000000-0005-0000-0000-00003A020000}"/>
    <cellStyle name="40% - Accent3 5 2 2" xfId="882" xr:uid="{00000000-0005-0000-0000-00003B020000}"/>
    <cellStyle name="40% - Accent3 5 3" xfId="642" xr:uid="{00000000-0005-0000-0000-00003C020000}"/>
    <cellStyle name="40% - Accent3 6" xfId="280" xr:uid="{00000000-0005-0000-0000-00003D020000}"/>
    <cellStyle name="40% - Accent3 6 2" xfId="762" xr:uid="{00000000-0005-0000-0000-00003E020000}"/>
    <cellStyle name="40% - Accent3 7" xfId="521" xr:uid="{00000000-0005-0000-0000-00003F020000}"/>
    <cellStyle name="40% - Accent4" xfId="34" builtinId="43" customBuiltin="1"/>
    <cellStyle name="40% - Accent4 2" xfId="58" xr:uid="{00000000-0005-0000-0000-000041020000}"/>
    <cellStyle name="40% - Accent4 2 2" xfId="87" xr:uid="{00000000-0005-0000-0000-000042020000}"/>
    <cellStyle name="40% - Accent4 2 2 2" xfId="148" xr:uid="{00000000-0005-0000-0000-000043020000}"/>
    <cellStyle name="40% - Accent4 2 2 2 2" xfId="269" xr:uid="{00000000-0005-0000-0000-000044020000}"/>
    <cellStyle name="40% - Accent4 2 2 2 2 2" xfId="510" xr:uid="{00000000-0005-0000-0000-000045020000}"/>
    <cellStyle name="40% - Accent4 2 2 2 2 2 2" xfId="991" xr:uid="{00000000-0005-0000-0000-000046020000}"/>
    <cellStyle name="40% - Accent4 2 2 2 2 3" xfId="751" xr:uid="{00000000-0005-0000-0000-000047020000}"/>
    <cellStyle name="40% - Accent4 2 2 2 3" xfId="390" xr:uid="{00000000-0005-0000-0000-000048020000}"/>
    <cellStyle name="40% - Accent4 2 2 2 3 2" xfId="871" xr:uid="{00000000-0005-0000-0000-000049020000}"/>
    <cellStyle name="40% - Accent4 2 2 2 4" xfId="631" xr:uid="{00000000-0005-0000-0000-00004A020000}"/>
    <cellStyle name="40% - Accent4 2 2 3" xfId="209" xr:uid="{00000000-0005-0000-0000-00004B020000}"/>
    <cellStyle name="40% - Accent4 2 2 3 2" xfId="450" xr:uid="{00000000-0005-0000-0000-00004C020000}"/>
    <cellStyle name="40% - Accent4 2 2 3 2 2" xfId="931" xr:uid="{00000000-0005-0000-0000-00004D020000}"/>
    <cellStyle name="40% - Accent4 2 2 3 3" xfId="691" xr:uid="{00000000-0005-0000-0000-00004E020000}"/>
    <cellStyle name="40% - Accent4 2 2 4" xfId="330" xr:uid="{00000000-0005-0000-0000-00004F020000}"/>
    <cellStyle name="40% - Accent4 2 2 4 2" xfId="811" xr:uid="{00000000-0005-0000-0000-000050020000}"/>
    <cellStyle name="40% - Accent4 2 2 5" xfId="571" xr:uid="{00000000-0005-0000-0000-000051020000}"/>
    <cellStyle name="40% - Accent4 2 3" xfId="119" xr:uid="{00000000-0005-0000-0000-000052020000}"/>
    <cellStyle name="40% - Accent4 2 3 2" xfId="240" xr:uid="{00000000-0005-0000-0000-000053020000}"/>
    <cellStyle name="40% - Accent4 2 3 2 2" xfId="481" xr:uid="{00000000-0005-0000-0000-000054020000}"/>
    <cellStyle name="40% - Accent4 2 3 2 2 2" xfId="962" xr:uid="{00000000-0005-0000-0000-000055020000}"/>
    <cellStyle name="40% - Accent4 2 3 2 3" xfId="722" xr:uid="{00000000-0005-0000-0000-000056020000}"/>
    <cellStyle name="40% - Accent4 2 3 3" xfId="361" xr:uid="{00000000-0005-0000-0000-000057020000}"/>
    <cellStyle name="40% - Accent4 2 3 3 2" xfId="842" xr:uid="{00000000-0005-0000-0000-000058020000}"/>
    <cellStyle name="40% - Accent4 2 3 4" xfId="602" xr:uid="{00000000-0005-0000-0000-000059020000}"/>
    <cellStyle name="40% - Accent4 2 4" xfId="180" xr:uid="{00000000-0005-0000-0000-00005A020000}"/>
    <cellStyle name="40% - Accent4 2 4 2" xfId="421" xr:uid="{00000000-0005-0000-0000-00005B020000}"/>
    <cellStyle name="40% - Accent4 2 4 2 2" xfId="902" xr:uid="{00000000-0005-0000-0000-00005C020000}"/>
    <cellStyle name="40% - Accent4 2 4 3" xfId="662" xr:uid="{00000000-0005-0000-0000-00005D020000}"/>
    <cellStyle name="40% - Accent4 2 5" xfId="301" xr:uid="{00000000-0005-0000-0000-00005E020000}"/>
    <cellStyle name="40% - Accent4 2 5 2" xfId="782" xr:uid="{00000000-0005-0000-0000-00005F020000}"/>
    <cellStyle name="40% - Accent4 2 6" xfId="542" xr:uid="{00000000-0005-0000-0000-000060020000}"/>
    <cellStyle name="40% - Accent4 3" xfId="71" xr:uid="{00000000-0005-0000-0000-000061020000}"/>
    <cellStyle name="40% - Accent4 3 2" xfId="132" xr:uid="{00000000-0005-0000-0000-000062020000}"/>
    <cellStyle name="40% - Accent4 3 2 2" xfId="253" xr:uid="{00000000-0005-0000-0000-000063020000}"/>
    <cellStyle name="40% - Accent4 3 2 2 2" xfId="494" xr:uid="{00000000-0005-0000-0000-000064020000}"/>
    <cellStyle name="40% - Accent4 3 2 2 2 2" xfId="975" xr:uid="{00000000-0005-0000-0000-000065020000}"/>
    <cellStyle name="40% - Accent4 3 2 2 3" xfId="735" xr:uid="{00000000-0005-0000-0000-000066020000}"/>
    <cellStyle name="40% - Accent4 3 2 3" xfId="374" xr:uid="{00000000-0005-0000-0000-000067020000}"/>
    <cellStyle name="40% - Accent4 3 2 3 2" xfId="855" xr:uid="{00000000-0005-0000-0000-000068020000}"/>
    <cellStyle name="40% - Accent4 3 2 4" xfId="615" xr:uid="{00000000-0005-0000-0000-000069020000}"/>
    <cellStyle name="40% - Accent4 3 3" xfId="193" xr:uid="{00000000-0005-0000-0000-00006A020000}"/>
    <cellStyle name="40% - Accent4 3 3 2" xfId="434" xr:uid="{00000000-0005-0000-0000-00006B020000}"/>
    <cellStyle name="40% - Accent4 3 3 2 2" xfId="915" xr:uid="{00000000-0005-0000-0000-00006C020000}"/>
    <cellStyle name="40% - Accent4 3 3 3" xfId="675" xr:uid="{00000000-0005-0000-0000-00006D020000}"/>
    <cellStyle name="40% - Accent4 3 4" xfId="314" xr:uid="{00000000-0005-0000-0000-00006E020000}"/>
    <cellStyle name="40% - Accent4 3 4 2" xfId="795" xr:uid="{00000000-0005-0000-0000-00006F020000}"/>
    <cellStyle name="40% - Accent4 3 5" xfId="555" xr:uid="{00000000-0005-0000-0000-000070020000}"/>
    <cellStyle name="40% - Accent4 4" xfId="100" xr:uid="{00000000-0005-0000-0000-000071020000}"/>
    <cellStyle name="40% - Accent4 4 2" xfId="222" xr:uid="{00000000-0005-0000-0000-000072020000}"/>
    <cellStyle name="40% - Accent4 4 2 2" xfId="463" xr:uid="{00000000-0005-0000-0000-000073020000}"/>
    <cellStyle name="40% - Accent4 4 2 2 2" xfId="944" xr:uid="{00000000-0005-0000-0000-000074020000}"/>
    <cellStyle name="40% - Accent4 4 2 3" xfId="704" xr:uid="{00000000-0005-0000-0000-000075020000}"/>
    <cellStyle name="40% - Accent4 4 3" xfId="343" xr:uid="{00000000-0005-0000-0000-000076020000}"/>
    <cellStyle name="40% - Accent4 4 3 2" xfId="824" xr:uid="{00000000-0005-0000-0000-000077020000}"/>
    <cellStyle name="40% - Accent4 4 4" xfId="584" xr:uid="{00000000-0005-0000-0000-000078020000}"/>
    <cellStyle name="40% - Accent4 5" xfId="161" xr:uid="{00000000-0005-0000-0000-000079020000}"/>
    <cellStyle name="40% - Accent4 5 2" xfId="403" xr:uid="{00000000-0005-0000-0000-00007A020000}"/>
    <cellStyle name="40% - Accent4 5 2 2" xfId="884" xr:uid="{00000000-0005-0000-0000-00007B020000}"/>
    <cellStyle name="40% - Accent4 5 3" xfId="644" xr:uid="{00000000-0005-0000-0000-00007C020000}"/>
    <cellStyle name="40% - Accent4 6" xfId="282" xr:uid="{00000000-0005-0000-0000-00007D020000}"/>
    <cellStyle name="40% - Accent4 6 2" xfId="764" xr:uid="{00000000-0005-0000-0000-00007E020000}"/>
    <cellStyle name="40% - Accent4 7" xfId="523" xr:uid="{00000000-0005-0000-0000-00007F020000}"/>
    <cellStyle name="40% - Accent5" xfId="38" builtinId="47" customBuiltin="1"/>
    <cellStyle name="40% - Accent5 2" xfId="60" xr:uid="{00000000-0005-0000-0000-000081020000}"/>
    <cellStyle name="40% - Accent5 2 2" xfId="89" xr:uid="{00000000-0005-0000-0000-000082020000}"/>
    <cellStyle name="40% - Accent5 2 2 2" xfId="150" xr:uid="{00000000-0005-0000-0000-000083020000}"/>
    <cellStyle name="40% - Accent5 2 2 2 2" xfId="271" xr:uid="{00000000-0005-0000-0000-000084020000}"/>
    <cellStyle name="40% - Accent5 2 2 2 2 2" xfId="512" xr:uid="{00000000-0005-0000-0000-000085020000}"/>
    <cellStyle name="40% - Accent5 2 2 2 2 2 2" xfId="993" xr:uid="{00000000-0005-0000-0000-000086020000}"/>
    <cellStyle name="40% - Accent5 2 2 2 2 3" xfId="753" xr:uid="{00000000-0005-0000-0000-000087020000}"/>
    <cellStyle name="40% - Accent5 2 2 2 3" xfId="392" xr:uid="{00000000-0005-0000-0000-000088020000}"/>
    <cellStyle name="40% - Accent5 2 2 2 3 2" xfId="873" xr:uid="{00000000-0005-0000-0000-000089020000}"/>
    <cellStyle name="40% - Accent5 2 2 2 4" xfId="633" xr:uid="{00000000-0005-0000-0000-00008A020000}"/>
    <cellStyle name="40% - Accent5 2 2 3" xfId="211" xr:uid="{00000000-0005-0000-0000-00008B020000}"/>
    <cellStyle name="40% - Accent5 2 2 3 2" xfId="452" xr:uid="{00000000-0005-0000-0000-00008C020000}"/>
    <cellStyle name="40% - Accent5 2 2 3 2 2" xfId="933" xr:uid="{00000000-0005-0000-0000-00008D020000}"/>
    <cellStyle name="40% - Accent5 2 2 3 3" xfId="693" xr:uid="{00000000-0005-0000-0000-00008E020000}"/>
    <cellStyle name="40% - Accent5 2 2 4" xfId="332" xr:uid="{00000000-0005-0000-0000-00008F020000}"/>
    <cellStyle name="40% - Accent5 2 2 4 2" xfId="813" xr:uid="{00000000-0005-0000-0000-000090020000}"/>
    <cellStyle name="40% - Accent5 2 2 5" xfId="573" xr:uid="{00000000-0005-0000-0000-000091020000}"/>
    <cellStyle name="40% - Accent5 2 3" xfId="121" xr:uid="{00000000-0005-0000-0000-000092020000}"/>
    <cellStyle name="40% - Accent5 2 3 2" xfId="242" xr:uid="{00000000-0005-0000-0000-000093020000}"/>
    <cellStyle name="40% - Accent5 2 3 2 2" xfId="483" xr:uid="{00000000-0005-0000-0000-000094020000}"/>
    <cellStyle name="40% - Accent5 2 3 2 2 2" xfId="964" xr:uid="{00000000-0005-0000-0000-000095020000}"/>
    <cellStyle name="40% - Accent5 2 3 2 3" xfId="724" xr:uid="{00000000-0005-0000-0000-000096020000}"/>
    <cellStyle name="40% - Accent5 2 3 3" xfId="363" xr:uid="{00000000-0005-0000-0000-000097020000}"/>
    <cellStyle name="40% - Accent5 2 3 3 2" xfId="844" xr:uid="{00000000-0005-0000-0000-000098020000}"/>
    <cellStyle name="40% - Accent5 2 3 4" xfId="604" xr:uid="{00000000-0005-0000-0000-000099020000}"/>
    <cellStyle name="40% - Accent5 2 4" xfId="182" xr:uid="{00000000-0005-0000-0000-00009A020000}"/>
    <cellStyle name="40% - Accent5 2 4 2" xfId="423" xr:uid="{00000000-0005-0000-0000-00009B020000}"/>
    <cellStyle name="40% - Accent5 2 4 2 2" xfId="904" xr:uid="{00000000-0005-0000-0000-00009C020000}"/>
    <cellStyle name="40% - Accent5 2 4 3" xfId="664" xr:uid="{00000000-0005-0000-0000-00009D020000}"/>
    <cellStyle name="40% - Accent5 2 5" xfId="303" xr:uid="{00000000-0005-0000-0000-00009E020000}"/>
    <cellStyle name="40% - Accent5 2 5 2" xfId="784" xr:uid="{00000000-0005-0000-0000-00009F020000}"/>
    <cellStyle name="40% - Accent5 2 6" xfId="544" xr:uid="{00000000-0005-0000-0000-0000A0020000}"/>
    <cellStyle name="40% - Accent5 3" xfId="73" xr:uid="{00000000-0005-0000-0000-0000A1020000}"/>
    <cellStyle name="40% - Accent5 3 2" xfId="134" xr:uid="{00000000-0005-0000-0000-0000A2020000}"/>
    <cellStyle name="40% - Accent5 3 2 2" xfId="255" xr:uid="{00000000-0005-0000-0000-0000A3020000}"/>
    <cellStyle name="40% - Accent5 3 2 2 2" xfId="496" xr:uid="{00000000-0005-0000-0000-0000A4020000}"/>
    <cellStyle name="40% - Accent5 3 2 2 2 2" xfId="977" xr:uid="{00000000-0005-0000-0000-0000A5020000}"/>
    <cellStyle name="40% - Accent5 3 2 2 3" xfId="737" xr:uid="{00000000-0005-0000-0000-0000A6020000}"/>
    <cellStyle name="40% - Accent5 3 2 3" xfId="376" xr:uid="{00000000-0005-0000-0000-0000A7020000}"/>
    <cellStyle name="40% - Accent5 3 2 3 2" xfId="857" xr:uid="{00000000-0005-0000-0000-0000A8020000}"/>
    <cellStyle name="40% - Accent5 3 2 4" xfId="617" xr:uid="{00000000-0005-0000-0000-0000A9020000}"/>
    <cellStyle name="40% - Accent5 3 3" xfId="195" xr:uid="{00000000-0005-0000-0000-0000AA020000}"/>
    <cellStyle name="40% - Accent5 3 3 2" xfId="436" xr:uid="{00000000-0005-0000-0000-0000AB020000}"/>
    <cellStyle name="40% - Accent5 3 3 2 2" xfId="917" xr:uid="{00000000-0005-0000-0000-0000AC020000}"/>
    <cellStyle name="40% - Accent5 3 3 3" xfId="677" xr:uid="{00000000-0005-0000-0000-0000AD020000}"/>
    <cellStyle name="40% - Accent5 3 4" xfId="316" xr:uid="{00000000-0005-0000-0000-0000AE020000}"/>
    <cellStyle name="40% - Accent5 3 4 2" xfId="797" xr:uid="{00000000-0005-0000-0000-0000AF020000}"/>
    <cellStyle name="40% - Accent5 3 5" xfId="557" xr:uid="{00000000-0005-0000-0000-0000B0020000}"/>
    <cellStyle name="40% - Accent5 4" xfId="102" xr:uid="{00000000-0005-0000-0000-0000B1020000}"/>
    <cellStyle name="40% - Accent5 4 2" xfId="224" xr:uid="{00000000-0005-0000-0000-0000B2020000}"/>
    <cellStyle name="40% - Accent5 4 2 2" xfId="465" xr:uid="{00000000-0005-0000-0000-0000B3020000}"/>
    <cellStyle name="40% - Accent5 4 2 2 2" xfId="946" xr:uid="{00000000-0005-0000-0000-0000B4020000}"/>
    <cellStyle name="40% - Accent5 4 2 3" xfId="706" xr:uid="{00000000-0005-0000-0000-0000B5020000}"/>
    <cellStyle name="40% - Accent5 4 3" xfId="345" xr:uid="{00000000-0005-0000-0000-0000B6020000}"/>
    <cellStyle name="40% - Accent5 4 3 2" xfId="826" xr:uid="{00000000-0005-0000-0000-0000B7020000}"/>
    <cellStyle name="40% - Accent5 4 4" xfId="586" xr:uid="{00000000-0005-0000-0000-0000B8020000}"/>
    <cellStyle name="40% - Accent5 5" xfId="163" xr:uid="{00000000-0005-0000-0000-0000B9020000}"/>
    <cellStyle name="40% - Accent5 5 2" xfId="405" xr:uid="{00000000-0005-0000-0000-0000BA020000}"/>
    <cellStyle name="40% - Accent5 5 2 2" xfId="886" xr:uid="{00000000-0005-0000-0000-0000BB020000}"/>
    <cellStyle name="40% - Accent5 5 3" xfId="646" xr:uid="{00000000-0005-0000-0000-0000BC020000}"/>
    <cellStyle name="40% - Accent5 6" xfId="284" xr:uid="{00000000-0005-0000-0000-0000BD020000}"/>
    <cellStyle name="40% - Accent5 6 2" xfId="766" xr:uid="{00000000-0005-0000-0000-0000BE020000}"/>
    <cellStyle name="40% - Accent5 7" xfId="525" xr:uid="{00000000-0005-0000-0000-0000BF020000}"/>
    <cellStyle name="40% - Accent6" xfId="42" builtinId="51" customBuiltin="1"/>
    <cellStyle name="40% - Accent6 2" xfId="62" xr:uid="{00000000-0005-0000-0000-0000C1020000}"/>
    <cellStyle name="40% - Accent6 2 2" xfId="91" xr:uid="{00000000-0005-0000-0000-0000C2020000}"/>
    <cellStyle name="40% - Accent6 2 2 2" xfId="152" xr:uid="{00000000-0005-0000-0000-0000C3020000}"/>
    <cellStyle name="40% - Accent6 2 2 2 2" xfId="273" xr:uid="{00000000-0005-0000-0000-0000C4020000}"/>
    <cellStyle name="40% - Accent6 2 2 2 2 2" xfId="514" xr:uid="{00000000-0005-0000-0000-0000C5020000}"/>
    <cellStyle name="40% - Accent6 2 2 2 2 2 2" xfId="995" xr:uid="{00000000-0005-0000-0000-0000C6020000}"/>
    <cellStyle name="40% - Accent6 2 2 2 2 3" xfId="755" xr:uid="{00000000-0005-0000-0000-0000C7020000}"/>
    <cellStyle name="40% - Accent6 2 2 2 3" xfId="394" xr:uid="{00000000-0005-0000-0000-0000C8020000}"/>
    <cellStyle name="40% - Accent6 2 2 2 3 2" xfId="875" xr:uid="{00000000-0005-0000-0000-0000C9020000}"/>
    <cellStyle name="40% - Accent6 2 2 2 4" xfId="635" xr:uid="{00000000-0005-0000-0000-0000CA020000}"/>
    <cellStyle name="40% - Accent6 2 2 3" xfId="213" xr:uid="{00000000-0005-0000-0000-0000CB020000}"/>
    <cellStyle name="40% - Accent6 2 2 3 2" xfId="454" xr:uid="{00000000-0005-0000-0000-0000CC020000}"/>
    <cellStyle name="40% - Accent6 2 2 3 2 2" xfId="935" xr:uid="{00000000-0005-0000-0000-0000CD020000}"/>
    <cellStyle name="40% - Accent6 2 2 3 3" xfId="695" xr:uid="{00000000-0005-0000-0000-0000CE020000}"/>
    <cellStyle name="40% - Accent6 2 2 4" xfId="334" xr:uid="{00000000-0005-0000-0000-0000CF020000}"/>
    <cellStyle name="40% - Accent6 2 2 4 2" xfId="815" xr:uid="{00000000-0005-0000-0000-0000D0020000}"/>
    <cellStyle name="40% - Accent6 2 2 5" xfId="575" xr:uid="{00000000-0005-0000-0000-0000D1020000}"/>
    <cellStyle name="40% - Accent6 2 3" xfId="123" xr:uid="{00000000-0005-0000-0000-0000D2020000}"/>
    <cellStyle name="40% - Accent6 2 3 2" xfId="244" xr:uid="{00000000-0005-0000-0000-0000D3020000}"/>
    <cellStyle name="40% - Accent6 2 3 2 2" xfId="485" xr:uid="{00000000-0005-0000-0000-0000D4020000}"/>
    <cellStyle name="40% - Accent6 2 3 2 2 2" xfId="966" xr:uid="{00000000-0005-0000-0000-0000D5020000}"/>
    <cellStyle name="40% - Accent6 2 3 2 3" xfId="726" xr:uid="{00000000-0005-0000-0000-0000D6020000}"/>
    <cellStyle name="40% - Accent6 2 3 3" xfId="365" xr:uid="{00000000-0005-0000-0000-0000D7020000}"/>
    <cellStyle name="40% - Accent6 2 3 3 2" xfId="846" xr:uid="{00000000-0005-0000-0000-0000D8020000}"/>
    <cellStyle name="40% - Accent6 2 3 4" xfId="606" xr:uid="{00000000-0005-0000-0000-0000D9020000}"/>
    <cellStyle name="40% - Accent6 2 4" xfId="184" xr:uid="{00000000-0005-0000-0000-0000DA020000}"/>
    <cellStyle name="40% - Accent6 2 4 2" xfId="425" xr:uid="{00000000-0005-0000-0000-0000DB020000}"/>
    <cellStyle name="40% - Accent6 2 4 2 2" xfId="906" xr:uid="{00000000-0005-0000-0000-0000DC020000}"/>
    <cellStyle name="40% - Accent6 2 4 3" xfId="666" xr:uid="{00000000-0005-0000-0000-0000DD020000}"/>
    <cellStyle name="40% - Accent6 2 5" xfId="305" xr:uid="{00000000-0005-0000-0000-0000DE020000}"/>
    <cellStyle name="40% - Accent6 2 5 2" xfId="786" xr:uid="{00000000-0005-0000-0000-0000DF020000}"/>
    <cellStyle name="40% - Accent6 2 6" xfId="546" xr:uid="{00000000-0005-0000-0000-0000E0020000}"/>
    <cellStyle name="40% - Accent6 3" xfId="75" xr:uid="{00000000-0005-0000-0000-0000E1020000}"/>
    <cellStyle name="40% - Accent6 3 2" xfId="136" xr:uid="{00000000-0005-0000-0000-0000E2020000}"/>
    <cellStyle name="40% - Accent6 3 2 2" xfId="257" xr:uid="{00000000-0005-0000-0000-0000E3020000}"/>
    <cellStyle name="40% - Accent6 3 2 2 2" xfId="498" xr:uid="{00000000-0005-0000-0000-0000E4020000}"/>
    <cellStyle name="40% - Accent6 3 2 2 2 2" xfId="979" xr:uid="{00000000-0005-0000-0000-0000E5020000}"/>
    <cellStyle name="40% - Accent6 3 2 2 3" xfId="739" xr:uid="{00000000-0005-0000-0000-0000E6020000}"/>
    <cellStyle name="40% - Accent6 3 2 3" xfId="378" xr:uid="{00000000-0005-0000-0000-0000E7020000}"/>
    <cellStyle name="40% - Accent6 3 2 3 2" xfId="859" xr:uid="{00000000-0005-0000-0000-0000E8020000}"/>
    <cellStyle name="40% - Accent6 3 2 4" xfId="619" xr:uid="{00000000-0005-0000-0000-0000E9020000}"/>
    <cellStyle name="40% - Accent6 3 3" xfId="197" xr:uid="{00000000-0005-0000-0000-0000EA020000}"/>
    <cellStyle name="40% - Accent6 3 3 2" xfId="438" xr:uid="{00000000-0005-0000-0000-0000EB020000}"/>
    <cellStyle name="40% - Accent6 3 3 2 2" xfId="919" xr:uid="{00000000-0005-0000-0000-0000EC020000}"/>
    <cellStyle name="40% - Accent6 3 3 3" xfId="679" xr:uid="{00000000-0005-0000-0000-0000ED020000}"/>
    <cellStyle name="40% - Accent6 3 4" xfId="318" xr:uid="{00000000-0005-0000-0000-0000EE020000}"/>
    <cellStyle name="40% - Accent6 3 4 2" xfId="799" xr:uid="{00000000-0005-0000-0000-0000EF020000}"/>
    <cellStyle name="40% - Accent6 3 5" xfId="559" xr:uid="{00000000-0005-0000-0000-0000F0020000}"/>
    <cellStyle name="40% - Accent6 4" xfId="104" xr:uid="{00000000-0005-0000-0000-0000F1020000}"/>
    <cellStyle name="40% - Accent6 4 2" xfId="226" xr:uid="{00000000-0005-0000-0000-0000F2020000}"/>
    <cellStyle name="40% - Accent6 4 2 2" xfId="467" xr:uid="{00000000-0005-0000-0000-0000F3020000}"/>
    <cellStyle name="40% - Accent6 4 2 2 2" xfId="948" xr:uid="{00000000-0005-0000-0000-0000F4020000}"/>
    <cellStyle name="40% - Accent6 4 2 3" xfId="708" xr:uid="{00000000-0005-0000-0000-0000F5020000}"/>
    <cellStyle name="40% - Accent6 4 3" xfId="347" xr:uid="{00000000-0005-0000-0000-0000F6020000}"/>
    <cellStyle name="40% - Accent6 4 3 2" xfId="828" xr:uid="{00000000-0005-0000-0000-0000F7020000}"/>
    <cellStyle name="40% - Accent6 4 4" xfId="588" xr:uid="{00000000-0005-0000-0000-0000F8020000}"/>
    <cellStyle name="40% - Accent6 5" xfId="165" xr:uid="{00000000-0005-0000-0000-0000F9020000}"/>
    <cellStyle name="40% - Accent6 5 2" xfId="407" xr:uid="{00000000-0005-0000-0000-0000FA020000}"/>
    <cellStyle name="40% - Accent6 5 2 2" xfId="888" xr:uid="{00000000-0005-0000-0000-0000FB020000}"/>
    <cellStyle name="40% - Accent6 5 3" xfId="648" xr:uid="{00000000-0005-0000-0000-0000FC020000}"/>
    <cellStyle name="40% - Accent6 6" xfId="286" xr:uid="{00000000-0005-0000-0000-0000FD020000}"/>
    <cellStyle name="40% - Accent6 6 2" xfId="768" xr:uid="{00000000-0005-0000-0000-0000FE020000}"/>
    <cellStyle name="40% - Accent6 7" xfId="527" xr:uid="{00000000-0005-0000-0000-0000FF02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287" xr:uid="{00000000-0005-0000-0000-00001A030000}"/>
    <cellStyle name="Normal 11" xfId="274" xr:uid="{00000000-0005-0000-0000-00001B030000}"/>
    <cellStyle name="Normal 11 2" xfId="756" xr:uid="{00000000-0005-0000-0000-00001C030000}"/>
    <cellStyle name="Normal 12" xfId="528" xr:uid="{00000000-0005-0000-0000-00001D030000}"/>
    <cellStyle name="Normal 13" xfId="515" xr:uid="{00000000-0005-0000-0000-00001E030000}"/>
    <cellStyle name="Normal 2" xfId="46" xr:uid="{00000000-0005-0000-0000-00001F030000}"/>
    <cellStyle name="Normal 3" xfId="47" xr:uid="{00000000-0005-0000-0000-000020030000}"/>
    <cellStyle name="Normal 3 2" xfId="3" xr:uid="{00000000-0005-0000-0000-000021030000}"/>
    <cellStyle name="Normal 3 2 2" xfId="45" xr:uid="{00000000-0005-0000-0000-000022030000}"/>
    <cellStyle name="Normal 3 2 2 2" xfId="107" xr:uid="{00000000-0005-0000-0000-000023030000}"/>
    <cellStyle name="Normal 3 2 2 2 2" xfId="228" xr:uid="{00000000-0005-0000-0000-000024030000}"/>
    <cellStyle name="Normal 3 2 2 2 2 2" xfId="469" xr:uid="{00000000-0005-0000-0000-000025030000}"/>
    <cellStyle name="Normal 3 2 2 2 2 2 2" xfId="950" xr:uid="{00000000-0005-0000-0000-000026030000}"/>
    <cellStyle name="Normal 3 2 2 2 2 3" xfId="710" xr:uid="{00000000-0005-0000-0000-000027030000}"/>
    <cellStyle name="Normal 3 2 2 2 3" xfId="349" xr:uid="{00000000-0005-0000-0000-000028030000}"/>
    <cellStyle name="Normal 3 2 2 2 3 2" xfId="830" xr:uid="{00000000-0005-0000-0000-000029030000}"/>
    <cellStyle name="Normal 3 2 2 2 4" xfId="590" xr:uid="{00000000-0005-0000-0000-00002A030000}"/>
    <cellStyle name="Normal 3 2 2 3" xfId="168" xr:uid="{00000000-0005-0000-0000-00002B030000}"/>
    <cellStyle name="Normal 3 2 2 3 2" xfId="409" xr:uid="{00000000-0005-0000-0000-00002C030000}"/>
    <cellStyle name="Normal 3 2 2 3 2 2" xfId="890" xr:uid="{00000000-0005-0000-0000-00002D030000}"/>
    <cellStyle name="Normal 3 2 2 3 3" xfId="650" xr:uid="{00000000-0005-0000-0000-00002E030000}"/>
    <cellStyle name="Normal 3 2 2 4" xfId="289" xr:uid="{00000000-0005-0000-0000-00002F030000}"/>
    <cellStyle name="Normal 3 2 2 4 2" xfId="770" xr:uid="{00000000-0005-0000-0000-000030030000}"/>
    <cellStyle name="Normal 3 2 2 5" xfId="530" xr:uid="{00000000-0005-0000-0000-000031030000}"/>
    <cellStyle name="Normal 3 2 3" xfId="63" xr:uid="{00000000-0005-0000-0000-000032030000}"/>
    <cellStyle name="Normal 3 2 3 2" xfId="124" xr:uid="{00000000-0005-0000-0000-000033030000}"/>
    <cellStyle name="Normal 3 2 3 2 2" xfId="245" xr:uid="{00000000-0005-0000-0000-000034030000}"/>
    <cellStyle name="Normal 3 2 3 2 2 2" xfId="486" xr:uid="{00000000-0005-0000-0000-000035030000}"/>
    <cellStyle name="Normal 3 2 3 2 2 2 2" xfId="967" xr:uid="{00000000-0005-0000-0000-000036030000}"/>
    <cellStyle name="Normal 3 2 3 2 2 3" xfId="727" xr:uid="{00000000-0005-0000-0000-000037030000}"/>
    <cellStyle name="Normal 3 2 3 2 3" xfId="366" xr:uid="{00000000-0005-0000-0000-000038030000}"/>
    <cellStyle name="Normal 3 2 3 2 3 2" xfId="847" xr:uid="{00000000-0005-0000-0000-000039030000}"/>
    <cellStyle name="Normal 3 2 3 2 4" xfId="607" xr:uid="{00000000-0005-0000-0000-00003A030000}"/>
    <cellStyle name="Normal 3 2 3 3" xfId="185" xr:uid="{00000000-0005-0000-0000-00003B030000}"/>
    <cellStyle name="Normal 3 2 3 3 2" xfId="426" xr:uid="{00000000-0005-0000-0000-00003C030000}"/>
    <cellStyle name="Normal 3 2 3 3 2 2" xfId="907" xr:uid="{00000000-0005-0000-0000-00003D030000}"/>
    <cellStyle name="Normal 3 2 3 3 3" xfId="667" xr:uid="{00000000-0005-0000-0000-00003E030000}"/>
    <cellStyle name="Normal 3 2 3 4" xfId="306" xr:uid="{00000000-0005-0000-0000-00003F030000}"/>
    <cellStyle name="Normal 3 2 3 4 2" xfId="787" xr:uid="{00000000-0005-0000-0000-000040030000}"/>
    <cellStyle name="Normal 3 2 3 5" xfId="547" xr:uid="{00000000-0005-0000-0000-000041030000}"/>
    <cellStyle name="Normal 3 2 4" xfId="106" xr:uid="{00000000-0005-0000-0000-000042030000}"/>
    <cellStyle name="Normal 3 2 4 2" xfId="227" xr:uid="{00000000-0005-0000-0000-000043030000}"/>
    <cellStyle name="Normal 3 2 4 2 2" xfId="468" xr:uid="{00000000-0005-0000-0000-000044030000}"/>
    <cellStyle name="Normal 3 2 4 2 2 2" xfId="949" xr:uid="{00000000-0005-0000-0000-000045030000}"/>
    <cellStyle name="Normal 3 2 4 2 3" xfId="709" xr:uid="{00000000-0005-0000-0000-000046030000}"/>
    <cellStyle name="Normal 3 2 4 3" xfId="348" xr:uid="{00000000-0005-0000-0000-000047030000}"/>
    <cellStyle name="Normal 3 2 4 3 2" xfId="829" xr:uid="{00000000-0005-0000-0000-000048030000}"/>
    <cellStyle name="Normal 3 2 4 4" xfId="589" xr:uid="{00000000-0005-0000-0000-000049030000}"/>
    <cellStyle name="Normal 3 2 5" xfId="167" xr:uid="{00000000-0005-0000-0000-00004A030000}"/>
    <cellStyle name="Normal 3 2 5 2" xfId="408" xr:uid="{00000000-0005-0000-0000-00004B030000}"/>
    <cellStyle name="Normal 3 2 5 2 2" xfId="889" xr:uid="{00000000-0005-0000-0000-00004C030000}"/>
    <cellStyle name="Normal 3 2 5 3" xfId="649" xr:uid="{00000000-0005-0000-0000-00004D030000}"/>
    <cellStyle name="Normal 3 2 6" xfId="288" xr:uid="{00000000-0005-0000-0000-00004E030000}"/>
    <cellStyle name="Normal 3 2 6 2" xfId="769" xr:uid="{00000000-0005-0000-0000-00004F030000}"/>
    <cellStyle name="Normal 3 2 7" xfId="529" xr:uid="{00000000-0005-0000-0000-000050030000}"/>
    <cellStyle name="Normal 3 3" xfId="76" xr:uid="{00000000-0005-0000-0000-000051030000}"/>
    <cellStyle name="Normal 3 3 2" xfId="137" xr:uid="{00000000-0005-0000-0000-000052030000}"/>
    <cellStyle name="Normal 3 3 2 2" xfId="258" xr:uid="{00000000-0005-0000-0000-000053030000}"/>
    <cellStyle name="Normal 3 3 2 2 2" xfId="499" xr:uid="{00000000-0005-0000-0000-000054030000}"/>
    <cellStyle name="Normal 3 3 2 2 2 2" xfId="980" xr:uid="{00000000-0005-0000-0000-000055030000}"/>
    <cellStyle name="Normal 3 3 2 2 3" xfId="740" xr:uid="{00000000-0005-0000-0000-000056030000}"/>
    <cellStyle name="Normal 3 3 2 3" xfId="379" xr:uid="{00000000-0005-0000-0000-000057030000}"/>
    <cellStyle name="Normal 3 3 2 3 2" xfId="860" xr:uid="{00000000-0005-0000-0000-000058030000}"/>
    <cellStyle name="Normal 3 3 2 4" xfId="620" xr:uid="{00000000-0005-0000-0000-000059030000}"/>
    <cellStyle name="Normal 3 3 3" xfId="198" xr:uid="{00000000-0005-0000-0000-00005A030000}"/>
    <cellStyle name="Normal 3 3 3 2" xfId="439" xr:uid="{00000000-0005-0000-0000-00005B030000}"/>
    <cellStyle name="Normal 3 3 3 2 2" xfId="920" xr:uid="{00000000-0005-0000-0000-00005C030000}"/>
    <cellStyle name="Normal 3 3 3 3" xfId="680" xr:uid="{00000000-0005-0000-0000-00005D030000}"/>
    <cellStyle name="Normal 3 3 4" xfId="319" xr:uid="{00000000-0005-0000-0000-00005E030000}"/>
    <cellStyle name="Normal 3 3 4 2" xfId="800" xr:uid="{00000000-0005-0000-0000-00005F030000}"/>
    <cellStyle name="Normal 3 3 5" xfId="560" xr:uid="{00000000-0005-0000-0000-000060030000}"/>
    <cellStyle name="Normal 3 4" xfId="108" xr:uid="{00000000-0005-0000-0000-000061030000}"/>
    <cellStyle name="Normal 3 4 2" xfId="229" xr:uid="{00000000-0005-0000-0000-000062030000}"/>
    <cellStyle name="Normal 3 4 2 2" xfId="470" xr:uid="{00000000-0005-0000-0000-000063030000}"/>
    <cellStyle name="Normal 3 4 2 2 2" xfId="951" xr:uid="{00000000-0005-0000-0000-000064030000}"/>
    <cellStyle name="Normal 3 4 2 3" xfId="711" xr:uid="{00000000-0005-0000-0000-000065030000}"/>
    <cellStyle name="Normal 3 4 3" xfId="350" xr:uid="{00000000-0005-0000-0000-000066030000}"/>
    <cellStyle name="Normal 3 4 3 2" xfId="831" xr:uid="{00000000-0005-0000-0000-000067030000}"/>
    <cellStyle name="Normal 3 4 4" xfId="591" xr:uid="{00000000-0005-0000-0000-000068030000}"/>
    <cellStyle name="Normal 3 5" xfId="169" xr:uid="{00000000-0005-0000-0000-000069030000}"/>
    <cellStyle name="Normal 3 5 2" xfId="410" xr:uid="{00000000-0005-0000-0000-00006A030000}"/>
    <cellStyle name="Normal 3 5 2 2" xfId="891" xr:uid="{00000000-0005-0000-0000-00006B030000}"/>
    <cellStyle name="Normal 3 5 3" xfId="651" xr:uid="{00000000-0005-0000-0000-00006C030000}"/>
    <cellStyle name="Normal 3 6" xfId="290" xr:uid="{00000000-0005-0000-0000-00006D030000}"/>
    <cellStyle name="Normal 3 6 2" xfId="771" xr:uid="{00000000-0005-0000-0000-00006E030000}"/>
    <cellStyle name="Normal 3 7" xfId="531" xr:uid="{00000000-0005-0000-0000-00006F030000}"/>
    <cellStyle name="Normal 4" xfId="49" xr:uid="{00000000-0005-0000-0000-000070030000}"/>
    <cellStyle name="Normal 4 2" xfId="78" xr:uid="{00000000-0005-0000-0000-000071030000}"/>
    <cellStyle name="Normal 4 2 2" xfId="139" xr:uid="{00000000-0005-0000-0000-000072030000}"/>
    <cellStyle name="Normal 4 2 2 2" xfId="260" xr:uid="{00000000-0005-0000-0000-000073030000}"/>
    <cellStyle name="Normal 4 2 2 2 2" xfId="501" xr:uid="{00000000-0005-0000-0000-000074030000}"/>
    <cellStyle name="Normal 4 2 2 2 2 2" xfId="982" xr:uid="{00000000-0005-0000-0000-000075030000}"/>
    <cellStyle name="Normal 4 2 2 2 3" xfId="742" xr:uid="{00000000-0005-0000-0000-000076030000}"/>
    <cellStyle name="Normal 4 2 2 3" xfId="381" xr:uid="{00000000-0005-0000-0000-000077030000}"/>
    <cellStyle name="Normal 4 2 2 3 2" xfId="862" xr:uid="{00000000-0005-0000-0000-000078030000}"/>
    <cellStyle name="Normal 4 2 2 4" xfId="622" xr:uid="{00000000-0005-0000-0000-000079030000}"/>
    <cellStyle name="Normal 4 2 3" xfId="200" xr:uid="{00000000-0005-0000-0000-00007A030000}"/>
    <cellStyle name="Normal 4 2 3 2" xfId="441" xr:uid="{00000000-0005-0000-0000-00007B030000}"/>
    <cellStyle name="Normal 4 2 3 2 2" xfId="922" xr:uid="{00000000-0005-0000-0000-00007C030000}"/>
    <cellStyle name="Normal 4 2 3 3" xfId="682" xr:uid="{00000000-0005-0000-0000-00007D030000}"/>
    <cellStyle name="Normal 4 2 4" xfId="321" xr:uid="{00000000-0005-0000-0000-00007E030000}"/>
    <cellStyle name="Normal 4 2 4 2" xfId="802" xr:uid="{00000000-0005-0000-0000-00007F030000}"/>
    <cellStyle name="Normal 4 2 5" xfId="562" xr:uid="{00000000-0005-0000-0000-000080030000}"/>
    <cellStyle name="Normal 4 3" xfId="110" xr:uid="{00000000-0005-0000-0000-000081030000}"/>
    <cellStyle name="Normal 4 3 2" xfId="231" xr:uid="{00000000-0005-0000-0000-000082030000}"/>
    <cellStyle name="Normal 4 3 2 2" xfId="472" xr:uid="{00000000-0005-0000-0000-000083030000}"/>
    <cellStyle name="Normal 4 3 2 2 2" xfId="953" xr:uid="{00000000-0005-0000-0000-000084030000}"/>
    <cellStyle name="Normal 4 3 2 3" xfId="713" xr:uid="{00000000-0005-0000-0000-000085030000}"/>
    <cellStyle name="Normal 4 3 3" xfId="352" xr:uid="{00000000-0005-0000-0000-000086030000}"/>
    <cellStyle name="Normal 4 3 3 2" xfId="833" xr:uid="{00000000-0005-0000-0000-000087030000}"/>
    <cellStyle name="Normal 4 3 4" xfId="593" xr:uid="{00000000-0005-0000-0000-000088030000}"/>
    <cellStyle name="Normal 4 4" xfId="171" xr:uid="{00000000-0005-0000-0000-000089030000}"/>
    <cellStyle name="Normal 4 4 2" xfId="412" xr:uid="{00000000-0005-0000-0000-00008A030000}"/>
    <cellStyle name="Normal 4 4 2 2" xfId="893" xr:uid="{00000000-0005-0000-0000-00008B030000}"/>
    <cellStyle name="Normal 4 4 3" xfId="653" xr:uid="{00000000-0005-0000-0000-00008C030000}"/>
    <cellStyle name="Normal 4 5" xfId="292" xr:uid="{00000000-0005-0000-0000-00008D030000}"/>
    <cellStyle name="Normal 4 5 2" xfId="773" xr:uid="{00000000-0005-0000-0000-00008E030000}"/>
    <cellStyle name="Normal 4 6" xfId="533" xr:uid="{00000000-0005-0000-0000-00008F030000}"/>
    <cellStyle name="Normal 5" xfId="44" xr:uid="{00000000-0005-0000-0000-000090030000}"/>
    <cellStyle name="Normal 6" xfId="105" xr:uid="{00000000-0005-0000-0000-000091030000}"/>
    <cellStyle name="Normal 7" xfId="92" xr:uid="{00000000-0005-0000-0000-000092030000}"/>
    <cellStyle name="Normal 7 2" xfId="214" xr:uid="{00000000-0005-0000-0000-000093030000}"/>
    <cellStyle name="Normal 7 2 2" xfId="455" xr:uid="{00000000-0005-0000-0000-000094030000}"/>
    <cellStyle name="Normal 7 2 2 2" xfId="936" xr:uid="{00000000-0005-0000-0000-000095030000}"/>
    <cellStyle name="Normal 7 2 3" xfId="696" xr:uid="{00000000-0005-0000-0000-000096030000}"/>
    <cellStyle name="Normal 7 3" xfId="335" xr:uid="{00000000-0005-0000-0000-000097030000}"/>
    <cellStyle name="Normal 7 3 2" xfId="816" xr:uid="{00000000-0005-0000-0000-000098030000}"/>
    <cellStyle name="Normal 7 4" xfId="576" xr:uid="{00000000-0005-0000-0000-000099030000}"/>
    <cellStyle name="Normal 8" xfId="166" xr:uid="{00000000-0005-0000-0000-00009A030000}"/>
    <cellStyle name="Normal 9" xfId="153" xr:uid="{00000000-0005-0000-0000-00009B030000}"/>
    <cellStyle name="Normal 9 2" xfId="395" xr:uid="{00000000-0005-0000-0000-00009C030000}"/>
    <cellStyle name="Normal 9 2 2" xfId="876" xr:uid="{00000000-0005-0000-0000-00009D030000}"/>
    <cellStyle name="Normal 9 3" xfId="636" xr:uid="{00000000-0005-0000-0000-00009E030000}"/>
    <cellStyle name="Normal_BarLoader" xfId="2" xr:uid="{00000000-0005-0000-0000-00009F030000}"/>
    <cellStyle name="Note 2" xfId="48" xr:uid="{00000000-0005-0000-0000-0000A0030000}"/>
    <cellStyle name="Note 2 2" xfId="77" xr:uid="{00000000-0005-0000-0000-0000A1030000}"/>
    <cellStyle name="Note 2 2 2" xfId="138" xr:uid="{00000000-0005-0000-0000-0000A2030000}"/>
    <cellStyle name="Note 2 2 2 2" xfId="259" xr:uid="{00000000-0005-0000-0000-0000A3030000}"/>
    <cellStyle name="Note 2 2 2 2 2" xfId="500" xr:uid="{00000000-0005-0000-0000-0000A4030000}"/>
    <cellStyle name="Note 2 2 2 2 2 2" xfId="981" xr:uid="{00000000-0005-0000-0000-0000A5030000}"/>
    <cellStyle name="Note 2 2 2 2 3" xfId="741" xr:uid="{00000000-0005-0000-0000-0000A6030000}"/>
    <cellStyle name="Note 2 2 2 3" xfId="380" xr:uid="{00000000-0005-0000-0000-0000A7030000}"/>
    <cellStyle name="Note 2 2 2 3 2" xfId="861" xr:uid="{00000000-0005-0000-0000-0000A8030000}"/>
    <cellStyle name="Note 2 2 2 4" xfId="621" xr:uid="{00000000-0005-0000-0000-0000A9030000}"/>
    <cellStyle name="Note 2 2 3" xfId="199" xr:uid="{00000000-0005-0000-0000-0000AA030000}"/>
    <cellStyle name="Note 2 2 3 2" xfId="440" xr:uid="{00000000-0005-0000-0000-0000AB030000}"/>
    <cellStyle name="Note 2 2 3 2 2" xfId="921" xr:uid="{00000000-0005-0000-0000-0000AC030000}"/>
    <cellStyle name="Note 2 2 3 3" xfId="681" xr:uid="{00000000-0005-0000-0000-0000AD030000}"/>
    <cellStyle name="Note 2 2 4" xfId="320" xr:uid="{00000000-0005-0000-0000-0000AE030000}"/>
    <cellStyle name="Note 2 2 4 2" xfId="801" xr:uid="{00000000-0005-0000-0000-0000AF030000}"/>
    <cellStyle name="Note 2 2 5" xfId="561" xr:uid="{00000000-0005-0000-0000-0000B0030000}"/>
    <cellStyle name="Note 2 3" xfId="109" xr:uid="{00000000-0005-0000-0000-0000B1030000}"/>
    <cellStyle name="Note 2 3 2" xfId="230" xr:uid="{00000000-0005-0000-0000-0000B2030000}"/>
    <cellStyle name="Note 2 3 2 2" xfId="471" xr:uid="{00000000-0005-0000-0000-0000B3030000}"/>
    <cellStyle name="Note 2 3 2 2 2" xfId="952" xr:uid="{00000000-0005-0000-0000-0000B4030000}"/>
    <cellStyle name="Note 2 3 2 3" xfId="712" xr:uid="{00000000-0005-0000-0000-0000B5030000}"/>
    <cellStyle name="Note 2 3 3" xfId="351" xr:uid="{00000000-0005-0000-0000-0000B6030000}"/>
    <cellStyle name="Note 2 3 3 2" xfId="832" xr:uid="{00000000-0005-0000-0000-0000B7030000}"/>
    <cellStyle name="Note 2 3 4" xfId="592" xr:uid="{00000000-0005-0000-0000-0000B8030000}"/>
    <cellStyle name="Note 2 4" xfId="170" xr:uid="{00000000-0005-0000-0000-0000B9030000}"/>
    <cellStyle name="Note 2 4 2" xfId="411" xr:uid="{00000000-0005-0000-0000-0000BA030000}"/>
    <cellStyle name="Note 2 4 2 2" xfId="892" xr:uid="{00000000-0005-0000-0000-0000BB030000}"/>
    <cellStyle name="Note 2 4 3" xfId="652" xr:uid="{00000000-0005-0000-0000-0000BC030000}"/>
    <cellStyle name="Note 2 5" xfId="291" xr:uid="{00000000-0005-0000-0000-0000BD030000}"/>
    <cellStyle name="Note 2 5 2" xfId="772" xr:uid="{00000000-0005-0000-0000-0000BE030000}"/>
    <cellStyle name="Note 2 6" xfId="532" xr:uid="{00000000-0005-0000-0000-0000BF030000}"/>
    <cellStyle name="Note 3" xfId="50" xr:uid="{00000000-0005-0000-0000-0000C0030000}"/>
    <cellStyle name="Note 3 2" xfId="79" xr:uid="{00000000-0005-0000-0000-0000C1030000}"/>
    <cellStyle name="Note 3 2 2" xfId="140" xr:uid="{00000000-0005-0000-0000-0000C2030000}"/>
    <cellStyle name="Note 3 2 2 2" xfId="261" xr:uid="{00000000-0005-0000-0000-0000C3030000}"/>
    <cellStyle name="Note 3 2 2 2 2" xfId="502" xr:uid="{00000000-0005-0000-0000-0000C4030000}"/>
    <cellStyle name="Note 3 2 2 2 2 2" xfId="983" xr:uid="{00000000-0005-0000-0000-0000C5030000}"/>
    <cellStyle name="Note 3 2 2 2 3" xfId="743" xr:uid="{00000000-0005-0000-0000-0000C6030000}"/>
    <cellStyle name="Note 3 2 2 3" xfId="382" xr:uid="{00000000-0005-0000-0000-0000C7030000}"/>
    <cellStyle name="Note 3 2 2 3 2" xfId="863" xr:uid="{00000000-0005-0000-0000-0000C8030000}"/>
    <cellStyle name="Note 3 2 2 4" xfId="623" xr:uid="{00000000-0005-0000-0000-0000C9030000}"/>
    <cellStyle name="Note 3 2 3" xfId="201" xr:uid="{00000000-0005-0000-0000-0000CA030000}"/>
    <cellStyle name="Note 3 2 3 2" xfId="442" xr:uid="{00000000-0005-0000-0000-0000CB030000}"/>
    <cellStyle name="Note 3 2 3 2 2" xfId="923" xr:uid="{00000000-0005-0000-0000-0000CC030000}"/>
    <cellStyle name="Note 3 2 3 3" xfId="683" xr:uid="{00000000-0005-0000-0000-0000CD030000}"/>
    <cellStyle name="Note 3 2 4" xfId="322" xr:uid="{00000000-0005-0000-0000-0000CE030000}"/>
    <cellStyle name="Note 3 2 4 2" xfId="803" xr:uid="{00000000-0005-0000-0000-0000CF030000}"/>
    <cellStyle name="Note 3 2 5" xfId="563" xr:uid="{00000000-0005-0000-0000-0000D0030000}"/>
    <cellStyle name="Note 3 3" xfId="111" xr:uid="{00000000-0005-0000-0000-0000D1030000}"/>
    <cellStyle name="Note 3 3 2" xfId="232" xr:uid="{00000000-0005-0000-0000-0000D2030000}"/>
    <cellStyle name="Note 3 3 2 2" xfId="473" xr:uid="{00000000-0005-0000-0000-0000D3030000}"/>
    <cellStyle name="Note 3 3 2 2 2" xfId="954" xr:uid="{00000000-0005-0000-0000-0000D4030000}"/>
    <cellStyle name="Note 3 3 2 3" xfId="714" xr:uid="{00000000-0005-0000-0000-0000D5030000}"/>
    <cellStyle name="Note 3 3 3" xfId="353" xr:uid="{00000000-0005-0000-0000-0000D6030000}"/>
    <cellStyle name="Note 3 3 3 2" xfId="834" xr:uid="{00000000-0005-0000-0000-0000D7030000}"/>
    <cellStyle name="Note 3 3 4" xfId="594" xr:uid="{00000000-0005-0000-0000-0000D8030000}"/>
    <cellStyle name="Note 3 4" xfId="172" xr:uid="{00000000-0005-0000-0000-0000D9030000}"/>
    <cellStyle name="Note 3 4 2" xfId="413" xr:uid="{00000000-0005-0000-0000-0000DA030000}"/>
    <cellStyle name="Note 3 4 2 2" xfId="894" xr:uid="{00000000-0005-0000-0000-0000DB030000}"/>
    <cellStyle name="Note 3 4 3" xfId="654" xr:uid="{00000000-0005-0000-0000-0000DC030000}"/>
    <cellStyle name="Note 3 5" xfId="293" xr:uid="{00000000-0005-0000-0000-0000DD030000}"/>
    <cellStyle name="Note 3 5 2" xfId="774" xr:uid="{00000000-0005-0000-0000-0000DE030000}"/>
    <cellStyle name="Note 3 6" xfId="534" xr:uid="{00000000-0005-0000-0000-0000DF03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127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0-1D44-8D8F-B9AC79B1CB52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0-1D44-8D8F-B9AC79B1CB52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0-1D44-8D8F-B9AC79B1CB52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60-1D44-8D8F-B9AC79B1CB52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60-1D44-8D8F-B9AC79B1CB52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60-1D44-8D8F-B9AC79B1CB52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60-1D44-8D8F-B9AC79B1CB52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60-1D44-8D8F-B9AC79B1CB52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60-1D44-8D8F-B9AC79B1CB52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60-1D44-8D8F-B9AC79B1CB52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60-1D44-8D8F-B9AC79B1CB52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60-1D44-8D8F-B9AC79B1CB52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60-1D44-8D8F-B9AC79B1CB52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60-1D44-8D8F-B9AC79B1CB52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60-1D44-8D8F-B9AC79B1CB52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60-1D44-8D8F-B9AC79B1CB52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560-1D44-8D8F-B9AC79B1CB52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60-1D44-8D8F-B9AC79B1CB52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560-1D44-8D8F-B9AC79B1CB52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560-1D44-8D8F-B9AC79B1CB52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560-1D44-8D8F-B9AC79B1CB52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560-1D44-8D8F-B9AC79B1CB52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5560-1D44-8D8F-B9AC79B1C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430336"/>
        <c:axId val="140436224"/>
      </c:barChart>
      <c:catAx>
        <c:axId val="140430336"/>
        <c:scaling>
          <c:orientation val="minMax"/>
        </c:scaling>
        <c:delete val="1"/>
        <c:axPos val="l"/>
        <c:majorTickMark val="out"/>
        <c:minorTickMark val="none"/>
        <c:tickLblPos val="none"/>
        <c:crossAx val="140436224"/>
        <c:crosses val="autoZero"/>
        <c:auto val="1"/>
        <c:lblAlgn val="ctr"/>
        <c:lblOffset val="100"/>
        <c:noMultiLvlLbl val="0"/>
      </c:catAx>
      <c:valAx>
        <c:axId val="140436224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40430336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1-114B-BC9A-EF07913931A1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D1-114B-BC9A-EF07913931A1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D1-114B-BC9A-EF07913931A1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D1-114B-BC9A-EF07913931A1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D1-114B-BC9A-EF07913931A1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D1-114B-BC9A-EF07913931A1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D1-114B-BC9A-EF07913931A1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D1-114B-BC9A-EF07913931A1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D1-114B-BC9A-EF07913931A1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D1-114B-BC9A-EF07913931A1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D1-114B-BC9A-EF07913931A1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D1-114B-BC9A-EF07913931A1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0D1-114B-BC9A-EF07913931A1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D1-114B-BC9A-EF07913931A1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0D1-114B-BC9A-EF07913931A1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0D1-114B-BC9A-EF07913931A1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0D1-114B-BC9A-EF07913931A1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0D1-114B-BC9A-EF07913931A1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0D1-114B-BC9A-EF07913931A1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0D1-114B-BC9A-EF07913931A1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D1-114B-BC9A-EF07913931A1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D1-114B-BC9A-EF07913931A1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40D1-114B-BC9A-EF0791393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023680"/>
        <c:axId val="140025216"/>
      </c:barChart>
      <c:catAx>
        <c:axId val="140023680"/>
        <c:scaling>
          <c:orientation val="minMax"/>
        </c:scaling>
        <c:delete val="1"/>
        <c:axPos val="l"/>
        <c:majorTickMark val="out"/>
        <c:minorTickMark val="none"/>
        <c:tickLblPos val="none"/>
        <c:crossAx val="140025216"/>
        <c:crosses val="autoZero"/>
        <c:auto val="1"/>
        <c:lblAlgn val="ctr"/>
        <c:lblOffset val="100"/>
        <c:noMultiLvlLbl val="0"/>
      </c:catAx>
      <c:valAx>
        <c:axId val="140025216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4002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29</xdr:col>
      <xdr:colOff>38100</xdr:colOff>
      <xdr:row>5</xdr:row>
      <xdr:rowOff>211999</xdr:rowOff>
    </xdr:to>
    <xdr:graphicFrame macro="">
      <xdr:nvGraphicFramePr>
        <xdr:cNvPr id="57518" name="Chart 302">
          <a:extLst>
            <a:ext uri="{FF2B5EF4-FFF2-40B4-BE49-F238E27FC236}">
              <a16:creationId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1036320</xdr:colOff>
          <xdr:row>5</xdr:row>
          <xdr:rowOff>236220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236220</xdr:colOff>
          <xdr:row>5</xdr:row>
          <xdr:rowOff>38100</xdr:rowOff>
        </xdr:from>
        <xdr:to>
          <xdr:col>7</xdr:col>
          <xdr:colOff>411480</xdr:colOff>
          <xdr:row>5</xdr:row>
          <xdr:rowOff>220980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256137</xdr:colOff>
      <xdr:row>7</xdr:row>
      <xdr:rowOff>226519</xdr:rowOff>
    </xdr:from>
    <xdr:to>
      <xdr:col>14</xdr:col>
      <xdr:colOff>215315</xdr:colOff>
      <xdr:row>14</xdr:row>
      <xdr:rowOff>271343</xdr:rowOff>
    </xdr:to>
    <xdr:graphicFrame macro="">
      <xdr:nvGraphicFramePr>
        <xdr:cNvPr id="3" name="Chart 30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C1:BF246"/>
  <sheetViews>
    <sheetView topLeftCell="A219" zoomScaleNormal="100" workbookViewId="0">
      <selection activeCell="Q7" sqref="Q7:Q246"/>
    </sheetView>
  </sheetViews>
  <sheetFormatPr defaultColWidth="9.109375" defaultRowHeight="13.2" x14ac:dyDescent="0.25"/>
  <cols>
    <col min="1" max="1" width="3.44140625" customWidth="1"/>
    <col min="2" max="2" width="1.88671875" customWidth="1"/>
    <col min="3" max="3" width="8.44140625" style="5" customWidth="1"/>
    <col min="4" max="4" width="7.88671875" style="5" customWidth="1"/>
    <col min="5" max="5" width="8" style="5" customWidth="1"/>
    <col min="6" max="6" width="8.44140625" customWidth="1"/>
    <col min="7" max="7" width="7.88671875" customWidth="1"/>
    <col min="8" max="8" width="8" customWidth="1"/>
    <col min="9" max="9" width="3.5546875" customWidth="1"/>
    <col min="10" max="10" width="0.33203125" style="5" customWidth="1"/>
    <col min="11" max="11" width="9.109375" style="65"/>
    <col min="12" max="12" width="0.33203125" customWidth="1"/>
    <col min="13" max="13" width="9.109375" style="150"/>
    <col min="14" max="14" width="2" customWidth="1"/>
    <col min="15" max="15" width="18" style="5" customWidth="1"/>
    <col min="16" max="16" width="44.88671875" customWidth="1"/>
    <col min="17" max="17" width="8.6640625" customWidth="1"/>
    <col min="18" max="18" width="2" customWidth="1"/>
    <col min="19" max="19" width="8.6640625" customWidth="1"/>
    <col min="20" max="20" width="8.44140625" customWidth="1"/>
    <col min="24" max="24" width="0" hidden="1" customWidth="1"/>
    <col min="29" max="29" width="3.44140625" customWidth="1"/>
    <col min="30" max="32" width="9.109375" hidden="1" customWidth="1"/>
  </cols>
  <sheetData>
    <row r="1" spans="3:58" ht="13.8" thickBot="1" x14ac:dyDescent="0.3">
      <c r="L1" t="str">
        <f>IF(K6="BWt (Lb)",CONCATENATE("DATA!F14:F28"),CONCATENATE("DATA!E14:E28"))</f>
        <v>DATA!E14:E28</v>
      </c>
      <c r="BB1" t="s">
        <v>62</v>
      </c>
      <c r="BC1" t="s">
        <v>63</v>
      </c>
      <c r="BD1" t="s">
        <v>64</v>
      </c>
      <c r="BE1" t="s">
        <v>65</v>
      </c>
      <c r="BF1" t="s">
        <v>66</v>
      </c>
    </row>
    <row r="2" spans="3:58" ht="28.5" customHeight="1" thickBot="1" x14ac:dyDescent="0.3">
      <c r="C2" s="355" t="s">
        <v>672</v>
      </c>
      <c r="D2" s="356"/>
      <c r="E2" s="356"/>
      <c r="F2" s="356"/>
      <c r="G2" s="356"/>
      <c r="H2" s="357"/>
      <c r="K2" s="292">
        <v>45458</v>
      </c>
      <c r="L2" s="293"/>
      <c r="M2" s="294"/>
      <c r="O2" s="336" t="s">
        <v>66</v>
      </c>
      <c r="P2" s="337"/>
      <c r="Q2" s="338"/>
      <c r="S2" s="321" t="s">
        <v>109</v>
      </c>
      <c r="T2" s="322"/>
      <c r="X2" t="s">
        <v>162</v>
      </c>
    </row>
    <row r="3" spans="3:58" ht="13.8" thickBot="1" x14ac:dyDescent="0.3">
      <c r="X3" t="s">
        <v>163</v>
      </c>
      <c r="AD3" s="228" t="s">
        <v>350</v>
      </c>
      <c r="AE3" s="217">
        <f>$G$22</f>
        <v>35</v>
      </c>
      <c r="AF3">
        <f>$D$22</f>
        <v>65</v>
      </c>
    </row>
    <row r="4" spans="3:58" ht="13.5" customHeight="1" x14ac:dyDescent="0.25">
      <c r="C4" s="330" t="s">
        <v>79</v>
      </c>
      <c r="D4" s="331"/>
      <c r="E4" s="331"/>
      <c r="F4" s="331"/>
      <c r="G4" s="353"/>
      <c r="H4" s="339" t="s">
        <v>157</v>
      </c>
      <c r="K4" s="295" t="s">
        <v>84</v>
      </c>
      <c r="L4" s="296"/>
      <c r="M4" s="297"/>
      <c r="O4" s="330" t="s">
        <v>86</v>
      </c>
      <c r="P4" s="331"/>
      <c r="Q4" s="332"/>
      <c r="S4" s="323" t="s">
        <v>76</v>
      </c>
      <c r="T4" s="325" t="s">
        <v>110</v>
      </c>
      <c r="AD4" s="228" t="s">
        <v>33</v>
      </c>
      <c r="AE4" s="217">
        <f>$G$23</f>
        <v>25</v>
      </c>
      <c r="AF4">
        <f>$D$23</f>
        <v>55</v>
      </c>
    </row>
    <row r="5" spans="3:58" ht="13.5" customHeight="1" x14ac:dyDescent="0.25">
      <c r="C5" s="333"/>
      <c r="D5" s="334"/>
      <c r="E5" s="334"/>
      <c r="F5" s="334"/>
      <c r="G5" s="354"/>
      <c r="H5" s="340"/>
      <c r="K5" s="350"/>
      <c r="L5" s="351"/>
      <c r="M5" s="352"/>
      <c r="O5" s="333"/>
      <c r="P5" s="334"/>
      <c r="Q5" s="335"/>
      <c r="S5" s="324"/>
      <c r="T5" s="326"/>
      <c r="AD5" s="228" t="s">
        <v>35</v>
      </c>
      <c r="AE5" s="217">
        <f>$G$24</f>
        <v>25</v>
      </c>
      <c r="AF5">
        <f>$D$24</f>
        <v>55</v>
      </c>
    </row>
    <row r="6" spans="3:58" ht="13.5" customHeight="1" x14ac:dyDescent="0.25">
      <c r="C6" s="285" t="s">
        <v>61</v>
      </c>
      <c r="D6" s="286"/>
      <c r="E6" s="286"/>
      <c r="F6" s="286" t="s">
        <v>75</v>
      </c>
      <c r="G6" s="286"/>
      <c r="H6" s="341"/>
      <c r="K6" s="344" t="s">
        <v>158</v>
      </c>
      <c r="L6" s="345"/>
      <c r="M6" s="346"/>
      <c r="O6" s="207" t="s">
        <v>87</v>
      </c>
      <c r="P6" s="206" t="s">
        <v>88</v>
      </c>
      <c r="Q6" s="208" t="s">
        <v>89</v>
      </c>
      <c r="S6" s="67">
        <v>1</v>
      </c>
      <c r="T6" s="109">
        <v>3</v>
      </c>
    </row>
    <row r="7" spans="3:58" x14ac:dyDescent="0.25">
      <c r="C7" s="58" t="str">
        <f>LEFT(TRIM(Lifting!B3),1)</f>
        <v>D</v>
      </c>
      <c r="D7" s="6">
        <f ca="1">ABS(Lifting!D3)</f>
        <v>120</v>
      </c>
      <c r="E7" s="6"/>
      <c r="F7" s="6"/>
      <c r="G7" s="6">
        <f ca="1">ABS(Lifting!D3)</f>
        <v>120</v>
      </c>
      <c r="H7" s="8"/>
      <c r="I7" s="5"/>
      <c r="K7" s="347"/>
      <c r="L7" s="348"/>
      <c r="M7" s="349"/>
      <c r="O7" s="219" t="s">
        <v>168</v>
      </c>
      <c r="P7" s="220" t="s">
        <v>351</v>
      </c>
      <c r="Q7" s="221">
        <v>1</v>
      </c>
      <c r="S7" s="67"/>
      <c r="T7" s="109">
        <v>2</v>
      </c>
    </row>
    <row r="8" spans="3:58" ht="12.75" customHeight="1" x14ac:dyDescent="0.25">
      <c r="C8" s="7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8" t="s">
        <v>5</v>
      </c>
      <c r="J8" s="5" t="s">
        <v>85</v>
      </c>
      <c r="K8" s="149" t="s">
        <v>9</v>
      </c>
      <c r="L8" s="66"/>
      <c r="M8" s="151" t="s">
        <v>10</v>
      </c>
      <c r="O8" s="219" t="s">
        <v>169</v>
      </c>
      <c r="P8" s="220" t="s">
        <v>352</v>
      </c>
      <c r="Q8" s="221">
        <v>1</v>
      </c>
      <c r="S8" s="67"/>
      <c r="T8" s="109">
        <v>1</v>
      </c>
    </row>
    <row r="9" spans="3:58" ht="12.75" customHeight="1" x14ac:dyDescent="0.25">
      <c r="C9" s="7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8" t="s">
        <v>8</v>
      </c>
      <c r="I9" s="5"/>
      <c r="J9" s="153">
        <v>10</v>
      </c>
      <c r="K9" s="9">
        <v>52</v>
      </c>
      <c r="L9" s="197">
        <v>10</v>
      </c>
      <c r="M9" s="109">
        <v>44</v>
      </c>
      <c r="O9" s="219" t="s">
        <v>353</v>
      </c>
      <c r="P9" s="220" t="s">
        <v>354</v>
      </c>
      <c r="Q9" s="221">
        <v>1</v>
      </c>
      <c r="S9" s="67"/>
      <c r="T9" s="109">
        <v>0</v>
      </c>
    </row>
    <row r="10" spans="3:58" x14ac:dyDescent="0.25">
      <c r="C10" s="9">
        <v>0</v>
      </c>
      <c r="D10" s="6">
        <v>110</v>
      </c>
      <c r="E10" s="6">
        <f ca="1">IF(OR(D7=0,H4="Kg"),0,MIN(INT(($D$7-VLOOKUP($C$7,$AD$3:$AF$5,3,FALSE))/(2*D10)),C10/2))</f>
        <v>0</v>
      </c>
      <c r="F10" s="210">
        <v>0</v>
      </c>
      <c r="G10" s="209">
        <v>50</v>
      </c>
      <c r="H10" s="8">
        <f ca="1">IF(OR(G7=0,H4="Lb"),0,MIN(INT(($G$7-VLOOKUP($C$7,$AD$3:$AF$5,2,FALSE))/(2*G10)),F10/2))</f>
        <v>0</v>
      </c>
      <c r="I10" s="5"/>
      <c r="J10" s="153">
        <f>IF(K9="SHW",1000,IF(K10="",J9+1,IF(ISERROR(VLOOKUP(K9,DATA!$F$32:$G$59,2,FALSE)),K9,VLOOKUP(K9,DATA!$F$32:$G$59,2,FALSE))+0.0001))</f>
        <v>52.000100000000003</v>
      </c>
      <c r="K10" s="9">
        <v>56</v>
      </c>
      <c r="L10" s="197">
        <v>44.000100000000003</v>
      </c>
      <c r="M10" s="109">
        <v>48</v>
      </c>
      <c r="O10" s="219" t="s">
        <v>355</v>
      </c>
      <c r="P10" s="220" t="s">
        <v>356</v>
      </c>
      <c r="Q10" s="221">
        <v>1</v>
      </c>
      <c r="S10" s="67"/>
      <c r="T10" s="109">
        <v>0</v>
      </c>
    </row>
    <row r="11" spans="3:58" x14ac:dyDescent="0.25">
      <c r="C11" s="9">
        <v>8</v>
      </c>
      <c r="D11" s="6">
        <v>100</v>
      </c>
      <c r="E11" s="6">
        <f ca="1">IF(OR(D7=0,H4="Kg"),0,MIN(INT(($D$7-VLOOKUP($C$7,$AD$3:$AF$5,3,FALSE)-2*E10*D10)/(2*D11)),C11/2))</f>
        <v>0</v>
      </c>
      <c r="F11" s="210">
        <v>0</v>
      </c>
      <c r="G11" s="209">
        <v>45</v>
      </c>
      <c r="H11" s="8">
        <f ca="1">IF(OR(G7=0,H4="Lb"),0,MIN(INT(($G$7-VLOOKUP($C$7,$AD$3:$AF$5,2,FALSE)-2*H10*G10)/(2*G11)),F11/2))</f>
        <v>0</v>
      </c>
      <c r="I11" s="5"/>
      <c r="J11" s="153">
        <f>IF(K10="SHW",1000,IF(K11="",J10+1,IF(ISERROR(VLOOKUP(K10,DATA!$F$32:$G$59,2,FALSE)),K10,VLOOKUP(K10,DATA!$F$32:$G$59,2,FALSE))+0.001))</f>
        <v>56.000999999999998</v>
      </c>
      <c r="K11" s="9">
        <v>60</v>
      </c>
      <c r="L11" s="197">
        <v>48.000999999999998</v>
      </c>
      <c r="M11" s="109">
        <v>52</v>
      </c>
      <c r="O11" s="219" t="s">
        <v>170</v>
      </c>
      <c r="P11" s="220" t="s">
        <v>357</v>
      </c>
      <c r="Q11" s="221">
        <v>1</v>
      </c>
      <c r="S11" s="67"/>
      <c r="T11" s="109">
        <v>0</v>
      </c>
    </row>
    <row r="12" spans="3:58" x14ac:dyDescent="0.25">
      <c r="C12" s="9">
        <v>0</v>
      </c>
      <c r="D12" s="6">
        <v>50</v>
      </c>
      <c r="E12" s="6">
        <f ca="1">IF(OR(D7=0,H4="Kg"),0,MIN(INT(($D$7-VLOOKUP($C$7,$AD$3:$AF$5,3,FALSE)-2*E10*D10-2*E11*D11)/(2*D12)),C12/2))</f>
        <v>0</v>
      </c>
      <c r="F12" s="210">
        <v>14</v>
      </c>
      <c r="G12" s="209">
        <v>25</v>
      </c>
      <c r="H12" s="8">
        <f ca="1">IF(OR(G7=0,H4="Lb"),0,MIN(INT(($G$7-VLOOKUP($C$7,$AD$3:$AF$5,2,FALSE)-2*H10*G10-2*H11*G11)/(2*G12)),F12/2))</f>
        <v>1</v>
      </c>
      <c r="I12" s="5"/>
      <c r="J12" s="153">
        <f>IF(K11="SHW",1000,IF(K12="",J11+1,IF(ISERROR(VLOOKUP(K11,DATA!$F$32:$G$59,2,FALSE)),K11,VLOOKUP(K11,DATA!$F$32:$G$59,2,FALSE))+0.001))</f>
        <v>60.000999999999998</v>
      </c>
      <c r="K12" s="9">
        <v>67.5</v>
      </c>
      <c r="L12" s="197">
        <v>52.000999999999998</v>
      </c>
      <c r="M12" s="109">
        <v>56</v>
      </c>
      <c r="O12" s="219" t="s">
        <v>171</v>
      </c>
      <c r="P12" s="220" t="s">
        <v>358</v>
      </c>
      <c r="Q12" s="221">
        <v>1</v>
      </c>
      <c r="S12" s="67"/>
      <c r="T12" s="109">
        <v>0</v>
      </c>
    </row>
    <row r="13" spans="3:58" x14ac:dyDescent="0.25">
      <c r="C13" s="9">
        <v>10</v>
      </c>
      <c r="D13" s="6">
        <v>45</v>
      </c>
      <c r="E13" s="6">
        <f ca="1">IF(OR(D7=0,H4="Kg"),0,MIN(INT(($D$7-VLOOKUP($C$7,$AD$3:$AF$5,3,FALSE)-2*E10*D10-2*E11*D11-2*E12*D12)/(2*D13)),C13/2))</f>
        <v>0</v>
      </c>
      <c r="F13" s="210">
        <v>2</v>
      </c>
      <c r="G13" s="209">
        <v>20</v>
      </c>
      <c r="H13" s="8">
        <f ca="1">IF(OR(G7=0,H4="Lb"),0,MIN(INT(($G$7-VLOOKUP($C$7,$AD$3:$AF$5,2,FALSE)-2*H10*G10-2*H11*G11-2*H12*G12)/(2*G13)),F13/2))</f>
        <v>1</v>
      </c>
      <c r="I13" s="5"/>
      <c r="J13" s="153">
        <f>IF(K12="SHW",1000,IF(K13="",J12+1,IF(ISERROR(VLOOKUP(K12,DATA!$F$32:$G$59,2,FALSE)),K12,VLOOKUP(K12,DATA!$F$32:$G$59,2,FALSE))+0.001))</f>
        <v>67.501000000000005</v>
      </c>
      <c r="K13" s="9">
        <v>75</v>
      </c>
      <c r="L13" s="197">
        <v>56.000999999999998</v>
      </c>
      <c r="M13" s="109">
        <v>60</v>
      </c>
      <c r="O13" s="219" t="s">
        <v>172</v>
      </c>
      <c r="P13" s="220" t="s">
        <v>359</v>
      </c>
      <c r="Q13" s="221">
        <v>1</v>
      </c>
      <c r="S13" s="67"/>
      <c r="T13" s="109">
        <v>0</v>
      </c>
    </row>
    <row r="14" spans="3:58" x14ac:dyDescent="0.25">
      <c r="C14" s="9">
        <v>2</v>
      </c>
      <c r="D14" s="6">
        <v>35</v>
      </c>
      <c r="E14" s="6">
        <f ca="1">IF(OR(D7=0,H4="Kg"),0,MIN(INT(($D$7-VLOOKUP($C$7,$AD$3:$AF$5,3,FALSE)-2*E10*D10-2*E11*D11-2*E12*D12-2*E13*D13)/(2*D14)),C14/2))</f>
        <v>0</v>
      </c>
      <c r="F14" s="210">
        <v>2</v>
      </c>
      <c r="G14" s="209">
        <v>15</v>
      </c>
      <c r="H14" s="8">
        <f ca="1">IF(OR(G7=0,H4="Lb"),0,MIN(INT(($G$7-VLOOKUP($C$7,$AD$3:$AF$5,2,FALSE)-2*H10*G10-2*H11*G11-2*H12*G12-2*H13*G13)/(2*G14)),F14/2))</f>
        <v>0</v>
      </c>
      <c r="I14" s="5"/>
      <c r="J14" s="153">
        <f>IF(K13="SHW",1000,IF(K14="",J13+1,IF(ISERROR(VLOOKUP(K13,DATA!$F$32:$G$59,2,FALSE)),K13,VLOOKUP(K13,DATA!$F$32:$G$59,2,FALSE))+0.001))</f>
        <v>75.001000000000005</v>
      </c>
      <c r="K14" s="9">
        <v>82.5</v>
      </c>
      <c r="L14" s="197">
        <v>60.000999999999998</v>
      </c>
      <c r="M14" s="109">
        <v>67.5</v>
      </c>
      <c r="O14" s="219" t="s">
        <v>173</v>
      </c>
      <c r="P14" s="220" t="s">
        <v>360</v>
      </c>
      <c r="Q14" s="221">
        <v>1</v>
      </c>
      <c r="S14" s="67"/>
      <c r="T14" s="109">
        <v>0</v>
      </c>
      <c r="V14" s="217"/>
    </row>
    <row r="15" spans="3:58" ht="13.8" thickBot="1" x14ac:dyDescent="0.3">
      <c r="C15" s="9">
        <v>2</v>
      </c>
      <c r="D15" s="6">
        <v>25</v>
      </c>
      <c r="E15" s="6">
        <f ca="1">IF(OR(D7=0,H4="Kg"),0,MIN(INT(($D$7-VLOOKUP($C$7,$AD$3:$AF$5,3,FALSE)-2*E10*D10-2*E11*D11-2*E12*D12-2*E13*D13-2*E14*D14)/(2*D15)),C15/2))</f>
        <v>0</v>
      </c>
      <c r="F15" s="210">
        <v>2</v>
      </c>
      <c r="G15" s="209">
        <v>10</v>
      </c>
      <c r="H15" s="8">
        <f ca="1">IF(OR(G7=0,H4="Lb"),0,MIN(INT(($G$7-VLOOKUP($C$7,$AD$3:$AF$5,2,FALSE)-2*H10*G10-2*H11*G11-2*H12*G12-2*H13*G13-2*H14*G14)/(2*G15)),F15/2))</f>
        <v>0</v>
      </c>
      <c r="I15" s="5"/>
      <c r="J15" s="153">
        <f>IF(K14="SHW",1000,IF(K15="",J14+1,IF(ISERROR(VLOOKUP(K14,DATA!$F$32:$G$59,2,FALSE)),K14,VLOOKUP(K14,DATA!$F$32:$G$59,2,FALSE))+0.001))</f>
        <v>82.501000000000005</v>
      </c>
      <c r="K15" s="9">
        <v>90</v>
      </c>
      <c r="L15" s="197">
        <v>67.501000000000005</v>
      </c>
      <c r="M15" s="109">
        <v>75</v>
      </c>
      <c r="O15" s="219" t="s">
        <v>174</v>
      </c>
      <c r="P15" s="220" t="s">
        <v>361</v>
      </c>
      <c r="Q15" s="221">
        <v>1</v>
      </c>
      <c r="S15" s="68"/>
      <c r="T15" s="110">
        <v>0</v>
      </c>
    </row>
    <row r="16" spans="3:58" x14ac:dyDescent="0.25">
      <c r="C16" s="9">
        <v>4</v>
      </c>
      <c r="D16" s="6">
        <v>10</v>
      </c>
      <c r="E16" s="6">
        <f ca="1">IF(OR(D7=0,H4="Kg"),0,MIN(INT(($D$7-VLOOKUP($C$7,$AD$3:$AF$5,3,FALSE)-2*E10*D10-2*E11*D11-2*E12*D12-2*E13*D13-2*E14*D14-2*E15*D15)/(2*D16)),C16/2))</f>
        <v>0</v>
      </c>
      <c r="F16" s="210">
        <v>2</v>
      </c>
      <c r="G16" s="209">
        <v>5</v>
      </c>
      <c r="H16" s="8">
        <f ca="1">IF(OR(G7=0,H4="Lb"),0,MIN(INT(($G$7-VLOOKUP($C$7,$AD$3:$AF$5,2,FALSE)-2*H10*G10-2*H11*G11-2*H12*G12-2*H13*G13-2*H14*G14-2*H15*G15)/(2*G16)),F16/2))</f>
        <v>0</v>
      </c>
      <c r="I16" s="5"/>
      <c r="J16" s="153">
        <f>IF(K15="SHW",1000,IF(K16="",J15+1,IF(ISERROR(VLOOKUP(K15,DATA!$F$32:$G$59,2,FALSE)),K15,VLOOKUP(K15,DATA!$F$32:$G$59,2,FALSE))+0.001))</f>
        <v>90.001000000000005</v>
      </c>
      <c r="K16" s="9">
        <v>100</v>
      </c>
      <c r="L16" s="197">
        <v>75.001000000000005</v>
      </c>
      <c r="M16" s="109">
        <v>82.5</v>
      </c>
      <c r="O16" s="219" t="s">
        <v>175</v>
      </c>
      <c r="P16" s="220" t="s">
        <v>362</v>
      </c>
      <c r="Q16" s="221">
        <v>1</v>
      </c>
    </row>
    <row r="17" spans="3:17" x14ac:dyDescent="0.25">
      <c r="C17" s="9">
        <v>2</v>
      </c>
      <c r="D17" s="6">
        <v>5</v>
      </c>
      <c r="E17" s="6">
        <f ca="1">IF(OR(D7=0,H4="Kg"),0,MIN(INT(($D$7-VLOOKUP($C$7,$AD$3:$AF$5,3,FALSE)-2*E10*D10-2*E11*D11-2*E12*D12-2*E13*D13-2*E14*D14-2*E15*D15-2*E16*D16)/(2*D17)),C17/2))</f>
        <v>0</v>
      </c>
      <c r="F17" s="210">
        <v>2</v>
      </c>
      <c r="G17" s="209">
        <v>2.5</v>
      </c>
      <c r="H17" s="8">
        <f ca="1">IF(OR(G7=0,H4="Lb"),0,MIN(INT(($G$7-VLOOKUP($C$7,$AD$3:$AF$5,2,FALSE)-2*H10*G10-2*H11*G11-2*H12*G12-2*H13*G13-2*H14*G14-2*H15*G15-2*H16*G16)/(2*G17)),F17/2))</f>
        <v>1</v>
      </c>
      <c r="I17" s="5"/>
      <c r="J17" s="153">
        <f>IF(K16="SHW",1000,IF(K17="",J16+1,IF(ISERROR(VLOOKUP(K16,DATA!$F$32:$G$59,2,FALSE)),K16,VLOOKUP(K16,DATA!$F$32:$G$59,2,FALSE))+0.001))</f>
        <v>100.001</v>
      </c>
      <c r="K17" s="9">
        <v>110</v>
      </c>
      <c r="L17" s="197">
        <v>82.501000000000005</v>
      </c>
      <c r="M17" s="109">
        <v>90</v>
      </c>
      <c r="O17" s="219" t="s">
        <v>363</v>
      </c>
      <c r="P17" s="220" t="s">
        <v>364</v>
      </c>
      <c r="Q17" s="221">
        <v>1</v>
      </c>
    </row>
    <row r="18" spans="3:17" x14ac:dyDescent="0.25">
      <c r="C18" s="9">
        <v>2</v>
      </c>
      <c r="D18" s="6">
        <v>2.5</v>
      </c>
      <c r="E18" s="6">
        <f ca="1">IF(OR(D7=0,H4="Kg"),0,MIN(INT(($D$7-VLOOKUP($C$7,$AD$3:$AF$5,3,FALSE)-2*E10*D10-2*E11*D11-2*E12*D12-2*E13*D13-2*E14*D14-2*E15*D15-2*E16*D16-2*E17*D17)/(2*D18)),C18/2))</f>
        <v>0</v>
      </c>
      <c r="F18" s="210">
        <v>2</v>
      </c>
      <c r="G18" s="209">
        <v>1.25</v>
      </c>
      <c r="H18" s="8">
        <f ca="1">IF(OR(G7=0,H4="Lb"),0,INT(($G$7-VLOOKUP($C$7,$AD$3:$AF$5,2,FALSE)-2*H10*G10-2*H11*G11-2*H12*G12-2*H13*G13-2*H14*G14-2*H15*G15-2*H16*G16-2*H17*G17)/(2*G18)))</f>
        <v>0</v>
      </c>
      <c r="I18" s="5"/>
      <c r="J18" s="153">
        <f>IF(K17="SHW",1000,IF(K18="",J17+1,IF(ISERROR(VLOOKUP(K17,DATA!$F$32:$G$59,2,FALSE)),K17,VLOOKUP(K17,DATA!$F$32:$G$59,2,FALSE))+0.001))</f>
        <v>110.001</v>
      </c>
      <c r="K18" s="9">
        <v>125</v>
      </c>
      <c r="L18" s="197">
        <v>90.001000000000005</v>
      </c>
      <c r="M18" s="229">
        <v>100</v>
      </c>
      <c r="O18" s="219" t="s">
        <v>365</v>
      </c>
      <c r="P18" s="220" t="s">
        <v>366</v>
      </c>
      <c r="Q18" s="221">
        <v>1</v>
      </c>
    </row>
    <row r="19" spans="3:17" x14ac:dyDescent="0.25">
      <c r="C19" s="9">
        <v>0</v>
      </c>
      <c r="D19" s="6">
        <v>1</v>
      </c>
      <c r="E19" s="6">
        <f ca="1">IF(OR(D7=0,H4="Kg"),0,MIN(INT(($D$7-VLOOKUP($C$7,$AD$3:$AF$5,3,FALSE)-2*E10*D10-2*E11*D11-2*E12*D12-2*E13*D13-2*E14*D14-2*E15*D15-2*E16*D16-2*E17*D17-2*E18*D18)/(2*D19)),C19/2))</f>
        <v>0</v>
      </c>
      <c r="F19" s="210">
        <v>2</v>
      </c>
      <c r="G19" s="209">
        <v>0.5</v>
      </c>
      <c r="H19" s="8">
        <f ca="1">IF(OR(G7=0,H4="Lb"),0,INT(($G$7-VLOOKUP($C$7,$AD$3:$AF$5,2,FALSE)-2*H10*G10-2*H11*G11-2*H12*G12-2*H13*G13-2*H14*G14-2*H15*G15-2*H16*G16-2*H17*G17-2*H18*G18)/(2*G19)))</f>
        <v>0</v>
      </c>
      <c r="I19" s="5"/>
      <c r="J19" s="153">
        <f>IF(K18="SHW",1000,IF(K19="",J18+1,IF(ISERROR(VLOOKUP(K18,DATA!$F$32:$G$59,2,FALSE)),K18,VLOOKUP(K18,DATA!$F$32:$G$59,2,FALSE))+0.001))</f>
        <v>125.001</v>
      </c>
      <c r="K19" s="9">
        <v>140</v>
      </c>
      <c r="L19" s="197">
        <v>100.001</v>
      </c>
      <c r="M19" s="109">
        <v>110</v>
      </c>
      <c r="O19" s="219" t="s">
        <v>176</v>
      </c>
      <c r="P19" s="220" t="s">
        <v>367</v>
      </c>
      <c r="Q19" s="221">
        <v>1</v>
      </c>
    </row>
    <row r="20" spans="3:17" x14ac:dyDescent="0.25">
      <c r="C20" s="9">
        <v>0</v>
      </c>
      <c r="D20" s="6">
        <v>0.5</v>
      </c>
      <c r="E20" s="6">
        <f ca="1">IF(OR(D7=0,H4="Kg"),0,MIN(INT(($D$7-VLOOKUP($C$7,$AD$3:$AF$5,3,FALSE)-2*E10*D10-2*E11*D11-2*E12*D12-2*E13*D13-2*E14*D14-2*E15*D15-2*E16*D16-2*E17*D17-2*E18*D18-2*E19*D19)/(2*D20)),C20/2))</f>
        <v>0</v>
      </c>
      <c r="F20" s="210">
        <v>0</v>
      </c>
      <c r="G20" s="209">
        <v>0.25</v>
      </c>
      <c r="H20" s="8">
        <f ca="1">IF(OR(G7=0,H4="Lb"),0,INT(($G$7-VLOOKUP($C$7,$AD$3:$AF$5,2,FALSE)-2*H10*G10-2*H11*G11-2*H12*G12-2*H13*G13-2*H14*G14-2*H15*G15-2*H16*G16-2*H17*G17-2*H18*G18-2*H19*G19)/(2*G20)))</f>
        <v>0</v>
      </c>
      <c r="I20" s="5"/>
      <c r="J20" s="153">
        <f>IF(K19="SHW",1000,IF(K20="",J19+1,IF(ISERROR(VLOOKUP(K19,DATA!$F$32:$G$59,2,FALSE)),K19,VLOOKUP(K19,DATA!$F$32:$G$59,2,FALSE))+0.001))</f>
        <v>140.001</v>
      </c>
      <c r="K20" s="9" t="s">
        <v>81</v>
      </c>
      <c r="L20" s="197">
        <v>110.001</v>
      </c>
      <c r="M20" s="229" t="s">
        <v>81</v>
      </c>
      <c r="O20" s="219" t="s">
        <v>177</v>
      </c>
      <c r="P20" s="220" t="s">
        <v>368</v>
      </c>
      <c r="Q20" s="221">
        <v>1</v>
      </c>
    </row>
    <row r="21" spans="3:17" ht="13.8" thickBot="1" x14ac:dyDescent="0.3">
      <c r="C21" s="285" t="s">
        <v>78</v>
      </c>
      <c r="D21" s="286"/>
      <c r="E21" s="6">
        <v>1</v>
      </c>
      <c r="F21" s="329" t="s">
        <v>78</v>
      </c>
      <c r="G21" s="329"/>
      <c r="H21" s="8">
        <v>1</v>
      </c>
      <c r="I21" s="5"/>
      <c r="J21" s="153">
        <f>IF(K20="SHW",1000,IF(K21="",J20+1,IF(ISERROR(VLOOKUP(K20,DATA!$F$32:$G$59,2,FALSE)),K20,VLOOKUP(K20,DATA!$F$32:$G$59,2,FALSE))+0.001))</f>
        <v>1000</v>
      </c>
      <c r="K21" s="9"/>
      <c r="L21" s="153">
        <f>IF(M20="SHW",1000,IF(M21="",L20+1,IF(ISERROR(VLOOKUP(M20,DATA!$F$32:$G$59,2,FALSE)),M20,VLOOKUP(M20,DATA!$F$32:$G$59,2,FALSE))+0.001))</f>
        <v>1000</v>
      </c>
      <c r="M21" s="109"/>
      <c r="O21" s="219" t="s">
        <v>178</v>
      </c>
      <c r="P21" s="220" t="s">
        <v>369</v>
      </c>
      <c r="Q21" s="221">
        <v>1</v>
      </c>
    </row>
    <row r="22" spans="3:17" x14ac:dyDescent="0.25">
      <c r="C22" s="7" t="s">
        <v>77</v>
      </c>
      <c r="D22" s="2">
        <v>65</v>
      </c>
      <c r="E22" s="342" t="s">
        <v>61</v>
      </c>
      <c r="F22" s="222" t="s">
        <v>77</v>
      </c>
      <c r="G22" s="223">
        <v>35</v>
      </c>
      <c r="H22" s="327" t="s">
        <v>75</v>
      </c>
      <c r="I22" s="5"/>
      <c r="J22" s="153">
        <f>IF(K21="SHW",1000,IF(K22="",J21+1,IF(ISERROR(VLOOKUP(K21,DATA!$F$32:$G$59,2,FALSE)),K21,VLOOKUP(K21,DATA!$F$32:$G$59,2,FALSE))+0.001))</f>
        <v>1001</v>
      </c>
      <c r="K22" s="9"/>
      <c r="L22" s="153">
        <f>IF(M21="SHW",1000,IF(M22="",L21+1,IF(ISERROR(VLOOKUP(M21,DATA!$F$32:$G$59,2,FALSE)),M21,VLOOKUP(M21,DATA!$F$32:$G$59,2,FALSE))+0.001))</f>
        <v>1001</v>
      </c>
      <c r="M22" s="109"/>
      <c r="O22" s="219" t="s">
        <v>179</v>
      </c>
      <c r="P22" s="220" t="s">
        <v>370</v>
      </c>
      <c r="Q22" s="221">
        <v>1</v>
      </c>
    </row>
    <row r="23" spans="3:17" ht="13.8" thickBot="1" x14ac:dyDescent="0.3">
      <c r="C23" s="226" t="s">
        <v>348</v>
      </c>
      <c r="D23" s="57">
        <v>55</v>
      </c>
      <c r="E23" s="343"/>
      <c r="F23" s="224" t="s">
        <v>348</v>
      </c>
      <c r="G23" s="225">
        <v>25</v>
      </c>
      <c r="H23" s="328"/>
      <c r="I23" s="5"/>
      <c r="J23" s="153">
        <f>IF(K22="SHW",1000,IF(K23="",J22+1,IF(ISERROR(VLOOKUP(K22,DATA!$F$32:$G$59,2,FALSE)),K22,VLOOKUP(K22,DATA!$F$32:$G$59,2,FALSE))+0.001))</f>
        <v>1002</v>
      </c>
      <c r="K23" s="154"/>
      <c r="L23" s="153">
        <f>IF(M22="SHW",1000,IF(M23="",L22+1,IF(ISERROR(VLOOKUP(M22,DATA!$F$32:$G$59,2,FALSE)),M22,VLOOKUP(M22,DATA!$F$32:$G$59,2,FALSE))+0.001))</f>
        <v>1002</v>
      </c>
      <c r="M23" s="110"/>
      <c r="O23" s="219" t="s">
        <v>180</v>
      </c>
      <c r="P23" s="220" t="s">
        <v>371</v>
      </c>
      <c r="Q23" s="221">
        <v>1</v>
      </c>
    </row>
    <row r="24" spans="3:17" ht="13.8" thickBot="1" x14ac:dyDescent="0.3">
      <c r="C24" s="226" t="s">
        <v>349</v>
      </c>
      <c r="D24" s="57">
        <v>55</v>
      </c>
      <c r="F24" s="226" t="s">
        <v>349</v>
      </c>
      <c r="G24" s="227">
        <v>25</v>
      </c>
      <c r="H24" s="10"/>
      <c r="I24" s="5"/>
      <c r="O24" s="219" t="s">
        <v>181</v>
      </c>
      <c r="P24" s="220" t="s">
        <v>372</v>
      </c>
      <c r="Q24" s="221">
        <v>1</v>
      </c>
    </row>
    <row r="25" spans="3:17" ht="12.75" customHeight="1" x14ac:dyDescent="0.25">
      <c r="D25" s="295" t="s">
        <v>146</v>
      </c>
      <c r="E25" s="296"/>
      <c r="F25" s="297"/>
      <c r="G25" s="301" t="s">
        <v>155</v>
      </c>
      <c r="H25" s="10"/>
      <c r="I25" s="5"/>
      <c r="O25" s="219" t="s">
        <v>373</v>
      </c>
      <c r="P25" s="220" t="s">
        <v>374</v>
      </c>
      <c r="Q25" s="221">
        <v>1</v>
      </c>
    </row>
    <row r="26" spans="3:17" ht="12.75" customHeight="1" thickBot="1" x14ac:dyDescent="0.3">
      <c r="D26" s="298"/>
      <c r="E26" s="299"/>
      <c r="F26" s="300"/>
      <c r="G26" s="302"/>
      <c r="H26" s="10"/>
      <c r="I26" s="5"/>
      <c r="O26" s="219" t="s">
        <v>375</v>
      </c>
      <c r="P26" s="220" t="s">
        <v>376</v>
      </c>
      <c r="Q26" s="221">
        <v>1</v>
      </c>
    </row>
    <row r="27" spans="3:17" ht="13.8" thickBot="1" x14ac:dyDescent="0.3">
      <c r="H27" s="10"/>
      <c r="I27" s="5"/>
      <c r="O27" s="219" t="s">
        <v>182</v>
      </c>
      <c r="P27" s="220" t="s">
        <v>377</v>
      </c>
      <c r="Q27" s="221">
        <v>1</v>
      </c>
    </row>
    <row r="28" spans="3:17" x14ac:dyDescent="0.25">
      <c r="D28" s="309" t="s">
        <v>108</v>
      </c>
      <c r="E28" s="310"/>
      <c r="F28" s="310"/>
      <c r="G28" s="311"/>
      <c r="H28" s="10"/>
      <c r="I28" s="5"/>
      <c r="K28" s="315" t="s">
        <v>114</v>
      </c>
      <c r="L28" s="316"/>
      <c r="M28" s="317"/>
      <c r="O28" s="219" t="s">
        <v>183</v>
      </c>
      <c r="P28" s="220" t="s">
        <v>378</v>
      </c>
      <c r="Q28" s="221">
        <v>1</v>
      </c>
    </row>
    <row r="29" spans="3:17" ht="13.8" thickBot="1" x14ac:dyDescent="0.3">
      <c r="C29" s="11"/>
      <c r="D29" s="312"/>
      <c r="E29" s="313"/>
      <c r="F29" s="313"/>
      <c r="G29" s="314"/>
      <c r="H29" s="10"/>
      <c r="I29" s="5"/>
      <c r="K29" s="318"/>
      <c r="L29" s="319"/>
      <c r="M29" s="320"/>
      <c r="O29" s="219" t="s">
        <v>184</v>
      </c>
      <c r="P29" s="220" t="s">
        <v>379</v>
      </c>
      <c r="Q29" s="221">
        <v>1</v>
      </c>
    </row>
    <row r="30" spans="3:17" x14ac:dyDescent="0.25">
      <c r="H30" s="10"/>
      <c r="I30" s="5"/>
      <c r="K30" s="303" t="s">
        <v>156</v>
      </c>
      <c r="L30" s="304"/>
      <c r="M30" s="305"/>
      <c r="O30" s="219" t="s">
        <v>185</v>
      </c>
      <c r="P30" s="220" t="s">
        <v>380</v>
      </c>
      <c r="Q30" s="221">
        <v>1</v>
      </c>
    </row>
    <row r="31" spans="3:17" x14ac:dyDescent="0.25">
      <c r="K31" s="306"/>
      <c r="L31" s="307"/>
      <c r="M31" s="308"/>
      <c r="O31" s="219" t="s">
        <v>186</v>
      </c>
      <c r="P31" s="220" t="s">
        <v>381</v>
      </c>
      <c r="Q31" s="221">
        <v>1</v>
      </c>
    </row>
    <row r="32" spans="3:17" ht="13.8" thickBot="1" x14ac:dyDescent="0.3">
      <c r="O32" s="219" t="s">
        <v>187</v>
      </c>
      <c r="P32" s="220" t="s">
        <v>382</v>
      </c>
      <c r="Q32" s="221">
        <v>1</v>
      </c>
    </row>
    <row r="33" spans="3:17" x14ac:dyDescent="0.25">
      <c r="C33" s="282" t="s">
        <v>148</v>
      </c>
      <c r="D33" s="283"/>
      <c r="E33" s="283"/>
      <c r="F33" s="283" t="s">
        <v>160</v>
      </c>
      <c r="G33" s="283"/>
      <c r="H33" s="284"/>
      <c r="O33" s="219" t="s">
        <v>383</v>
      </c>
      <c r="P33" s="220" t="s">
        <v>384</v>
      </c>
      <c r="Q33" s="221">
        <v>1</v>
      </c>
    </row>
    <row r="34" spans="3:17" x14ac:dyDescent="0.25">
      <c r="C34" s="285" t="s">
        <v>149</v>
      </c>
      <c r="D34" s="286"/>
      <c r="E34" s="287"/>
      <c r="F34" s="287"/>
      <c r="G34" s="287"/>
      <c r="H34" s="288"/>
      <c r="O34" s="219" t="s">
        <v>385</v>
      </c>
      <c r="P34" s="220" t="s">
        <v>386</v>
      </c>
      <c r="Q34" s="221">
        <v>1</v>
      </c>
    </row>
    <row r="35" spans="3:17" x14ac:dyDescent="0.25">
      <c r="C35" s="285" t="s">
        <v>150</v>
      </c>
      <c r="D35" s="286"/>
      <c r="E35" s="289"/>
      <c r="F35" s="290"/>
      <c r="G35" s="290"/>
      <c r="H35" s="291"/>
      <c r="O35" s="219" t="s">
        <v>188</v>
      </c>
      <c r="P35" s="220" t="s">
        <v>387</v>
      </c>
      <c r="Q35" s="221">
        <v>1</v>
      </c>
    </row>
    <row r="36" spans="3:17" ht="13.8" thickBot="1" x14ac:dyDescent="0.3">
      <c r="C36" s="274" t="s">
        <v>151</v>
      </c>
      <c r="D36" s="275"/>
      <c r="E36" s="276"/>
      <c r="F36" s="277"/>
      <c r="G36" s="277"/>
      <c r="H36" s="278"/>
      <c r="O36" s="219" t="s">
        <v>189</v>
      </c>
      <c r="P36" s="220" t="s">
        <v>388</v>
      </c>
      <c r="Q36" s="221">
        <v>1</v>
      </c>
    </row>
    <row r="37" spans="3:17" ht="13.8" thickBot="1" x14ac:dyDescent="0.3">
      <c r="O37" s="219" t="s">
        <v>190</v>
      </c>
      <c r="P37" s="220" t="s">
        <v>389</v>
      </c>
      <c r="Q37" s="221">
        <v>1</v>
      </c>
    </row>
    <row r="38" spans="3:17" ht="13.8" thickBot="1" x14ac:dyDescent="0.3">
      <c r="D38" s="186"/>
      <c r="E38" s="279" t="s">
        <v>152</v>
      </c>
      <c r="F38" s="280"/>
      <c r="O38" s="219" t="s">
        <v>191</v>
      </c>
      <c r="P38" s="220" t="s">
        <v>390</v>
      </c>
      <c r="Q38" s="221">
        <v>1</v>
      </c>
    </row>
    <row r="39" spans="3:17" x14ac:dyDescent="0.25">
      <c r="C39" s="281"/>
      <c r="D39" s="281"/>
      <c r="E39" s="281"/>
      <c r="F39" s="281"/>
      <c r="G39" s="281"/>
      <c r="H39" s="281"/>
      <c r="O39" s="219" t="s">
        <v>192</v>
      </c>
      <c r="P39" s="220" t="s">
        <v>391</v>
      </c>
      <c r="Q39" s="221">
        <v>1</v>
      </c>
    </row>
    <row r="40" spans="3:17" ht="13.8" thickBot="1" x14ac:dyDescent="0.3">
      <c r="O40" s="219" t="s">
        <v>193</v>
      </c>
      <c r="P40" s="220" t="s">
        <v>392</v>
      </c>
      <c r="Q40" s="221">
        <v>1</v>
      </c>
    </row>
    <row r="41" spans="3:17" x14ac:dyDescent="0.25">
      <c r="C41" s="282" t="s">
        <v>161</v>
      </c>
      <c r="D41" s="283"/>
      <c r="E41" s="283"/>
      <c r="F41" s="283" t="s">
        <v>160</v>
      </c>
      <c r="G41" s="283"/>
      <c r="H41" s="284"/>
      <c r="O41" s="219" t="s">
        <v>393</v>
      </c>
      <c r="P41" s="220" t="s">
        <v>394</v>
      </c>
      <c r="Q41" s="221">
        <v>1</v>
      </c>
    </row>
    <row r="42" spans="3:17" x14ac:dyDescent="0.25">
      <c r="C42" s="285" t="s">
        <v>163</v>
      </c>
      <c r="D42" s="286"/>
      <c r="E42" s="287" t="s">
        <v>164</v>
      </c>
      <c r="F42" s="287"/>
      <c r="G42" s="287"/>
      <c r="H42" s="288"/>
      <c r="O42" s="219" t="s">
        <v>395</v>
      </c>
      <c r="P42" s="220" t="s">
        <v>396</v>
      </c>
      <c r="Q42" s="221">
        <v>1</v>
      </c>
    </row>
    <row r="43" spans="3:17" x14ac:dyDescent="0.25">
      <c r="C43" s="285" t="s">
        <v>150</v>
      </c>
      <c r="D43" s="286"/>
      <c r="E43" s="289"/>
      <c r="F43" s="290"/>
      <c r="G43" s="290"/>
      <c r="H43" s="291"/>
      <c r="O43" s="219" t="s">
        <v>194</v>
      </c>
      <c r="P43" s="220" t="s">
        <v>397</v>
      </c>
      <c r="Q43" s="221">
        <v>1</v>
      </c>
    </row>
    <row r="44" spans="3:17" ht="13.8" thickBot="1" x14ac:dyDescent="0.3">
      <c r="C44" s="274" t="s">
        <v>151</v>
      </c>
      <c r="D44" s="275"/>
      <c r="E44" s="276" t="s">
        <v>165</v>
      </c>
      <c r="F44" s="277"/>
      <c r="G44" s="277"/>
      <c r="H44" s="278"/>
      <c r="O44" s="219" t="s">
        <v>195</v>
      </c>
      <c r="P44" s="220" t="s">
        <v>398</v>
      </c>
      <c r="Q44" s="221">
        <v>1</v>
      </c>
    </row>
    <row r="45" spans="3:17" ht="13.8" thickBot="1" x14ac:dyDescent="0.3">
      <c r="F45" s="5"/>
      <c r="G45" s="5"/>
      <c r="H45" s="5"/>
      <c r="O45" s="219" t="s">
        <v>196</v>
      </c>
      <c r="P45" s="220" t="s">
        <v>399</v>
      </c>
      <c r="Q45" s="221">
        <v>1</v>
      </c>
    </row>
    <row r="46" spans="3:17" ht="13.8" thickBot="1" x14ac:dyDescent="0.3">
      <c r="D46" s="186"/>
      <c r="E46" s="279" t="s">
        <v>152</v>
      </c>
      <c r="F46" s="280"/>
      <c r="O46" s="219" t="s">
        <v>197</v>
      </c>
      <c r="P46" s="220" t="s">
        <v>400</v>
      </c>
      <c r="Q46" s="221">
        <v>1</v>
      </c>
    </row>
    <row r="47" spans="3:17" x14ac:dyDescent="0.25">
      <c r="C47" s="281" t="s">
        <v>166</v>
      </c>
      <c r="D47" s="281"/>
      <c r="E47" s="281"/>
      <c r="F47" s="281"/>
      <c r="G47" s="281"/>
      <c r="H47" s="281"/>
      <c r="O47" s="219" t="s">
        <v>198</v>
      </c>
      <c r="P47" s="220" t="s">
        <v>401</v>
      </c>
      <c r="Q47" s="221">
        <v>1</v>
      </c>
    </row>
    <row r="48" spans="3:17" x14ac:dyDescent="0.25">
      <c r="O48" s="219" t="s">
        <v>199</v>
      </c>
      <c r="P48" s="220" t="s">
        <v>402</v>
      </c>
      <c r="Q48" s="221">
        <v>1</v>
      </c>
    </row>
    <row r="49" spans="15:17" x14ac:dyDescent="0.25">
      <c r="O49" s="219" t="s">
        <v>403</v>
      </c>
      <c r="P49" s="220" t="s">
        <v>404</v>
      </c>
      <c r="Q49" s="221">
        <v>1</v>
      </c>
    </row>
    <row r="50" spans="15:17" x14ac:dyDescent="0.25">
      <c r="O50" s="219" t="s">
        <v>405</v>
      </c>
      <c r="P50" s="220" t="s">
        <v>406</v>
      </c>
      <c r="Q50" s="221">
        <v>1</v>
      </c>
    </row>
    <row r="51" spans="15:17" x14ac:dyDescent="0.25">
      <c r="O51" s="219" t="s">
        <v>200</v>
      </c>
      <c r="P51" s="220" t="s">
        <v>407</v>
      </c>
      <c r="Q51" s="221">
        <v>1</v>
      </c>
    </row>
    <row r="52" spans="15:17" x14ac:dyDescent="0.25">
      <c r="O52" s="219" t="s">
        <v>201</v>
      </c>
      <c r="P52" s="220" t="s">
        <v>408</v>
      </c>
      <c r="Q52" s="221">
        <v>1</v>
      </c>
    </row>
    <row r="53" spans="15:17" x14ac:dyDescent="0.25">
      <c r="O53" s="219" t="s">
        <v>202</v>
      </c>
      <c r="P53" s="220" t="s">
        <v>409</v>
      </c>
      <c r="Q53" s="221">
        <v>1</v>
      </c>
    </row>
    <row r="54" spans="15:17" x14ac:dyDescent="0.25">
      <c r="O54" s="219" t="s">
        <v>203</v>
      </c>
      <c r="P54" s="220" t="s">
        <v>410</v>
      </c>
      <c r="Q54" s="221">
        <v>1</v>
      </c>
    </row>
    <row r="55" spans="15:17" x14ac:dyDescent="0.25">
      <c r="O55" s="219" t="s">
        <v>204</v>
      </c>
      <c r="P55" s="220" t="s">
        <v>411</v>
      </c>
      <c r="Q55" s="221">
        <v>1</v>
      </c>
    </row>
    <row r="56" spans="15:17" x14ac:dyDescent="0.25">
      <c r="O56" s="219" t="s">
        <v>205</v>
      </c>
      <c r="P56" s="220" t="s">
        <v>412</v>
      </c>
      <c r="Q56" s="221">
        <v>1</v>
      </c>
    </row>
    <row r="57" spans="15:17" x14ac:dyDescent="0.25">
      <c r="O57" s="219" t="s">
        <v>413</v>
      </c>
      <c r="P57" s="220" t="s">
        <v>414</v>
      </c>
      <c r="Q57" s="221">
        <v>1</v>
      </c>
    </row>
    <row r="58" spans="15:17" x14ac:dyDescent="0.25">
      <c r="O58" s="219" t="s">
        <v>415</v>
      </c>
      <c r="P58" s="220" t="s">
        <v>416</v>
      </c>
      <c r="Q58" s="221">
        <v>1</v>
      </c>
    </row>
    <row r="59" spans="15:17" x14ac:dyDescent="0.25">
      <c r="O59" s="219" t="s">
        <v>206</v>
      </c>
      <c r="P59" s="220" t="s">
        <v>417</v>
      </c>
      <c r="Q59" s="221">
        <v>1</v>
      </c>
    </row>
    <row r="60" spans="15:17" x14ac:dyDescent="0.25">
      <c r="O60" s="219" t="s">
        <v>207</v>
      </c>
      <c r="P60" s="220" t="s">
        <v>418</v>
      </c>
      <c r="Q60" s="221">
        <v>1</v>
      </c>
    </row>
    <row r="61" spans="15:17" x14ac:dyDescent="0.25">
      <c r="O61" s="219" t="s">
        <v>208</v>
      </c>
      <c r="P61" s="220" t="s">
        <v>419</v>
      </c>
      <c r="Q61" s="221">
        <v>1</v>
      </c>
    </row>
    <row r="62" spans="15:17" x14ac:dyDescent="0.25">
      <c r="O62" s="219" t="s">
        <v>209</v>
      </c>
      <c r="P62" s="220" t="s">
        <v>420</v>
      </c>
      <c r="Q62" s="221">
        <v>1</v>
      </c>
    </row>
    <row r="63" spans="15:17" x14ac:dyDescent="0.25">
      <c r="O63" s="219" t="s">
        <v>210</v>
      </c>
      <c r="P63" s="220" t="s">
        <v>421</v>
      </c>
      <c r="Q63" s="221">
        <v>1</v>
      </c>
    </row>
    <row r="64" spans="15:17" x14ac:dyDescent="0.25">
      <c r="O64" s="219" t="s">
        <v>211</v>
      </c>
      <c r="P64" s="220" t="s">
        <v>422</v>
      </c>
      <c r="Q64" s="221">
        <v>1</v>
      </c>
    </row>
    <row r="65" spans="15:17" x14ac:dyDescent="0.25">
      <c r="O65" s="219" t="s">
        <v>423</v>
      </c>
      <c r="P65" s="220" t="s">
        <v>424</v>
      </c>
      <c r="Q65" s="221">
        <v>1</v>
      </c>
    </row>
    <row r="66" spans="15:17" x14ac:dyDescent="0.25">
      <c r="O66" s="219" t="s">
        <v>425</v>
      </c>
      <c r="P66" s="220" t="s">
        <v>426</v>
      </c>
      <c r="Q66" s="221">
        <v>1</v>
      </c>
    </row>
    <row r="67" spans="15:17" x14ac:dyDescent="0.25">
      <c r="O67" s="219" t="s">
        <v>212</v>
      </c>
      <c r="P67" s="220" t="s">
        <v>427</v>
      </c>
      <c r="Q67" s="221">
        <v>1</v>
      </c>
    </row>
    <row r="68" spans="15:17" x14ac:dyDescent="0.25">
      <c r="O68" s="219" t="s">
        <v>213</v>
      </c>
      <c r="P68" s="220" t="s">
        <v>428</v>
      </c>
      <c r="Q68" s="221">
        <v>1</v>
      </c>
    </row>
    <row r="69" spans="15:17" x14ac:dyDescent="0.25">
      <c r="O69" s="219" t="s">
        <v>214</v>
      </c>
      <c r="P69" s="220" t="s">
        <v>429</v>
      </c>
      <c r="Q69" s="221">
        <v>1</v>
      </c>
    </row>
    <row r="70" spans="15:17" x14ac:dyDescent="0.25">
      <c r="O70" s="219" t="s">
        <v>215</v>
      </c>
      <c r="P70" s="220" t="s">
        <v>430</v>
      </c>
      <c r="Q70" s="221">
        <v>1</v>
      </c>
    </row>
    <row r="71" spans="15:17" x14ac:dyDescent="0.25">
      <c r="O71" s="219" t="s">
        <v>216</v>
      </c>
      <c r="P71" s="220" t="s">
        <v>431</v>
      </c>
      <c r="Q71" s="221">
        <v>1</v>
      </c>
    </row>
    <row r="72" spans="15:17" x14ac:dyDescent="0.25">
      <c r="O72" s="219" t="s">
        <v>217</v>
      </c>
      <c r="P72" s="220" t="s">
        <v>432</v>
      </c>
      <c r="Q72" s="221">
        <v>1</v>
      </c>
    </row>
    <row r="73" spans="15:17" x14ac:dyDescent="0.25">
      <c r="O73" s="219" t="s">
        <v>433</v>
      </c>
      <c r="P73" s="220" t="s">
        <v>434</v>
      </c>
      <c r="Q73" s="221">
        <v>1</v>
      </c>
    </row>
    <row r="74" spans="15:17" x14ac:dyDescent="0.25">
      <c r="O74" s="219" t="s">
        <v>435</v>
      </c>
      <c r="P74" s="220" t="s">
        <v>436</v>
      </c>
      <c r="Q74" s="221">
        <v>1</v>
      </c>
    </row>
    <row r="75" spans="15:17" x14ac:dyDescent="0.25">
      <c r="O75" s="219" t="s">
        <v>218</v>
      </c>
      <c r="P75" s="220" t="s">
        <v>437</v>
      </c>
      <c r="Q75" s="221">
        <v>1</v>
      </c>
    </row>
    <row r="76" spans="15:17" x14ac:dyDescent="0.25">
      <c r="O76" s="219" t="s">
        <v>219</v>
      </c>
      <c r="P76" s="220" t="s">
        <v>438</v>
      </c>
      <c r="Q76" s="221">
        <v>1</v>
      </c>
    </row>
    <row r="77" spans="15:17" x14ac:dyDescent="0.25">
      <c r="O77" s="219" t="s">
        <v>220</v>
      </c>
      <c r="P77" s="220" t="s">
        <v>439</v>
      </c>
      <c r="Q77" s="221">
        <v>1</v>
      </c>
    </row>
    <row r="78" spans="15:17" x14ac:dyDescent="0.25">
      <c r="O78" s="219" t="s">
        <v>221</v>
      </c>
      <c r="P78" s="220" t="s">
        <v>440</v>
      </c>
      <c r="Q78" s="221">
        <v>1</v>
      </c>
    </row>
    <row r="79" spans="15:17" x14ac:dyDescent="0.25">
      <c r="O79" s="219" t="s">
        <v>222</v>
      </c>
      <c r="P79" s="220" t="s">
        <v>441</v>
      </c>
      <c r="Q79" s="221">
        <v>1</v>
      </c>
    </row>
    <row r="80" spans="15:17" x14ac:dyDescent="0.25">
      <c r="O80" s="219" t="s">
        <v>223</v>
      </c>
      <c r="P80" s="220" t="s">
        <v>442</v>
      </c>
      <c r="Q80" s="221">
        <v>1</v>
      </c>
    </row>
    <row r="81" spans="15:17" x14ac:dyDescent="0.25">
      <c r="O81" s="219" t="s">
        <v>443</v>
      </c>
      <c r="P81" s="220" t="s">
        <v>444</v>
      </c>
      <c r="Q81" s="221">
        <v>1</v>
      </c>
    </row>
    <row r="82" spans="15:17" x14ac:dyDescent="0.25">
      <c r="O82" s="219" t="s">
        <v>445</v>
      </c>
      <c r="P82" s="220" t="s">
        <v>446</v>
      </c>
      <c r="Q82" s="221">
        <v>1</v>
      </c>
    </row>
    <row r="83" spans="15:17" x14ac:dyDescent="0.25">
      <c r="O83" s="219" t="s">
        <v>224</v>
      </c>
      <c r="P83" s="220" t="s">
        <v>447</v>
      </c>
      <c r="Q83" s="221">
        <v>1</v>
      </c>
    </row>
    <row r="84" spans="15:17" x14ac:dyDescent="0.25">
      <c r="O84" s="219" t="s">
        <v>225</v>
      </c>
      <c r="P84" s="220" t="s">
        <v>448</v>
      </c>
      <c r="Q84" s="221">
        <v>1</v>
      </c>
    </row>
    <row r="85" spans="15:17" x14ac:dyDescent="0.25">
      <c r="O85" s="219" t="s">
        <v>226</v>
      </c>
      <c r="P85" s="220" t="s">
        <v>449</v>
      </c>
      <c r="Q85" s="221">
        <v>1</v>
      </c>
    </row>
    <row r="86" spans="15:17" x14ac:dyDescent="0.25">
      <c r="O86" s="219" t="s">
        <v>227</v>
      </c>
      <c r="P86" s="220" t="s">
        <v>450</v>
      </c>
      <c r="Q86" s="221">
        <v>1</v>
      </c>
    </row>
    <row r="87" spans="15:17" x14ac:dyDescent="0.25">
      <c r="O87" s="219" t="s">
        <v>228</v>
      </c>
      <c r="P87" s="220" t="s">
        <v>451</v>
      </c>
      <c r="Q87" s="221">
        <v>1</v>
      </c>
    </row>
    <row r="88" spans="15:17" x14ac:dyDescent="0.25">
      <c r="O88" s="219" t="s">
        <v>229</v>
      </c>
      <c r="P88" s="220" t="s">
        <v>452</v>
      </c>
      <c r="Q88" s="221">
        <v>1</v>
      </c>
    </row>
    <row r="89" spans="15:17" x14ac:dyDescent="0.25">
      <c r="O89" s="219" t="s">
        <v>453</v>
      </c>
      <c r="P89" s="220" t="s">
        <v>454</v>
      </c>
      <c r="Q89" s="221">
        <v>1</v>
      </c>
    </row>
    <row r="90" spans="15:17" x14ac:dyDescent="0.25">
      <c r="O90" s="219" t="s">
        <v>455</v>
      </c>
      <c r="P90" s="220" t="s">
        <v>456</v>
      </c>
      <c r="Q90" s="221">
        <v>1</v>
      </c>
    </row>
    <row r="91" spans="15:17" x14ac:dyDescent="0.25">
      <c r="O91" s="219" t="s">
        <v>230</v>
      </c>
      <c r="P91" s="220" t="s">
        <v>457</v>
      </c>
      <c r="Q91" s="221">
        <v>1</v>
      </c>
    </row>
    <row r="92" spans="15:17" x14ac:dyDescent="0.25">
      <c r="O92" s="219" t="s">
        <v>231</v>
      </c>
      <c r="P92" s="220" t="s">
        <v>458</v>
      </c>
      <c r="Q92" s="221">
        <v>1</v>
      </c>
    </row>
    <row r="93" spans="15:17" x14ac:dyDescent="0.25">
      <c r="O93" s="219" t="s">
        <v>232</v>
      </c>
      <c r="P93" s="220" t="s">
        <v>459</v>
      </c>
      <c r="Q93" s="221">
        <v>1</v>
      </c>
    </row>
    <row r="94" spans="15:17" x14ac:dyDescent="0.25">
      <c r="O94" s="219" t="s">
        <v>233</v>
      </c>
      <c r="P94" s="220" t="s">
        <v>460</v>
      </c>
      <c r="Q94" s="221">
        <v>1</v>
      </c>
    </row>
    <row r="95" spans="15:17" x14ac:dyDescent="0.25">
      <c r="O95" s="219" t="s">
        <v>234</v>
      </c>
      <c r="P95" s="220" t="s">
        <v>461</v>
      </c>
      <c r="Q95" s="221">
        <v>1</v>
      </c>
    </row>
    <row r="96" spans="15:17" x14ac:dyDescent="0.25">
      <c r="O96" s="219" t="s">
        <v>235</v>
      </c>
      <c r="P96" s="220" t="s">
        <v>462</v>
      </c>
      <c r="Q96" s="221">
        <v>1</v>
      </c>
    </row>
    <row r="97" spans="15:17" x14ac:dyDescent="0.25">
      <c r="O97" s="219" t="s">
        <v>463</v>
      </c>
      <c r="P97" s="220" t="s">
        <v>464</v>
      </c>
      <c r="Q97" s="221">
        <v>1</v>
      </c>
    </row>
    <row r="98" spans="15:17" x14ac:dyDescent="0.25">
      <c r="O98" s="219" t="s">
        <v>465</v>
      </c>
      <c r="P98" s="220" t="s">
        <v>466</v>
      </c>
      <c r="Q98" s="221">
        <v>1</v>
      </c>
    </row>
    <row r="99" spans="15:17" x14ac:dyDescent="0.25">
      <c r="O99" s="219" t="s">
        <v>236</v>
      </c>
      <c r="P99" s="220" t="s">
        <v>467</v>
      </c>
      <c r="Q99" s="221">
        <v>1</v>
      </c>
    </row>
    <row r="100" spans="15:17" x14ac:dyDescent="0.25">
      <c r="O100" s="219" t="s">
        <v>237</v>
      </c>
      <c r="P100" s="220" t="s">
        <v>468</v>
      </c>
      <c r="Q100" s="221">
        <v>1</v>
      </c>
    </row>
    <row r="101" spans="15:17" x14ac:dyDescent="0.25">
      <c r="O101" s="219" t="s">
        <v>238</v>
      </c>
      <c r="P101" s="220" t="s">
        <v>469</v>
      </c>
      <c r="Q101" s="221">
        <v>1</v>
      </c>
    </row>
    <row r="102" spans="15:17" x14ac:dyDescent="0.25">
      <c r="O102" s="219" t="s">
        <v>239</v>
      </c>
      <c r="P102" s="220" t="s">
        <v>470</v>
      </c>
      <c r="Q102" s="221">
        <v>1</v>
      </c>
    </row>
    <row r="103" spans="15:17" x14ac:dyDescent="0.25">
      <c r="O103" s="219" t="s">
        <v>240</v>
      </c>
      <c r="P103" s="220" t="s">
        <v>471</v>
      </c>
      <c r="Q103" s="221">
        <v>1</v>
      </c>
    </row>
    <row r="104" spans="15:17" x14ac:dyDescent="0.25">
      <c r="O104" s="219" t="s">
        <v>241</v>
      </c>
      <c r="P104" s="220" t="s">
        <v>472</v>
      </c>
      <c r="Q104" s="221">
        <v>1</v>
      </c>
    </row>
    <row r="105" spans="15:17" x14ac:dyDescent="0.25">
      <c r="O105" s="219" t="s">
        <v>473</v>
      </c>
      <c r="P105" s="220" t="s">
        <v>474</v>
      </c>
      <c r="Q105" s="221">
        <v>1</v>
      </c>
    </row>
    <row r="106" spans="15:17" x14ac:dyDescent="0.25">
      <c r="O106" s="219" t="s">
        <v>475</v>
      </c>
      <c r="P106" s="220" t="s">
        <v>476</v>
      </c>
      <c r="Q106" s="221">
        <v>1</v>
      </c>
    </row>
    <row r="107" spans="15:17" x14ac:dyDescent="0.25">
      <c r="O107" s="219" t="s">
        <v>242</v>
      </c>
      <c r="P107" s="220" t="s">
        <v>477</v>
      </c>
      <c r="Q107" s="221">
        <v>1</v>
      </c>
    </row>
    <row r="108" spans="15:17" x14ac:dyDescent="0.25">
      <c r="O108" s="219" t="s">
        <v>243</v>
      </c>
      <c r="P108" s="220" t="s">
        <v>478</v>
      </c>
      <c r="Q108" s="221">
        <v>1</v>
      </c>
    </row>
    <row r="109" spans="15:17" x14ac:dyDescent="0.25">
      <c r="O109" s="219" t="s">
        <v>244</v>
      </c>
      <c r="P109" s="220" t="s">
        <v>479</v>
      </c>
      <c r="Q109" s="221">
        <v>1</v>
      </c>
    </row>
    <row r="110" spans="15:17" x14ac:dyDescent="0.25">
      <c r="O110" s="219" t="s">
        <v>245</v>
      </c>
      <c r="P110" s="220" t="s">
        <v>480</v>
      </c>
      <c r="Q110" s="221">
        <v>1</v>
      </c>
    </row>
    <row r="111" spans="15:17" x14ac:dyDescent="0.25">
      <c r="O111" s="219" t="s">
        <v>246</v>
      </c>
      <c r="P111" s="220" t="s">
        <v>481</v>
      </c>
      <c r="Q111" s="221">
        <v>1</v>
      </c>
    </row>
    <row r="112" spans="15:17" x14ac:dyDescent="0.25">
      <c r="O112" s="219" t="s">
        <v>247</v>
      </c>
      <c r="P112" s="220" t="s">
        <v>482</v>
      </c>
      <c r="Q112" s="221">
        <v>1</v>
      </c>
    </row>
    <row r="113" spans="15:17" x14ac:dyDescent="0.25">
      <c r="O113" s="219" t="s">
        <v>483</v>
      </c>
      <c r="P113" s="220" t="s">
        <v>484</v>
      </c>
      <c r="Q113" s="221">
        <v>1</v>
      </c>
    </row>
    <row r="114" spans="15:17" x14ac:dyDescent="0.25">
      <c r="O114" s="219" t="s">
        <v>485</v>
      </c>
      <c r="P114" s="220" t="s">
        <v>486</v>
      </c>
      <c r="Q114" s="221">
        <v>1</v>
      </c>
    </row>
    <row r="115" spans="15:17" x14ac:dyDescent="0.25">
      <c r="O115" s="219" t="s">
        <v>248</v>
      </c>
      <c r="P115" s="220" t="s">
        <v>487</v>
      </c>
      <c r="Q115" s="221">
        <v>1</v>
      </c>
    </row>
    <row r="116" spans="15:17" x14ac:dyDescent="0.25">
      <c r="O116" s="219" t="s">
        <v>249</v>
      </c>
      <c r="P116" s="220" t="s">
        <v>488</v>
      </c>
      <c r="Q116" s="221">
        <v>1</v>
      </c>
    </row>
    <row r="117" spans="15:17" x14ac:dyDescent="0.25">
      <c r="O117" s="219" t="s">
        <v>250</v>
      </c>
      <c r="P117" s="220" t="s">
        <v>489</v>
      </c>
      <c r="Q117" s="221">
        <v>1</v>
      </c>
    </row>
    <row r="118" spans="15:17" x14ac:dyDescent="0.25">
      <c r="O118" s="219" t="s">
        <v>251</v>
      </c>
      <c r="P118" s="220" t="s">
        <v>490</v>
      </c>
      <c r="Q118" s="221">
        <v>1</v>
      </c>
    </row>
    <row r="119" spans="15:17" x14ac:dyDescent="0.25">
      <c r="O119" s="219" t="s">
        <v>252</v>
      </c>
      <c r="P119" s="220" t="s">
        <v>491</v>
      </c>
      <c r="Q119" s="221">
        <v>1</v>
      </c>
    </row>
    <row r="120" spans="15:17" x14ac:dyDescent="0.25">
      <c r="O120" s="219" t="s">
        <v>253</v>
      </c>
      <c r="P120" s="220" t="s">
        <v>492</v>
      </c>
      <c r="Q120" s="221">
        <v>1</v>
      </c>
    </row>
    <row r="121" spans="15:17" x14ac:dyDescent="0.25">
      <c r="O121" s="219" t="s">
        <v>493</v>
      </c>
      <c r="P121" s="220" t="s">
        <v>494</v>
      </c>
      <c r="Q121" s="221">
        <v>1</v>
      </c>
    </row>
    <row r="122" spans="15:17" x14ac:dyDescent="0.25">
      <c r="O122" s="219" t="s">
        <v>495</v>
      </c>
      <c r="P122" s="220" t="s">
        <v>496</v>
      </c>
      <c r="Q122" s="221">
        <v>1</v>
      </c>
    </row>
    <row r="123" spans="15:17" x14ac:dyDescent="0.25">
      <c r="O123" s="219" t="s">
        <v>254</v>
      </c>
      <c r="P123" s="220" t="s">
        <v>497</v>
      </c>
      <c r="Q123" s="221">
        <v>1</v>
      </c>
    </row>
    <row r="124" spans="15:17" x14ac:dyDescent="0.25">
      <c r="O124" s="219" t="s">
        <v>255</v>
      </c>
      <c r="P124" s="220" t="s">
        <v>498</v>
      </c>
      <c r="Q124" s="221">
        <v>1</v>
      </c>
    </row>
    <row r="125" spans="15:17" x14ac:dyDescent="0.25">
      <c r="O125" s="219" t="s">
        <v>256</v>
      </c>
      <c r="P125" s="220" t="s">
        <v>499</v>
      </c>
      <c r="Q125" s="221">
        <v>1</v>
      </c>
    </row>
    <row r="126" spans="15:17" x14ac:dyDescent="0.25">
      <c r="O126" s="219" t="s">
        <v>257</v>
      </c>
      <c r="P126" s="220" t="s">
        <v>500</v>
      </c>
      <c r="Q126" s="221">
        <v>1</v>
      </c>
    </row>
    <row r="127" spans="15:17" x14ac:dyDescent="0.25">
      <c r="O127" s="219" t="s">
        <v>258</v>
      </c>
      <c r="P127" s="220" t="s">
        <v>501</v>
      </c>
      <c r="Q127" s="221">
        <v>1</v>
      </c>
    </row>
    <row r="128" spans="15:17" x14ac:dyDescent="0.25">
      <c r="O128" s="219" t="s">
        <v>259</v>
      </c>
      <c r="P128" s="220" t="s">
        <v>502</v>
      </c>
      <c r="Q128" s="221">
        <v>1</v>
      </c>
    </row>
    <row r="129" spans="15:17" x14ac:dyDescent="0.25">
      <c r="O129" s="219" t="s">
        <v>503</v>
      </c>
      <c r="P129" s="220" t="s">
        <v>504</v>
      </c>
      <c r="Q129" s="221">
        <v>1</v>
      </c>
    </row>
    <row r="130" spans="15:17" x14ac:dyDescent="0.25">
      <c r="O130" s="219" t="s">
        <v>505</v>
      </c>
      <c r="P130" s="220" t="s">
        <v>506</v>
      </c>
      <c r="Q130" s="221">
        <v>1</v>
      </c>
    </row>
    <row r="131" spans="15:17" x14ac:dyDescent="0.25">
      <c r="O131" s="219" t="s">
        <v>260</v>
      </c>
      <c r="P131" s="220" t="s">
        <v>507</v>
      </c>
      <c r="Q131" s="221">
        <v>1</v>
      </c>
    </row>
    <row r="132" spans="15:17" x14ac:dyDescent="0.25">
      <c r="O132" s="219" t="s">
        <v>261</v>
      </c>
      <c r="P132" s="220" t="s">
        <v>508</v>
      </c>
      <c r="Q132" s="221">
        <v>1</v>
      </c>
    </row>
    <row r="133" spans="15:17" x14ac:dyDescent="0.25">
      <c r="O133" s="219" t="s">
        <v>262</v>
      </c>
      <c r="P133" s="220" t="s">
        <v>509</v>
      </c>
      <c r="Q133" s="221">
        <v>1</v>
      </c>
    </row>
    <row r="134" spans="15:17" x14ac:dyDescent="0.25">
      <c r="O134" s="219" t="s">
        <v>263</v>
      </c>
      <c r="P134" s="220" t="s">
        <v>510</v>
      </c>
      <c r="Q134" s="221">
        <v>1</v>
      </c>
    </row>
    <row r="135" spans="15:17" x14ac:dyDescent="0.25">
      <c r="O135" s="219" t="s">
        <v>264</v>
      </c>
      <c r="P135" s="220" t="s">
        <v>511</v>
      </c>
      <c r="Q135" s="221">
        <v>1</v>
      </c>
    </row>
    <row r="136" spans="15:17" x14ac:dyDescent="0.25">
      <c r="O136" s="219" t="s">
        <v>265</v>
      </c>
      <c r="P136" s="220" t="s">
        <v>512</v>
      </c>
      <c r="Q136" s="221">
        <v>1</v>
      </c>
    </row>
    <row r="137" spans="15:17" x14ac:dyDescent="0.25">
      <c r="O137" s="219" t="s">
        <v>513</v>
      </c>
      <c r="P137" s="220" t="s">
        <v>514</v>
      </c>
      <c r="Q137" s="221">
        <v>1</v>
      </c>
    </row>
    <row r="138" spans="15:17" x14ac:dyDescent="0.25">
      <c r="O138" s="219" t="s">
        <v>515</v>
      </c>
      <c r="P138" s="220" t="s">
        <v>516</v>
      </c>
      <c r="Q138" s="221">
        <v>1</v>
      </c>
    </row>
    <row r="139" spans="15:17" x14ac:dyDescent="0.25">
      <c r="O139" s="219" t="s">
        <v>266</v>
      </c>
      <c r="P139" s="220" t="s">
        <v>517</v>
      </c>
      <c r="Q139" s="221">
        <v>1</v>
      </c>
    </row>
    <row r="140" spans="15:17" x14ac:dyDescent="0.25">
      <c r="O140" s="219" t="s">
        <v>267</v>
      </c>
      <c r="P140" s="220" t="s">
        <v>518</v>
      </c>
      <c r="Q140" s="221">
        <v>1</v>
      </c>
    </row>
    <row r="141" spans="15:17" x14ac:dyDescent="0.25">
      <c r="O141" s="219" t="s">
        <v>268</v>
      </c>
      <c r="P141" s="220" t="s">
        <v>519</v>
      </c>
      <c r="Q141" s="221">
        <v>1</v>
      </c>
    </row>
    <row r="142" spans="15:17" x14ac:dyDescent="0.25">
      <c r="O142" s="219" t="s">
        <v>269</v>
      </c>
      <c r="P142" s="220" t="s">
        <v>520</v>
      </c>
      <c r="Q142" s="221">
        <v>1</v>
      </c>
    </row>
    <row r="143" spans="15:17" x14ac:dyDescent="0.25">
      <c r="O143" s="219" t="s">
        <v>270</v>
      </c>
      <c r="P143" s="220" t="s">
        <v>521</v>
      </c>
      <c r="Q143" s="221">
        <v>1</v>
      </c>
    </row>
    <row r="144" spans="15:17" x14ac:dyDescent="0.25">
      <c r="O144" s="219" t="s">
        <v>271</v>
      </c>
      <c r="P144" s="220" t="s">
        <v>522</v>
      </c>
      <c r="Q144" s="221">
        <v>1</v>
      </c>
    </row>
    <row r="145" spans="15:17" x14ac:dyDescent="0.25">
      <c r="O145" s="219" t="s">
        <v>523</v>
      </c>
      <c r="P145" s="220" t="s">
        <v>524</v>
      </c>
      <c r="Q145" s="221">
        <v>1</v>
      </c>
    </row>
    <row r="146" spans="15:17" x14ac:dyDescent="0.25">
      <c r="O146" s="219" t="s">
        <v>525</v>
      </c>
      <c r="P146" s="220" t="s">
        <v>526</v>
      </c>
      <c r="Q146" s="221">
        <v>1</v>
      </c>
    </row>
    <row r="147" spans="15:17" x14ac:dyDescent="0.25">
      <c r="O147" s="219" t="s">
        <v>272</v>
      </c>
      <c r="P147" s="220" t="s">
        <v>527</v>
      </c>
      <c r="Q147" s="221">
        <v>1</v>
      </c>
    </row>
    <row r="148" spans="15:17" x14ac:dyDescent="0.25">
      <c r="O148" s="219" t="s">
        <v>273</v>
      </c>
      <c r="P148" s="220" t="s">
        <v>528</v>
      </c>
      <c r="Q148" s="221">
        <v>1</v>
      </c>
    </row>
    <row r="149" spans="15:17" x14ac:dyDescent="0.25">
      <c r="O149" s="219" t="s">
        <v>274</v>
      </c>
      <c r="P149" s="220" t="s">
        <v>529</v>
      </c>
      <c r="Q149" s="221">
        <v>1</v>
      </c>
    </row>
    <row r="150" spans="15:17" x14ac:dyDescent="0.25">
      <c r="O150" s="219" t="s">
        <v>275</v>
      </c>
      <c r="P150" s="220" t="s">
        <v>530</v>
      </c>
      <c r="Q150" s="221">
        <v>1</v>
      </c>
    </row>
    <row r="151" spans="15:17" x14ac:dyDescent="0.25">
      <c r="O151" s="219" t="s">
        <v>276</v>
      </c>
      <c r="P151" s="220" t="s">
        <v>531</v>
      </c>
      <c r="Q151" s="221">
        <v>1</v>
      </c>
    </row>
    <row r="152" spans="15:17" x14ac:dyDescent="0.25">
      <c r="O152" s="219" t="s">
        <v>277</v>
      </c>
      <c r="P152" s="220" t="s">
        <v>532</v>
      </c>
      <c r="Q152" s="221">
        <v>1</v>
      </c>
    </row>
    <row r="153" spans="15:17" x14ac:dyDescent="0.25">
      <c r="O153" s="219" t="s">
        <v>533</v>
      </c>
      <c r="P153" s="220" t="s">
        <v>534</v>
      </c>
      <c r="Q153" s="221">
        <v>1</v>
      </c>
    </row>
    <row r="154" spans="15:17" x14ac:dyDescent="0.25">
      <c r="O154" s="219" t="s">
        <v>535</v>
      </c>
      <c r="P154" s="220" t="s">
        <v>536</v>
      </c>
      <c r="Q154" s="221">
        <v>1</v>
      </c>
    </row>
    <row r="155" spans="15:17" x14ac:dyDescent="0.25">
      <c r="O155" s="219" t="s">
        <v>278</v>
      </c>
      <c r="P155" s="220" t="s">
        <v>537</v>
      </c>
      <c r="Q155" s="221">
        <v>1</v>
      </c>
    </row>
    <row r="156" spans="15:17" x14ac:dyDescent="0.25">
      <c r="O156" s="219" t="s">
        <v>279</v>
      </c>
      <c r="P156" s="220" t="s">
        <v>538</v>
      </c>
      <c r="Q156" s="221">
        <v>1</v>
      </c>
    </row>
    <row r="157" spans="15:17" x14ac:dyDescent="0.25">
      <c r="O157" s="219" t="s">
        <v>280</v>
      </c>
      <c r="P157" s="220" t="s">
        <v>539</v>
      </c>
      <c r="Q157" s="221">
        <v>1</v>
      </c>
    </row>
    <row r="158" spans="15:17" x14ac:dyDescent="0.25">
      <c r="O158" s="219" t="s">
        <v>281</v>
      </c>
      <c r="P158" s="220" t="s">
        <v>540</v>
      </c>
      <c r="Q158" s="221">
        <v>1</v>
      </c>
    </row>
    <row r="159" spans="15:17" x14ac:dyDescent="0.25">
      <c r="O159" s="219" t="s">
        <v>282</v>
      </c>
      <c r="P159" s="220" t="s">
        <v>541</v>
      </c>
      <c r="Q159" s="221">
        <v>1</v>
      </c>
    </row>
    <row r="160" spans="15:17" x14ac:dyDescent="0.25">
      <c r="O160" s="219" t="s">
        <v>283</v>
      </c>
      <c r="P160" s="220" t="s">
        <v>542</v>
      </c>
      <c r="Q160" s="221">
        <v>1</v>
      </c>
    </row>
    <row r="161" spans="15:17" x14ac:dyDescent="0.25">
      <c r="O161" s="219" t="s">
        <v>543</v>
      </c>
      <c r="P161" s="220" t="s">
        <v>544</v>
      </c>
      <c r="Q161" s="221">
        <v>1</v>
      </c>
    </row>
    <row r="162" spans="15:17" x14ac:dyDescent="0.25">
      <c r="O162" s="219" t="s">
        <v>545</v>
      </c>
      <c r="P162" s="220" t="s">
        <v>546</v>
      </c>
      <c r="Q162" s="221">
        <v>1</v>
      </c>
    </row>
    <row r="163" spans="15:17" x14ac:dyDescent="0.25">
      <c r="O163" s="219" t="s">
        <v>284</v>
      </c>
      <c r="P163" s="220" t="s">
        <v>547</v>
      </c>
      <c r="Q163" s="221">
        <v>1</v>
      </c>
    </row>
    <row r="164" spans="15:17" x14ac:dyDescent="0.25">
      <c r="O164" s="219" t="s">
        <v>285</v>
      </c>
      <c r="P164" s="220" t="s">
        <v>548</v>
      </c>
      <c r="Q164" s="221">
        <v>1</v>
      </c>
    </row>
    <row r="165" spans="15:17" x14ac:dyDescent="0.25">
      <c r="O165" s="219" t="s">
        <v>286</v>
      </c>
      <c r="P165" s="220" t="s">
        <v>549</v>
      </c>
      <c r="Q165" s="221">
        <v>1</v>
      </c>
    </row>
    <row r="166" spans="15:17" x14ac:dyDescent="0.25">
      <c r="O166" s="219" t="s">
        <v>287</v>
      </c>
      <c r="P166" s="220" t="s">
        <v>550</v>
      </c>
      <c r="Q166" s="221">
        <v>1</v>
      </c>
    </row>
    <row r="167" spans="15:17" x14ac:dyDescent="0.25">
      <c r="O167" s="219" t="s">
        <v>288</v>
      </c>
      <c r="P167" s="220" t="s">
        <v>551</v>
      </c>
      <c r="Q167" s="221">
        <v>1</v>
      </c>
    </row>
    <row r="168" spans="15:17" x14ac:dyDescent="0.25">
      <c r="O168" s="219" t="s">
        <v>289</v>
      </c>
      <c r="P168" s="220" t="s">
        <v>552</v>
      </c>
      <c r="Q168" s="221">
        <v>1</v>
      </c>
    </row>
    <row r="169" spans="15:17" x14ac:dyDescent="0.25">
      <c r="O169" s="219" t="s">
        <v>553</v>
      </c>
      <c r="P169" s="220" t="s">
        <v>554</v>
      </c>
      <c r="Q169" s="221">
        <v>1</v>
      </c>
    </row>
    <row r="170" spans="15:17" x14ac:dyDescent="0.25">
      <c r="O170" s="219" t="s">
        <v>555</v>
      </c>
      <c r="P170" s="220" t="s">
        <v>556</v>
      </c>
      <c r="Q170" s="221">
        <v>1</v>
      </c>
    </row>
    <row r="171" spans="15:17" x14ac:dyDescent="0.25">
      <c r="O171" s="219" t="s">
        <v>290</v>
      </c>
      <c r="P171" s="220" t="s">
        <v>557</v>
      </c>
      <c r="Q171" s="221">
        <v>1</v>
      </c>
    </row>
    <row r="172" spans="15:17" x14ac:dyDescent="0.25">
      <c r="O172" s="219" t="s">
        <v>291</v>
      </c>
      <c r="P172" s="220" t="s">
        <v>558</v>
      </c>
      <c r="Q172" s="221">
        <v>1</v>
      </c>
    </row>
    <row r="173" spans="15:17" x14ac:dyDescent="0.25">
      <c r="O173" s="219" t="s">
        <v>292</v>
      </c>
      <c r="P173" s="220" t="s">
        <v>559</v>
      </c>
      <c r="Q173" s="221">
        <v>1</v>
      </c>
    </row>
    <row r="174" spans="15:17" x14ac:dyDescent="0.25">
      <c r="O174" s="219" t="s">
        <v>293</v>
      </c>
      <c r="P174" s="220" t="s">
        <v>560</v>
      </c>
      <c r="Q174" s="221">
        <v>1</v>
      </c>
    </row>
    <row r="175" spans="15:17" x14ac:dyDescent="0.25">
      <c r="O175" s="219" t="s">
        <v>294</v>
      </c>
      <c r="P175" s="220" t="s">
        <v>561</v>
      </c>
      <c r="Q175" s="221">
        <v>1</v>
      </c>
    </row>
    <row r="176" spans="15:17" x14ac:dyDescent="0.25">
      <c r="O176" s="219" t="s">
        <v>295</v>
      </c>
      <c r="P176" s="220" t="s">
        <v>562</v>
      </c>
      <c r="Q176" s="221">
        <v>1</v>
      </c>
    </row>
    <row r="177" spans="15:17" x14ac:dyDescent="0.25">
      <c r="O177" s="219" t="s">
        <v>563</v>
      </c>
      <c r="P177" s="220" t="s">
        <v>564</v>
      </c>
      <c r="Q177" s="221">
        <v>1</v>
      </c>
    </row>
    <row r="178" spans="15:17" x14ac:dyDescent="0.25">
      <c r="O178" s="219" t="s">
        <v>565</v>
      </c>
      <c r="P178" s="220" t="s">
        <v>566</v>
      </c>
      <c r="Q178" s="221">
        <v>1</v>
      </c>
    </row>
    <row r="179" spans="15:17" x14ac:dyDescent="0.25">
      <c r="O179" s="219" t="s">
        <v>296</v>
      </c>
      <c r="P179" s="220" t="s">
        <v>567</v>
      </c>
      <c r="Q179" s="221">
        <v>1</v>
      </c>
    </row>
    <row r="180" spans="15:17" x14ac:dyDescent="0.25">
      <c r="O180" s="219" t="s">
        <v>297</v>
      </c>
      <c r="P180" s="220" t="s">
        <v>568</v>
      </c>
      <c r="Q180" s="221">
        <v>1</v>
      </c>
    </row>
    <row r="181" spans="15:17" x14ac:dyDescent="0.25">
      <c r="O181" s="219" t="s">
        <v>298</v>
      </c>
      <c r="P181" s="220" t="s">
        <v>569</v>
      </c>
      <c r="Q181" s="221">
        <v>1</v>
      </c>
    </row>
    <row r="182" spans="15:17" x14ac:dyDescent="0.25">
      <c r="O182" s="219" t="s">
        <v>299</v>
      </c>
      <c r="P182" s="220" t="s">
        <v>570</v>
      </c>
      <c r="Q182" s="221">
        <v>1</v>
      </c>
    </row>
    <row r="183" spans="15:17" x14ac:dyDescent="0.25">
      <c r="O183" s="219" t="s">
        <v>300</v>
      </c>
      <c r="P183" s="220" t="s">
        <v>571</v>
      </c>
      <c r="Q183" s="221">
        <v>1</v>
      </c>
    </row>
    <row r="184" spans="15:17" x14ac:dyDescent="0.25">
      <c r="O184" s="219" t="s">
        <v>301</v>
      </c>
      <c r="P184" s="220" t="s">
        <v>572</v>
      </c>
      <c r="Q184" s="221">
        <v>1</v>
      </c>
    </row>
    <row r="185" spans="15:17" x14ac:dyDescent="0.25">
      <c r="O185" s="219" t="s">
        <v>573</v>
      </c>
      <c r="P185" s="220" t="s">
        <v>574</v>
      </c>
      <c r="Q185" s="221">
        <v>1</v>
      </c>
    </row>
    <row r="186" spans="15:17" x14ac:dyDescent="0.25">
      <c r="O186" s="219" t="s">
        <v>575</v>
      </c>
      <c r="P186" s="220" t="s">
        <v>576</v>
      </c>
      <c r="Q186" s="221">
        <v>1</v>
      </c>
    </row>
    <row r="187" spans="15:17" x14ac:dyDescent="0.25">
      <c r="O187" s="219" t="s">
        <v>302</v>
      </c>
      <c r="P187" s="220" t="s">
        <v>577</v>
      </c>
      <c r="Q187" s="221">
        <v>1</v>
      </c>
    </row>
    <row r="188" spans="15:17" x14ac:dyDescent="0.25">
      <c r="O188" s="219" t="s">
        <v>303</v>
      </c>
      <c r="P188" s="220" t="s">
        <v>578</v>
      </c>
      <c r="Q188" s="221">
        <v>1</v>
      </c>
    </row>
    <row r="189" spans="15:17" x14ac:dyDescent="0.25">
      <c r="O189" s="219" t="s">
        <v>304</v>
      </c>
      <c r="P189" s="220" t="s">
        <v>579</v>
      </c>
      <c r="Q189" s="221">
        <v>1</v>
      </c>
    </row>
    <row r="190" spans="15:17" x14ac:dyDescent="0.25">
      <c r="O190" s="219" t="s">
        <v>305</v>
      </c>
      <c r="P190" s="220" t="s">
        <v>580</v>
      </c>
      <c r="Q190" s="221">
        <v>1</v>
      </c>
    </row>
    <row r="191" spans="15:17" x14ac:dyDescent="0.25">
      <c r="O191" s="219" t="s">
        <v>306</v>
      </c>
      <c r="P191" s="220" t="s">
        <v>581</v>
      </c>
      <c r="Q191" s="221">
        <v>1</v>
      </c>
    </row>
    <row r="192" spans="15:17" x14ac:dyDescent="0.25">
      <c r="O192" s="219" t="s">
        <v>307</v>
      </c>
      <c r="P192" s="220" t="s">
        <v>582</v>
      </c>
      <c r="Q192" s="221">
        <v>1</v>
      </c>
    </row>
    <row r="193" spans="15:17" x14ac:dyDescent="0.25">
      <c r="O193" s="219" t="s">
        <v>583</v>
      </c>
      <c r="P193" s="220" t="s">
        <v>584</v>
      </c>
      <c r="Q193" s="221">
        <v>1</v>
      </c>
    </row>
    <row r="194" spans="15:17" x14ac:dyDescent="0.25">
      <c r="O194" s="219" t="s">
        <v>585</v>
      </c>
      <c r="P194" s="220" t="s">
        <v>586</v>
      </c>
      <c r="Q194" s="221">
        <v>1</v>
      </c>
    </row>
    <row r="195" spans="15:17" x14ac:dyDescent="0.25">
      <c r="O195" s="219" t="s">
        <v>308</v>
      </c>
      <c r="P195" s="220" t="s">
        <v>587</v>
      </c>
      <c r="Q195" s="221">
        <v>1</v>
      </c>
    </row>
    <row r="196" spans="15:17" x14ac:dyDescent="0.25">
      <c r="O196" s="219" t="s">
        <v>309</v>
      </c>
      <c r="P196" s="220" t="s">
        <v>588</v>
      </c>
      <c r="Q196" s="221">
        <v>1</v>
      </c>
    </row>
    <row r="197" spans="15:17" x14ac:dyDescent="0.25">
      <c r="O197" s="219" t="s">
        <v>310</v>
      </c>
      <c r="P197" s="220" t="s">
        <v>589</v>
      </c>
      <c r="Q197" s="221">
        <v>1</v>
      </c>
    </row>
    <row r="198" spans="15:17" x14ac:dyDescent="0.25">
      <c r="O198" s="219" t="s">
        <v>311</v>
      </c>
      <c r="P198" s="220" t="s">
        <v>590</v>
      </c>
      <c r="Q198" s="221">
        <v>1</v>
      </c>
    </row>
    <row r="199" spans="15:17" x14ac:dyDescent="0.25">
      <c r="O199" s="219" t="s">
        <v>312</v>
      </c>
      <c r="P199" s="220" t="s">
        <v>591</v>
      </c>
      <c r="Q199" s="221">
        <v>1</v>
      </c>
    </row>
    <row r="200" spans="15:17" x14ac:dyDescent="0.25">
      <c r="O200" s="219" t="s">
        <v>313</v>
      </c>
      <c r="P200" s="220" t="s">
        <v>592</v>
      </c>
      <c r="Q200" s="221">
        <v>1</v>
      </c>
    </row>
    <row r="201" spans="15:17" x14ac:dyDescent="0.25">
      <c r="O201" s="219" t="s">
        <v>593</v>
      </c>
      <c r="P201" s="220" t="s">
        <v>594</v>
      </c>
      <c r="Q201" s="221">
        <v>1</v>
      </c>
    </row>
    <row r="202" spans="15:17" x14ac:dyDescent="0.25">
      <c r="O202" s="219" t="s">
        <v>595</v>
      </c>
      <c r="P202" s="220" t="s">
        <v>596</v>
      </c>
      <c r="Q202" s="221">
        <v>1</v>
      </c>
    </row>
    <row r="203" spans="15:17" x14ac:dyDescent="0.25">
      <c r="O203" s="219" t="s">
        <v>314</v>
      </c>
      <c r="P203" s="220" t="s">
        <v>597</v>
      </c>
      <c r="Q203" s="221">
        <v>1</v>
      </c>
    </row>
    <row r="204" spans="15:17" x14ac:dyDescent="0.25">
      <c r="O204" s="219" t="s">
        <v>315</v>
      </c>
      <c r="P204" s="220" t="s">
        <v>598</v>
      </c>
      <c r="Q204" s="221">
        <v>1</v>
      </c>
    </row>
    <row r="205" spans="15:17" x14ac:dyDescent="0.25">
      <c r="O205" s="219" t="s">
        <v>316</v>
      </c>
      <c r="P205" s="220" t="s">
        <v>599</v>
      </c>
      <c r="Q205" s="221">
        <v>1</v>
      </c>
    </row>
    <row r="206" spans="15:17" x14ac:dyDescent="0.25">
      <c r="O206" s="219" t="s">
        <v>317</v>
      </c>
      <c r="P206" s="220" t="s">
        <v>600</v>
      </c>
      <c r="Q206" s="221">
        <v>1</v>
      </c>
    </row>
    <row r="207" spans="15:17" x14ac:dyDescent="0.25">
      <c r="O207" s="219" t="s">
        <v>318</v>
      </c>
      <c r="P207" s="220" t="s">
        <v>601</v>
      </c>
      <c r="Q207" s="221">
        <v>1</v>
      </c>
    </row>
    <row r="208" spans="15:17" x14ac:dyDescent="0.25">
      <c r="O208" s="219" t="s">
        <v>319</v>
      </c>
      <c r="P208" s="220" t="s">
        <v>602</v>
      </c>
      <c r="Q208" s="221">
        <v>1</v>
      </c>
    </row>
    <row r="209" spans="15:17" x14ac:dyDescent="0.25">
      <c r="O209" s="219" t="s">
        <v>603</v>
      </c>
      <c r="P209" s="220" t="s">
        <v>604</v>
      </c>
      <c r="Q209" s="221">
        <v>1</v>
      </c>
    </row>
    <row r="210" spans="15:17" x14ac:dyDescent="0.25">
      <c r="O210" s="219" t="s">
        <v>605</v>
      </c>
      <c r="P210" s="220" t="s">
        <v>606</v>
      </c>
      <c r="Q210" s="221">
        <v>1</v>
      </c>
    </row>
    <row r="211" spans="15:17" x14ac:dyDescent="0.25">
      <c r="O211" s="219" t="s">
        <v>320</v>
      </c>
      <c r="P211" s="220" t="s">
        <v>607</v>
      </c>
      <c r="Q211" s="221">
        <v>1</v>
      </c>
    </row>
    <row r="212" spans="15:17" x14ac:dyDescent="0.25">
      <c r="O212" s="219" t="s">
        <v>321</v>
      </c>
      <c r="P212" s="220" t="s">
        <v>608</v>
      </c>
      <c r="Q212" s="221">
        <v>1</v>
      </c>
    </row>
    <row r="213" spans="15:17" x14ac:dyDescent="0.25">
      <c r="O213" s="219" t="s">
        <v>322</v>
      </c>
      <c r="P213" s="220" t="s">
        <v>609</v>
      </c>
      <c r="Q213" s="221">
        <v>1</v>
      </c>
    </row>
    <row r="214" spans="15:17" x14ac:dyDescent="0.25">
      <c r="O214" s="219" t="s">
        <v>323</v>
      </c>
      <c r="P214" s="220" t="s">
        <v>610</v>
      </c>
      <c r="Q214" s="221">
        <v>1</v>
      </c>
    </row>
    <row r="215" spans="15:17" x14ac:dyDescent="0.25">
      <c r="O215" s="219" t="s">
        <v>324</v>
      </c>
      <c r="P215" s="220" t="s">
        <v>611</v>
      </c>
      <c r="Q215" s="221">
        <v>1</v>
      </c>
    </row>
    <row r="216" spans="15:17" x14ac:dyDescent="0.25">
      <c r="O216" s="219" t="s">
        <v>325</v>
      </c>
      <c r="P216" s="220" t="s">
        <v>612</v>
      </c>
      <c r="Q216" s="221">
        <v>1</v>
      </c>
    </row>
    <row r="217" spans="15:17" x14ac:dyDescent="0.25">
      <c r="O217" s="219" t="s">
        <v>613</v>
      </c>
      <c r="P217" s="220" t="s">
        <v>614</v>
      </c>
      <c r="Q217" s="221">
        <v>1</v>
      </c>
    </row>
    <row r="218" spans="15:17" x14ac:dyDescent="0.25">
      <c r="O218" s="219" t="s">
        <v>615</v>
      </c>
      <c r="P218" s="220" t="s">
        <v>616</v>
      </c>
      <c r="Q218" s="221">
        <v>1</v>
      </c>
    </row>
    <row r="219" spans="15:17" x14ac:dyDescent="0.25">
      <c r="O219" s="219" t="s">
        <v>326</v>
      </c>
      <c r="P219" s="220" t="s">
        <v>617</v>
      </c>
      <c r="Q219" s="221">
        <v>1</v>
      </c>
    </row>
    <row r="220" spans="15:17" x14ac:dyDescent="0.25">
      <c r="O220" s="219" t="s">
        <v>327</v>
      </c>
      <c r="P220" s="220" t="s">
        <v>618</v>
      </c>
      <c r="Q220" s="221">
        <v>1</v>
      </c>
    </row>
    <row r="221" spans="15:17" x14ac:dyDescent="0.25">
      <c r="O221" s="219" t="s">
        <v>328</v>
      </c>
      <c r="P221" s="220" t="s">
        <v>619</v>
      </c>
      <c r="Q221" s="221">
        <v>1</v>
      </c>
    </row>
    <row r="222" spans="15:17" x14ac:dyDescent="0.25">
      <c r="O222" s="219" t="s">
        <v>329</v>
      </c>
      <c r="P222" s="220" t="s">
        <v>620</v>
      </c>
      <c r="Q222" s="221">
        <v>1</v>
      </c>
    </row>
    <row r="223" spans="15:17" x14ac:dyDescent="0.25">
      <c r="O223" s="219" t="s">
        <v>330</v>
      </c>
      <c r="P223" s="220" t="s">
        <v>621</v>
      </c>
      <c r="Q223" s="221">
        <v>1</v>
      </c>
    </row>
    <row r="224" spans="15:17" x14ac:dyDescent="0.25">
      <c r="O224" s="219" t="s">
        <v>331</v>
      </c>
      <c r="P224" s="220" t="s">
        <v>622</v>
      </c>
      <c r="Q224" s="221">
        <v>1</v>
      </c>
    </row>
    <row r="225" spans="15:17" x14ac:dyDescent="0.25">
      <c r="O225" s="219" t="s">
        <v>623</v>
      </c>
      <c r="P225" s="220" t="s">
        <v>624</v>
      </c>
      <c r="Q225" s="221">
        <v>1</v>
      </c>
    </row>
    <row r="226" spans="15:17" x14ac:dyDescent="0.25">
      <c r="O226" s="219" t="s">
        <v>625</v>
      </c>
      <c r="P226" s="220" t="s">
        <v>626</v>
      </c>
      <c r="Q226" s="221">
        <v>1</v>
      </c>
    </row>
    <row r="227" spans="15:17" x14ac:dyDescent="0.25">
      <c r="O227" s="219" t="s">
        <v>332</v>
      </c>
      <c r="P227" s="220" t="s">
        <v>627</v>
      </c>
      <c r="Q227" s="221">
        <v>1</v>
      </c>
    </row>
    <row r="228" spans="15:17" x14ac:dyDescent="0.25">
      <c r="O228" s="219" t="s">
        <v>333</v>
      </c>
      <c r="P228" s="220" t="s">
        <v>628</v>
      </c>
      <c r="Q228" s="221">
        <v>1</v>
      </c>
    </row>
    <row r="229" spans="15:17" x14ac:dyDescent="0.25">
      <c r="O229" s="219" t="s">
        <v>334</v>
      </c>
      <c r="P229" s="220" t="s">
        <v>629</v>
      </c>
      <c r="Q229" s="221">
        <v>1</v>
      </c>
    </row>
    <row r="230" spans="15:17" x14ac:dyDescent="0.25">
      <c r="O230" s="219" t="s">
        <v>335</v>
      </c>
      <c r="P230" s="220" t="s">
        <v>630</v>
      </c>
      <c r="Q230" s="221">
        <v>1</v>
      </c>
    </row>
    <row r="231" spans="15:17" x14ac:dyDescent="0.25">
      <c r="O231" s="219" t="s">
        <v>336</v>
      </c>
      <c r="P231" s="220" t="s">
        <v>631</v>
      </c>
      <c r="Q231" s="221">
        <v>1</v>
      </c>
    </row>
    <row r="232" spans="15:17" x14ac:dyDescent="0.25">
      <c r="O232" s="219" t="s">
        <v>337</v>
      </c>
      <c r="P232" s="220" t="s">
        <v>632</v>
      </c>
      <c r="Q232" s="221">
        <v>1</v>
      </c>
    </row>
    <row r="233" spans="15:17" x14ac:dyDescent="0.25">
      <c r="O233" s="219" t="s">
        <v>633</v>
      </c>
      <c r="P233" s="220" t="s">
        <v>634</v>
      </c>
      <c r="Q233" s="221">
        <v>1</v>
      </c>
    </row>
    <row r="234" spans="15:17" x14ac:dyDescent="0.25">
      <c r="O234" s="219" t="s">
        <v>635</v>
      </c>
      <c r="P234" s="220" t="s">
        <v>636</v>
      </c>
      <c r="Q234" s="221">
        <v>1</v>
      </c>
    </row>
    <row r="235" spans="15:17" x14ac:dyDescent="0.25">
      <c r="O235" s="219" t="s">
        <v>338</v>
      </c>
      <c r="P235" s="220" t="s">
        <v>637</v>
      </c>
      <c r="Q235" s="221">
        <v>1</v>
      </c>
    </row>
    <row r="236" spans="15:17" x14ac:dyDescent="0.25">
      <c r="O236" s="219" t="s">
        <v>339</v>
      </c>
      <c r="P236" s="220" t="s">
        <v>638</v>
      </c>
      <c r="Q236" s="221">
        <v>1</v>
      </c>
    </row>
    <row r="237" spans="15:17" x14ac:dyDescent="0.25">
      <c r="O237" s="219" t="s">
        <v>340</v>
      </c>
      <c r="P237" s="220" t="s">
        <v>639</v>
      </c>
      <c r="Q237" s="221">
        <v>1</v>
      </c>
    </row>
    <row r="238" spans="15:17" x14ac:dyDescent="0.25">
      <c r="O238" s="219" t="s">
        <v>341</v>
      </c>
      <c r="P238" s="220" t="s">
        <v>640</v>
      </c>
      <c r="Q238" s="221">
        <v>1</v>
      </c>
    </row>
    <row r="239" spans="15:17" x14ac:dyDescent="0.25">
      <c r="O239" s="219" t="s">
        <v>342</v>
      </c>
      <c r="P239" s="220" t="s">
        <v>641</v>
      </c>
      <c r="Q239" s="221">
        <v>1</v>
      </c>
    </row>
    <row r="240" spans="15:17" x14ac:dyDescent="0.25">
      <c r="O240" s="219" t="s">
        <v>343</v>
      </c>
      <c r="P240" s="220" t="s">
        <v>642</v>
      </c>
      <c r="Q240" s="221">
        <v>1</v>
      </c>
    </row>
    <row r="241" spans="15:17" x14ac:dyDescent="0.25">
      <c r="O241" s="219" t="s">
        <v>643</v>
      </c>
      <c r="P241" s="220" t="s">
        <v>644</v>
      </c>
      <c r="Q241" s="221">
        <v>1</v>
      </c>
    </row>
    <row r="242" spans="15:17" x14ac:dyDescent="0.25">
      <c r="O242" s="219" t="s">
        <v>645</v>
      </c>
      <c r="P242" s="220" t="s">
        <v>646</v>
      </c>
      <c r="Q242" s="221">
        <v>1</v>
      </c>
    </row>
    <row r="243" spans="15:17" x14ac:dyDescent="0.25">
      <c r="O243" s="219" t="s">
        <v>344</v>
      </c>
      <c r="P243" s="220" t="s">
        <v>647</v>
      </c>
      <c r="Q243" s="221">
        <v>1</v>
      </c>
    </row>
    <row r="244" spans="15:17" x14ac:dyDescent="0.25">
      <c r="O244" s="219" t="s">
        <v>345</v>
      </c>
      <c r="P244" s="220" t="s">
        <v>648</v>
      </c>
      <c r="Q244" s="221">
        <v>1</v>
      </c>
    </row>
    <row r="245" spans="15:17" x14ac:dyDescent="0.25">
      <c r="O245" s="219" t="s">
        <v>346</v>
      </c>
      <c r="P245" s="220" t="s">
        <v>649</v>
      </c>
      <c r="Q245" s="221">
        <v>1</v>
      </c>
    </row>
    <row r="246" spans="15:17" x14ac:dyDescent="0.25">
      <c r="O246" s="219" t="s">
        <v>347</v>
      </c>
      <c r="P246" s="220" t="s">
        <v>650</v>
      </c>
      <c r="Q246" s="221">
        <v>1</v>
      </c>
    </row>
  </sheetData>
  <mergeCells count="42"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</mergeCells>
  <phoneticPr fontId="0" type="noConversion"/>
  <conditionalFormatting sqref="D6:E23 C6 C8:C23">
    <cfRule type="expression" dxfId="126" priority="5" stopIfTrue="1">
      <formula>AND($H$4="Kg")</formula>
    </cfRule>
  </conditionalFormatting>
  <conditionalFormatting sqref="F6:H9 F21:H23">
    <cfRule type="expression" dxfId="125" priority="6" stopIfTrue="1">
      <formula>AND($H$4="Lb")</formula>
    </cfRule>
  </conditionalFormatting>
  <conditionalFormatting sqref="F10:G20">
    <cfRule type="expression" dxfId="124" priority="4" stopIfTrue="1">
      <formula>AND($H$4="Lb")</formula>
    </cfRule>
  </conditionalFormatting>
  <conditionalFormatting sqref="F24:G24">
    <cfRule type="expression" dxfId="123" priority="3" stopIfTrue="1">
      <formula>AND($H$4="Lb")</formula>
    </cfRule>
  </conditionalFormatting>
  <conditionalFormatting sqref="H10:H20">
    <cfRule type="expression" dxfId="122" priority="2" stopIfTrue="1">
      <formula>AND($H$4="Lb")</formula>
    </cfRule>
  </conditionalFormatting>
  <conditionalFormatting sqref="C24:D24">
    <cfRule type="expression" dxfId="121" priority="1" stopIfTrue="1">
      <formula>AND($H$4="Kg")</formula>
    </cfRule>
  </conditionalFormatting>
  <dataValidations xWindow="324" yWindow="610" count="15">
    <dataValidation type="list" allowBlank="1" showInputMessage="1" showErrorMessage="1" sqref="O2 D2" xr:uid="{00000000-0002-0000-0000-000000000000}">
      <formula1>$BB$1:$BF$1</formula1>
    </dataValidation>
    <dataValidation type="list" allowBlank="1" showInputMessage="1" showErrorMessage="1" sqref="C10:C12 C14 F14 F10:F11 J24:J25" xr:uid="{00000000-0002-0000-0000-000001000000}">
      <formula1>"0,2,4,6,8,10,12,14,16,18,20"</formula1>
    </dataValidation>
    <dataValidation type="list" allowBlank="1" showInputMessage="1" showErrorMessage="1" sqref="J26:J28 C13 C15:C18 F13 F15:F18" xr:uid="{00000000-0002-0000-0000-000002000000}">
      <formula1>"2,4,6,8,10,12,14,16,18,20"</formula1>
    </dataValidation>
    <dataValidation type="list" allowBlank="1" showInputMessage="1" showErrorMessage="1" sqref="H4:H5" xr:uid="{00000000-0002-0000-0000-000003000000}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 xr:uid="{00000000-0002-0000-0000-000004000000}">
      <formula1>"BWt (Kg),BWt (Lb)"</formula1>
    </dataValidation>
    <dataValidation type="list" allowBlank="1" showInputMessage="1" showErrorMessage="1" promptTitle="Coefficients" prompt="Select Best Lifter Formula from list" sqref="K30:M31" xr:uid="{00000000-0002-0000-0000-000005000000}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 xr:uid="{00000000-0002-0000-0000-000006000000}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 xr:uid="{00000000-0002-0000-0000-000007000000}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 xr:uid="{00000000-0002-0000-0000-000008000000}">
      <formula1>"20,22.5,25,27.5,30,32.5,35"</formula1>
    </dataValidation>
    <dataValidation type="list" allowBlank="1" showInputMessage="1" showErrorMessage="1" sqref="G25:G26" xr:uid="{00000000-0002-0000-0000-000009000000}">
      <formula1>"yes,no"</formula1>
    </dataValidation>
    <dataValidation type="list" allowBlank="1" showInputMessage="1" showErrorMessage="1" sqref="F33:H33 F41:H41" xr:uid="{00000000-0002-0000-0000-00000A000000}">
      <formula1>"Enable,Disable"</formula1>
    </dataValidation>
    <dataValidation type="list" allowBlank="1" showInputMessage="1" showErrorMessage="1" sqref="C42:D42" xr:uid="{00000000-0002-0000-0000-00000B000000}">
      <formula1>$X$2:$X$3</formula1>
    </dataValidation>
    <dataValidation type="list" allowBlank="1" showInputMessage="1" showErrorMessage="1" sqref="F12" xr:uid="{00000000-0002-0000-0000-00000C000000}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 xr:uid="{00000000-0002-0000-0000-00000D000000}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 xr:uid="{00000000-0002-0000-0000-00000E000000}">
      <formula1>"1,2,3"</formula1>
    </dataValidation>
  </dataValidations>
  <pageMargins left="0.75" right="0.75" top="1" bottom="1" header="0.5" footer="0.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T9" sqref="T9"/>
    </sheetView>
  </sheetViews>
  <sheetFormatPr defaultColWidth="8.88671875" defaultRowHeight="13.2" x14ac:dyDescent="0.25"/>
  <cols>
    <col min="1" max="1" width="20.44140625" customWidth="1"/>
    <col min="2" max="2" width="5.77734375" style="5" customWidth="1"/>
    <col min="3" max="3" width="12.6640625" style="5" bestFit="1" customWidth="1"/>
    <col min="4" max="4" width="6.5546875" style="5" customWidth="1"/>
    <col min="5" max="5" width="7.5546875" style="5" customWidth="1"/>
    <col min="6" max="6" width="7.21875" style="5" bestFit="1" customWidth="1"/>
    <col min="7" max="10" width="7.5546875" style="5" customWidth="1"/>
    <col min="11" max="13" width="9.77734375" style="241" customWidth="1"/>
    <col min="14" max="14" width="11.77734375" style="237" hidden="1" customWidth="1"/>
    <col min="15" max="15" width="18.21875" style="237" bestFit="1" customWidth="1"/>
    <col min="16" max="17" width="0" style="5" hidden="1" customWidth="1"/>
  </cols>
  <sheetData>
    <row r="1" spans="1:89" s="108" customFormat="1" ht="23.4" thickBot="1" x14ac:dyDescent="0.3">
      <c r="A1" s="242">
        <v>45458</v>
      </c>
      <c r="B1" s="108" t="s">
        <v>685</v>
      </c>
      <c r="C1" s="234"/>
      <c r="D1" s="234"/>
      <c r="E1" s="234"/>
      <c r="F1" s="234"/>
      <c r="G1" s="234"/>
      <c r="H1" s="234"/>
      <c r="I1" s="234"/>
      <c r="J1" s="234"/>
      <c r="K1" s="238"/>
      <c r="L1" s="238"/>
      <c r="M1" s="238"/>
      <c r="N1" s="235"/>
      <c r="O1" s="235"/>
      <c r="P1" s="234"/>
      <c r="Q1" s="234"/>
    </row>
    <row r="2" spans="1:89" s="79" customFormat="1" ht="28.5" customHeight="1" thickBot="1" x14ac:dyDescent="0.3">
      <c r="A2" s="75" t="s">
        <v>0</v>
      </c>
      <c r="B2" s="76" t="s">
        <v>1</v>
      </c>
      <c r="C2" s="77" t="s">
        <v>29</v>
      </c>
      <c r="D2" s="77" t="s">
        <v>158</v>
      </c>
      <c r="E2" s="77" t="s">
        <v>103</v>
      </c>
      <c r="F2" s="83" t="s">
        <v>156</v>
      </c>
      <c r="G2" s="78" t="s">
        <v>17</v>
      </c>
      <c r="H2" s="78" t="s">
        <v>18</v>
      </c>
      <c r="I2" s="78" t="s">
        <v>19</v>
      </c>
      <c r="J2" s="78" t="s">
        <v>20</v>
      </c>
      <c r="K2" s="239" t="s">
        <v>21</v>
      </c>
      <c r="L2" s="240" t="s">
        <v>90</v>
      </c>
      <c r="M2" s="240" t="s">
        <v>95</v>
      </c>
      <c r="N2" s="236" t="s">
        <v>134</v>
      </c>
      <c r="O2" s="236" t="s">
        <v>30</v>
      </c>
      <c r="P2" s="77" t="s">
        <v>135</v>
      </c>
      <c r="Q2" s="93" t="s">
        <v>44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89" s="255" customFormat="1" ht="22.8" x14ac:dyDescent="0.25">
      <c r="A3" s="217" t="s">
        <v>666</v>
      </c>
      <c r="B3" s="244">
        <v>41</v>
      </c>
      <c r="C3" s="244" t="s">
        <v>204</v>
      </c>
      <c r="D3" s="244">
        <v>102.5</v>
      </c>
      <c r="E3" s="244">
        <v>110</v>
      </c>
      <c r="F3" s="265">
        <v>0.57565</v>
      </c>
      <c r="G3" s="244">
        <v>255</v>
      </c>
      <c r="H3" s="244">
        <v>-272.5</v>
      </c>
      <c r="I3" s="244">
        <v>272.5</v>
      </c>
      <c r="J3" s="244"/>
      <c r="K3" s="248">
        <v>272.5</v>
      </c>
      <c r="L3" s="263">
        <v>156.86462499999999</v>
      </c>
      <c r="M3" s="263">
        <v>158.43327124999999</v>
      </c>
      <c r="N3" s="246">
        <v>1</v>
      </c>
      <c r="O3" s="246" t="s">
        <v>705</v>
      </c>
      <c r="P3" s="244">
        <v>3</v>
      </c>
      <c r="Q3" s="24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</row>
    <row r="4" spans="1:89" s="250" customFormat="1" ht="15" x14ac:dyDescent="0.25">
      <c r="A4" s="217" t="s">
        <v>665</v>
      </c>
      <c r="B4" s="244">
        <v>34</v>
      </c>
      <c r="C4" s="244" t="s">
        <v>169</v>
      </c>
      <c r="D4" s="244">
        <v>81.099999999999994</v>
      </c>
      <c r="E4" s="244">
        <v>82.5</v>
      </c>
      <c r="F4" s="265">
        <v>0.65185000000000004</v>
      </c>
      <c r="G4" s="244">
        <v>160</v>
      </c>
      <c r="H4" s="244">
        <v>170</v>
      </c>
      <c r="I4" s="244">
        <v>185</v>
      </c>
      <c r="J4" s="244"/>
      <c r="K4" s="248">
        <v>185</v>
      </c>
      <c r="L4" s="263">
        <v>120.59225000000001</v>
      </c>
      <c r="M4" s="263">
        <v>0</v>
      </c>
      <c r="N4" s="246">
        <v>1</v>
      </c>
      <c r="O4" s="246" t="s">
        <v>690</v>
      </c>
      <c r="P4" s="244">
        <v>3</v>
      </c>
      <c r="Q4" s="24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6" spans="1:89" s="108" customFormat="1" ht="23.4" thickBot="1" x14ac:dyDescent="0.3">
      <c r="A6" s="242"/>
      <c r="B6" s="108" t="s">
        <v>689</v>
      </c>
      <c r="C6" s="234"/>
      <c r="D6" s="234"/>
      <c r="E6" s="234"/>
      <c r="F6" s="234"/>
      <c r="G6" s="234"/>
      <c r="H6" s="234"/>
      <c r="I6" s="234"/>
      <c r="J6" s="234"/>
      <c r="K6" s="238"/>
      <c r="L6" s="238"/>
      <c r="M6" s="238"/>
      <c r="N6" s="235"/>
      <c r="O6" s="235"/>
      <c r="P6" s="234"/>
      <c r="Q6" s="234"/>
    </row>
    <row r="7" spans="1:89" ht="27" thickBot="1" x14ac:dyDescent="0.3">
      <c r="A7" s="75" t="s">
        <v>0</v>
      </c>
      <c r="B7" s="76" t="s">
        <v>1</v>
      </c>
      <c r="C7" s="77" t="s">
        <v>29</v>
      </c>
      <c r="D7" s="77" t="s">
        <v>158</v>
      </c>
      <c r="E7" s="77" t="s">
        <v>103</v>
      </c>
      <c r="F7" s="83" t="s">
        <v>156</v>
      </c>
      <c r="G7" s="78" t="s">
        <v>17</v>
      </c>
      <c r="H7" s="78" t="s">
        <v>18</v>
      </c>
      <c r="I7" s="78" t="s">
        <v>19</v>
      </c>
      <c r="J7" s="78" t="s">
        <v>20</v>
      </c>
      <c r="K7" s="239" t="s">
        <v>21</v>
      </c>
      <c r="L7" s="240" t="s">
        <v>90</v>
      </c>
      <c r="M7" s="240" t="s">
        <v>95</v>
      </c>
      <c r="N7" s="236" t="s">
        <v>134</v>
      </c>
      <c r="O7" s="236" t="s">
        <v>30</v>
      </c>
      <c r="P7" s="77" t="s">
        <v>135</v>
      </c>
      <c r="Q7" s="93" t="s">
        <v>44</v>
      </c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</row>
    <row r="8" spans="1:89" x14ac:dyDescent="0.25">
      <c r="A8" t="s">
        <v>666</v>
      </c>
      <c r="B8" s="5">
        <v>41</v>
      </c>
      <c r="C8" s="5" t="s">
        <v>204</v>
      </c>
      <c r="D8" s="5">
        <v>102.5</v>
      </c>
      <c r="E8" s="5">
        <v>110</v>
      </c>
      <c r="F8" s="267">
        <v>0.57565</v>
      </c>
      <c r="G8" s="5">
        <v>562.173</v>
      </c>
      <c r="H8" s="5">
        <v>-600.75350000000003</v>
      </c>
      <c r="I8" s="5">
        <v>600.75350000000003</v>
      </c>
      <c r="J8" s="5">
        <v>0</v>
      </c>
      <c r="K8" s="268">
        <v>600.75350000000003</v>
      </c>
      <c r="L8" s="269">
        <v>156.86462499999999</v>
      </c>
      <c r="M8" s="269">
        <v>158.43327124999999</v>
      </c>
      <c r="N8" s="237">
        <v>1</v>
      </c>
      <c r="O8" s="237" t="s">
        <v>705</v>
      </c>
      <c r="P8" s="5">
        <v>3</v>
      </c>
    </row>
    <row r="9" spans="1:89" x14ac:dyDescent="0.25">
      <c r="A9" t="s">
        <v>665</v>
      </c>
      <c r="B9" s="5">
        <v>34</v>
      </c>
      <c r="C9" s="5" t="s">
        <v>169</v>
      </c>
      <c r="D9" s="5">
        <v>81.099999999999994</v>
      </c>
      <c r="E9" s="5">
        <v>82.5</v>
      </c>
      <c r="F9" s="267">
        <v>0.65185000000000004</v>
      </c>
      <c r="G9" s="5">
        <v>352.73599999999999</v>
      </c>
      <c r="H9" s="5">
        <v>374.78200000000004</v>
      </c>
      <c r="I9" s="5">
        <v>407.851</v>
      </c>
      <c r="J9" s="5">
        <v>0</v>
      </c>
      <c r="K9" s="268">
        <v>407.851</v>
      </c>
      <c r="L9" s="269">
        <v>120.59225000000001</v>
      </c>
      <c r="M9" s="269">
        <v>0</v>
      </c>
      <c r="N9" s="237">
        <v>1</v>
      </c>
      <c r="O9" s="237" t="s">
        <v>690</v>
      </c>
      <c r="P9" s="5">
        <v>3</v>
      </c>
    </row>
    <row r="10" spans="1:89" s="216" customFormat="1" ht="15" x14ac:dyDescent="0.25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2"/>
      <c r="L10" s="252"/>
      <c r="M10" s="252"/>
      <c r="N10" s="253"/>
      <c r="O10" s="253"/>
      <c r="P10" s="251"/>
      <c r="Q10" s="251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</row>
    <row r="11" spans="1:89" s="217" customFormat="1" ht="15" x14ac:dyDescent="0.25">
      <c r="A11" s="250"/>
      <c r="B11" s="251"/>
      <c r="C11" s="251"/>
      <c r="D11" s="251"/>
      <c r="E11" s="251"/>
      <c r="F11" s="251"/>
      <c r="G11" s="251"/>
      <c r="H11" s="251"/>
      <c r="I11" s="251"/>
      <c r="J11" s="251"/>
      <c r="K11" s="252"/>
      <c r="L11" s="252"/>
      <c r="M11" s="252"/>
      <c r="N11" s="253"/>
      <c r="O11" s="253"/>
      <c r="P11" s="251"/>
      <c r="Q11" s="251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</row>
    <row r="12" spans="1:89" s="108" customFormat="1" ht="22.8" x14ac:dyDescent="0.25">
      <c r="A12"/>
      <c r="B12" s="5"/>
      <c r="C12" s="5"/>
      <c r="D12" s="5"/>
      <c r="E12" s="5"/>
      <c r="F12" s="5"/>
      <c r="G12" s="5"/>
      <c r="H12" s="5"/>
      <c r="I12" s="5"/>
      <c r="J12" s="5"/>
      <c r="K12" s="241"/>
      <c r="L12" s="241"/>
      <c r="M12" s="241"/>
      <c r="N12" s="237"/>
      <c r="O12" s="237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108" customFormat="1" ht="22.8" x14ac:dyDescent="0.25">
      <c r="A13" s="216"/>
      <c r="B13" s="243"/>
      <c r="C13" s="243"/>
      <c r="D13" s="243"/>
      <c r="E13" s="243"/>
      <c r="F13" s="243"/>
      <c r="G13" s="243"/>
      <c r="H13" s="243"/>
      <c r="I13" s="243"/>
      <c r="J13" s="243"/>
      <c r="K13" s="247"/>
      <c r="L13" s="247"/>
      <c r="M13" s="247"/>
      <c r="N13" s="245"/>
      <c r="O13" s="245"/>
      <c r="P13" s="243"/>
      <c r="Q13" s="24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5" spans="1:89" s="216" customFormat="1" x14ac:dyDescent="0.25">
      <c r="A15"/>
      <c r="B15" s="5"/>
      <c r="C15" s="5"/>
      <c r="D15" s="5"/>
      <c r="E15" s="5"/>
      <c r="F15" s="5"/>
      <c r="G15" s="5"/>
      <c r="H15" s="5"/>
      <c r="I15" s="5"/>
      <c r="J15" s="5"/>
      <c r="K15" s="241"/>
      <c r="L15" s="241"/>
      <c r="M15" s="241"/>
      <c r="N15" s="237"/>
      <c r="O15" s="237"/>
      <c r="P15" s="5"/>
      <c r="Q15" s="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8" spans="1:89" x14ac:dyDescent="0.25">
      <c r="A18" s="216"/>
      <c r="B18" s="243"/>
      <c r="C18" s="243"/>
      <c r="D18" s="243"/>
      <c r="E18" s="243"/>
      <c r="F18" s="243"/>
      <c r="G18" s="243"/>
      <c r="H18" s="243"/>
      <c r="I18" s="243"/>
      <c r="J18" s="243"/>
      <c r="K18" s="247"/>
      <c r="L18" s="247"/>
      <c r="M18" s="247"/>
      <c r="N18" s="245"/>
      <c r="O18" s="245"/>
      <c r="P18" s="243"/>
      <c r="Q18" s="243"/>
    </row>
    <row r="19" spans="1:89" ht="22.8" x14ac:dyDescent="0.25">
      <c r="A19" s="108"/>
      <c r="B19" s="234"/>
      <c r="C19" s="234"/>
      <c r="D19" s="234"/>
      <c r="E19" s="234"/>
      <c r="F19" s="234"/>
      <c r="G19" s="234"/>
      <c r="H19" s="234"/>
      <c r="I19" s="234"/>
      <c r="J19" s="234"/>
      <c r="K19" s="238"/>
      <c r="L19" s="238"/>
      <c r="M19" s="238"/>
      <c r="N19" s="235"/>
      <c r="O19" s="235"/>
      <c r="P19" s="234"/>
      <c r="Q19" s="234"/>
    </row>
    <row r="21" spans="1:89" ht="22.8" x14ac:dyDescent="0.25"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</row>
    <row r="23" spans="1:89" x14ac:dyDescent="0.25"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</row>
    <row r="24" spans="1:89" x14ac:dyDescent="0.25">
      <c r="A24" s="216"/>
      <c r="B24" s="243"/>
      <c r="C24" s="243"/>
      <c r="D24" s="243"/>
      <c r="E24" s="243"/>
      <c r="F24" s="243"/>
      <c r="G24" s="243"/>
      <c r="H24" s="243"/>
      <c r="I24" s="243"/>
      <c r="J24" s="243"/>
      <c r="K24" s="247"/>
      <c r="L24" s="247"/>
      <c r="M24" s="247"/>
      <c r="N24" s="245"/>
      <c r="O24" s="245"/>
      <c r="P24" s="243"/>
      <c r="Q24" s="243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</row>
    <row r="25" spans="1:89" x14ac:dyDescent="0.25">
      <c r="A25" s="217"/>
      <c r="B25" s="244"/>
      <c r="C25" s="244"/>
      <c r="D25" s="244"/>
      <c r="E25" s="244"/>
      <c r="F25" s="244"/>
      <c r="G25" s="244"/>
      <c r="H25" s="244"/>
      <c r="I25" s="244"/>
      <c r="J25" s="244"/>
      <c r="K25" s="248"/>
      <c r="L25" s="248"/>
      <c r="M25" s="248"/>
      <c r="N25" s="246"/>
      <c r="O25" s="246"/>
      <c r="P25" s="244"/>
      <c r="Q25" s="244"/>
    </row>
    <row r="26" spans="1:89" ht="22.8" x14ac:dyDescent="0.25">
      <c r="A26" s="108"/>
      <c r="B26" s="234"/>
      <c r="C26" s="234"/>
      <c r="D26" s="234"/>
      <c r="E26" s="234"/>
      <c r="F26" s="234"/>
      <c r="G26" s="234"/>
      <c r="H26" s="234"/>
      <c r="I26" s="234"/>
      <c r="J26" s="234"/>
      <c r="K26" s="238"/>
      <c r="L26" s="238"/>
      <c r="M26" s="238"/>
      <c r="N26" s="235"/>
      <c r="O26" s="235"/>
      <c r="P26" s="234"/>
      <c r="Q26" s="234"/>
    </row>
    <row r="27" spans="1:89" ht="22.8" x14ac:dyDescent="0.25">
      <c r="A27" s="108"/>
      <c r="B27" s="234"/>
      <c r="C27" s="234"/>
      <c r="D27" s="234"/>
      <c r="E27" s="234"/>
      <c r="F27" s="234"/>
      <c r="G27" s="234"/>
      <c r="H27" s="234"/>
      <c r="I27" s="234"/>
      <c r="J27" s="234"/>
      <c r="K27" s="238"/>
      <c r="L27" s="238"/>
      <c r="M27" s="238"/>
      <c r="N27" s="235"/>
      <c r="O27" s="235"/>
      <c r="P27" s="234"/>
      <c r="Q27" s="234"/>
    </row>
    <row r="30" spans="1:89" s="216" customFormat="1" x14ac:dyDescent="0.25">
      <c r="B30" s="243"/>
      <c r="C30" s="243"/>
      <c r="D30" s="243"/>
      <c r="E30" s="243"/>
      <c r="F30" s="243"/>
      <c r="G30" s="243"/>
      <c r="H30" s="243"/>
      <c r="I30" s="243"/>
      <c r="J30" s="243"/>
      <c r="K30" s="247"/>
      <c r="L30" s="247"/>
      <c r="M30" s="247"/>
      <c r="N30" s="245"/>
      <c r="O30" s="245"/>
      <c r="P30" s="243"/>
      <c r="Q30" s="243"/>
    </row>
    <row r="37" spans="2:17" s="217" customFormat="1" x14ac:dyDescent="0.25">
      <c r="B37" s="244"/>
      <c r="C37" s="244"/>
      <c r="D37" s="244"/>
      <c r="E37" s="244"/>
      <c r="F37" s="244"/>
      <c r="G37" s="244"/>
      <c r="H37" s="244"/>
      <c r="I37" s="244"/>
      <c r="J37" s="244"/>
      <c r="K37" s="248"/>
      <c r="L37" s="248"/>
      <c r="M37" s="248"/>
      <c r="N37" s="246"/>
      <c r="O37" s="246"/>
      <c r="P37" s="244"/>
      <c r="Q37" s="244"/>
    </row>
    <row r="51" spans="2:17" s="216" customFormat="1" x14ac:dyDescent="0.25">
      <c r="B51" s="243"/>
      <c r="C51" s="243"/>
      <c r="D51" s="243"/>
      <c r="E51" s="243"/>
      <c r="F51" s="243"/>
      <c r="G51" s="243"/>
      <c r="H51" s="243"/>
      <c r="I51" s="243"/>
      <c r="J51" s="243"/>
      <c r="K51" s="247"/>
      <c r="L51" s="247"/>
      <c r="M51" s="247"/>
      <c r="N51" s="245"/>
      <c r="O51" s="245"/>
      <c r="P51" s="243"/>
      <c r="Q51" s="243"/>
    </row>
    <row r="55" spans="2:17" s="216" customFormat="1" x14ac:dyDescent="0.25">
      <c r="B55" s="243"/>
      <c r="C55" s="243"/>
      <c r="D55" s="243"/>
      <c r="E55" s="243"/>
      <c r="F55" s="243"/>
      <c r="G55" s="243"/>
      <c r="H55" s="243"/>
      <c r="I55" s="243"/>
      <c r="J55" s="243"/>
      <c r="K55" s="247"/>
      <c r="L55" s="247"/>
      <c r="M55" s="247"/>
      <c r="N55" s="245"/>
      <c r="O55" s="245"/>
      <c r="P55" s="243"/>
      <c r="Q55" s="243"/>
    </row>
    <row r="88" spans="2:17" s="216" customFormat="1" x14ac:dyDescent="0.25">
      <c r="B88" s="243"/>
      <c r="C88" s="243"/>
      <c r="D88" s="243"/>
      <c r="E88" s="243"/>
      <c r="F88" s="243"/>
      <c r="G88" s="243"/>
      <c r="H88" s="243"/>
      <c r="I88" s="243"/>
      <c r="J88" s="243"/>
      <c r="K88" s="247"/>
      <c r="L88" s="247"/>
      <c r="M88" s="247"/>
      <c r="N88" s="245"/>
      <c r="O88" s="245"/>
      <c r="P88" s="243"/>
      <c r="Q88" s="243"/>
    </row>
    <row r="89" spans="2:17" s="217" customFormat="1" x14ac:dyDescent="0.25">
      <c r="B89" s="244"/>
      <c r="C89" s="244"/>
      <c r="D89" s="244"/>
      <c r="E89" s="244"/>
      <c r="F89" s="244"/>
      <c r="G89" s="244"/>
      <c r="H89" s="244"/>
      <c r="I89" s="244"/>
      <c r="J89" s="244"/>
      <c r="K89" s="248"/>
      <c r="L89" s="248"/>
      <c r="M89" s="248"/>
      <c r="N89" s="246"/>
      <c r="O89" s="246"/>
      <c r="P89" s="244"/>
      <c r="Q89" s="244"/>
    </row>
    <row r="101" spans="2:17" s="108" customFormat="1" ht="22.8" x14ac:dyDescent="0.25">
      <c r="B101" s="234"/>
      <c r="C101" s="234"/>
      <c r="D101" s="234"/>
      <c r="E101" s="234"/>
      <c r="F101" s="234"/>
      <c r="G101" s="234"/>
      <c r="H101" s="234"/>
      <c r="I101" s="234"/>
      <c r="J101" s="234"/>
      <c r="K101" s="238"/>
      <c r="L101" s="238"/>
      <c r="M101" s="238"/>
      <c r="N101" s="235"/>
      <c r="O101" s="235"/>
      <c r="P101" s="234"/>
      <c r="Q101" s="234"/>
    </row>
  </sheetData>
  <phoneticPr fontId="0" type="noConversion"/>
  <conditionalFormatting sqref="G2:J2">
    <cfRule type="cellIs" dxfId="15" priority="2" stopIfTrue="1" operator="equal">
      <formula>#REF!</formula>
    </cfRule>
  </conditionalFormatting>
  <conditionalFormatting sqref="G7:J7">
    <cfRule type="cellIs" dxfId="14" priority="1" stopIfTrue="1" operator="equal">
      <formula>#REF!</formula>
    </cfRule>
  </conditionalFormatting>
  <printOptions gridLines="1"/>
  <pageMargins left="0.75" right="0.75" top="1" bottom="1" header="0.5" footer="0.5"/>
  <pageSetup paperSize="5" scale="97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35" t="s">
        <v>1</v>
      </c>
      <c r="B1" s="35" t="s">
        <v>3</v>
      </c>
      <c r="E1" s="59" t="s">
        <v>40</v>
      </c>
      <c r="F1" s="59"/>
      <c r="G1" s="59"/>
      <c r="H1" s="59"/>
      <c r="L1" s="80" t="s">
        <v>82</v>
      </c>
      <c r="M1" s="111" t="s">
        <v>115</v>
      </c>
      <c r="N1" s="111" t="s">
        <v>116</v>
      </c>
      <c r="O1" s="81" t="s">
        <v>120</v>
      </c>
      <c r="P1" s="81" t="s">
        <v>119</v>
      </c>
      <c r="Q1" s="80" t="s">
        <v>91</v>
      </c>
      <c r="R1" s="80" t="s">
        <v>92</v>
      </c>
      <c r="S1" s="81" t="s">
        <v>117</v>
      </c>
      <c r="T1" s="81" t="s">
        <v>118</v>
      </c>
      <c r="U1" s="81" t="s">
        <v>153</v>
      </c>
      <c r="V1" s="81" t="s">
        <v>154</v>
      </c>
    </row>
    <row r="2" spans="1:22" x14ac:dyDescent="0.25">
      <c r="A2" s="36">
        <v>14</v>
      </c>
      <c r="B2" s="36">
        <v>1.23</v>
      </c>
      <c r="C2" s="404" t="s">
        <v>72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36">
        <v>15</v>
      </c>
      <c r="B3" s="36">
        <v>1.18</v>
      </c>
      <c r="C3" s="404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36">
        <v>16</v>
      </c>
      <c r="B4" s="36">
        <v>1.1299999999999999</v>
      </c>
      <c r="C4" s="404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37">
        <v>17</v>
      </c>
      <c r="B5" s="37">
        <v>1.08</v>
      </c>
      <c r="C5" s="404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37">
        <v>18</v>
      </c>
      <c r="B6" s="37">
        <v>1.06</v>
      </c>
      <c r="C6" s="404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37">
        <v>19</v>
      </c>
      <c r="B7" s="37">
        <v>1.04</v>
      </c>
      <c r="C7" s="404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37">
        <v>20</v>
      </c>
      <c r="B8" s="37">
        <v>1.03</v>
      </c>
      <c r="C8" s="404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37">
        <v>21</v>
      </c>
      <c r="B9" s="37">
        <v>1.02</v>
      </c>
      <c r="C9" s="404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37">
        <v>22</v>
      </c>
      <c r="B10" s="37">
        <v>1.01</v>
      </c>
      <c r="C10" s="404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404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60"/>
      <c r="E12" s="402" t="s">
        <v>39</v>
      </c>
      <c r="F12" s="403"/>
      <c r="G12" s="61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38">
        <v>40</v>
      </c>
      <c r="B13" s="38">
        <v>1</v>
      </c>
      <c r="C13" s="405" t="s">
        <v>73</v>
      </c>
      <c r="E13" s="62" t="s">
        <v>82</v>
      </c>
      <c r="F13" s="64" t="s">
        <v>83</v>
      </c>
      <c r="G13" s="3" t="s">
        <v>132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38">
        <v>41</v>
      </c>
      <c r="B14" s="38">
        <v>1.01</v>
      </c>
      <c r="C14" s="405"/>
      <c r="E14" s="62">
        <v>44</v>
      </c>
      <c r="F14" s="64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38">
        <v>42</v>
      </c>
      <c r="B15" s="38">
        <v>1.02</v>
      </c>
      <c r="C15" s="405"/>
      <c r="E15" s="62">
        <v>48</v>
      </c>
      <c r="F15" s="64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38">
        <v>43</v>
      </c>
      <c r="B16" s="38">
        <v>1.0309999999999999</v>
      </c>
      <c r="C16" s="405"/>
      <c r="E16" s="62">
        <v>52</v>
      </c>
      <c r="F16" s="64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38">
        <v>44</v>
      </c>
      <c r="B17" s="38">
        <v>1.0429999999999999</v>
      </c>
      <c r="C17" s="405"/>
      <c r="E17" s="62">
        <v>56</v>
      </c>
      <c r="F17" s="64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38">
        <v>45</v>
      </c>
      <c r="B18" s="38">
        <v>1.0549999999999999</v>
      </c>
      <c r="C18" s="405"/>
      <c r="E18" s="62">
        <v>60</v>
      </c>
      <c r="F18" s="64">
        <v>132</v>
      </c>
      <c r="G18" s="3">
        <v>132.27600000000001</v>
      </c>
      <c r="J18" s="54"/>
      <c r="K18" s="54"/>
      <c r="L18" s="82">
        <v>41.7</v>
      </c>
      <c r="M18" s="82">
        <v>1.2562500000000001</v>
      </c>
      <c r="N18" s="82">
        <v>1.3065</v>
      </c>
      <c r="O18" s="82">
        <v>1.2466999999999999</v>
      </c>
      <c r="P18" s="82">
        <v>1.1578999999999999</v>
      </c>
      <c r="Q18" s="82">
        <v>1.2658</v>
      </c>
      <c r="R18" s="82">
        <v>1.4574</v>
      </c>
      <c r="S18" s="2">
        <v>1.2562500000000001</v>
      </c>
      <c r="T18" s="2">
        <v>1.3065</v>
      </c>
      <c r="V18" s="2">
        <v>2.9018000000000002</v>
      </c>
      <c r="W18" s="54"/>
    </row>
    <row r="19" spans="1:23" ht="12.75" customHeight="1" x14ac:dyDescent="0.25">
      <c r="A19" s="38">
        <v>46</v>
      </c>
      <c r="B19" s="38">
        <v>1.0680000000000001</v>
      </c>
      <c r="C19" s="405"/>
      <c r="E19" s="62">
        <v>67.5</v>
      </c>
      <c r="F19" s="64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38">
        <v>47</v>
      </c>
      <c r="B20" s="38">
        <v>1.0820000000000001</v>
      </c>
      <c r="C20" s="405"/>
      <c r="E20" s="62">
        <v>75</v>
      </c>
      <c r="F20" s="64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38">
        <v>48</v>
      </c>
      <c r="B21" s="38">
        <v>1.097</v>
      </c>
      <c r="C21" s="405"/>
      <c r="E21" s="62">
        <v>82.5</v>
      </c>
      <c r="F21" s="64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38">
        <v>49</v>
      </c>
      <c r="B22" s="38">
        <v>1.113</v>
      </c>
      <c r="C22" s="405"/>
      <c r="E22" s="62">
        <v>90</v>
      </c>
      <c r="F22" s="64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38">
        <v>50</v>
      </c>
      <c r="B23" s="38">
        <v>1.1299999999999999</v>
      </c>
      <c r="E23" s="62">
        <v>100</v>
      </c>
      <c r="F23" s="64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38">
        <v>51</v>
      </c>
      <c r="B24" s="38">
        <v>1.147</v>
      </c>
      <c r="E24" s="62">
        <v>110</v>
      </c>
      <c r="F24" s="64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38">
        <v>52</v>
      </c>
      <c r="B25" s="38">
        <v>1.165</v>
      </c>
      <c r="E25" s="62">
        <v>125</v>
      </c>
      <c r="F25" s="64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38">
        <v>53</v>
      </c>
      <c r="B26" s="38">
        <v>1.1839999999999999</v>
      </c>
      <c r="E26" s="62">
        <v>140</v>
      </c>
      <c r="F26" s="64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38">
        <v>54</v>
      </c>
      <c r="B27" s="38">
        <v>1.204</v>
      </c>
      <c r="E27" s="62">
        <v>145</v>
      </c>
      <c r="F27" s="64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38">
        <v>55</v>
      </c>
      <c r="B28" s="38">
        <v>1.2250000000000001</v>
      </c>
      <c r="E28" s="63" t="s">
        <v>81</v>
      </c>
      <c r="F28" s="26" t="s">
        <v>81</v>
      </c>
      <c r="G28" s="152" t="s">
        <v>133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38">
        <v>56</v>
      </c>
      <c r="B29" s="38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39">
        <v>57</v>
      </c>
      <c r="B30" s="39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40">
        <v>58</v>
      </c>
      <c r="B31" s="40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40">
        <v>59</v>
      </c>
      <c r="B32" s="40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40">
        <v>60</v>
      </c>
      <c r="B33" s="40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40">
        <v>61</v>
      </c>
      <c r="B34" s="40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40">
        <v>62</v>
      </c>
      <c r="B35" s="40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40">
        <v>63</v>
      </c>
      <c r="B36" s="40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40">
        <v>64</v>
      </c>
      <c r="B37" s="40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40">
        <v>65</v>
      </c>
      <c r="B38" s="40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40">
        <v>66</v>
      </c>
      <c r="B39" s="40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40">
        <v>67</v>
      </c>
      <c r="B40" s="40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40">
        <v>68</v>
      </c>
      <c r="B41" s="40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40">
        <v>69</v>
      </c>
      <c r="B42" s="40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40">
        <v>70</v>
      </c>
      <c r="B43" s="40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40">
        <v>71</v>
      </c>
      <c r="B44" s="40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40">
        <v>72</v>
      </c>
      <c r="B45" s="40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40">
        <v>73</v>
      </c>
      <c r="B46" s="40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40">
        <v>74</v>
      </c>
      <c r="B47" s="40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40">
        <v>75</v>
      </c>
      <c r="B48" s="40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40">
        <v>76</v>
      </c>
      <c r="B49" s="40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40">
        <v>77</v>
      </c>
      <c r="B50" s="40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40">
        <v>78</v>
      </c>
      <c r="B51" s="40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40">
        <v>79</v>
      </c>
      <c r="B52" s="40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40">
        <v>80</v>
      </c>
      <c r="B53" s="40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11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11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11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11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11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11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11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11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11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11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11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11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11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11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11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11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11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11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11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11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11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11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11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11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11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11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11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11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11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11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11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11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11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11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11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11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11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11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11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11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11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11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11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11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11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11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11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11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11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11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11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11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11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11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11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11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11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11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11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11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11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11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11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11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11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11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11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11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11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11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11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11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11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11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11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11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11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11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11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11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11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11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11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11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11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11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11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11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11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11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11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11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11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11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11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11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11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11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11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11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11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11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11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11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11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11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11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11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11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11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11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11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11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11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11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11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11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11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11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11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11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11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11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11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11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11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11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11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11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11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11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11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11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11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11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11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11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11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11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11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11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11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11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11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11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11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11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11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93</v>
      </c>
      <c r="P860" s="11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11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11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11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11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11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11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11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11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11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11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11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11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11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11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11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11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11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11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11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11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11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11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11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11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11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11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11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11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11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11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11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11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11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11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11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11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11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11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11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11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11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11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11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11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11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11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11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11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11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11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11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11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11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11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11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11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11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11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11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11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11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11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11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11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11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11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11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11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11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11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11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11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11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11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11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11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11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11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11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11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11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11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11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11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11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11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11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11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11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11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11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11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11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11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11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11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11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11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11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11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11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11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11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11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11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11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11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11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11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11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11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11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11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11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11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11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11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11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11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11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11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11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11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11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11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11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11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11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11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11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11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11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11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11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11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11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11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11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11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11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11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11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11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11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11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11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11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11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11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11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11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11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11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11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11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11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11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11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11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11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11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11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11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11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11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11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11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11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11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11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11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11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11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11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11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11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11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11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11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11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11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11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11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11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11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11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11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11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11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11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11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11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11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11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11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11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11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11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11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11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11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11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11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11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11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11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11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11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11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11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11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11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11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11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11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11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11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11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11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11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11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11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11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11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11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11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11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11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11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11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11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11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11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11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11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11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11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11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11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11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11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11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11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11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11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11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11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11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11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11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11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11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11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11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11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11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11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11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11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11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11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11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11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11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11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11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11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11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11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11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11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11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11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11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11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11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11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11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11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11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11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11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11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11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11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11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11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11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11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11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11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11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11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11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11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11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11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11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11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11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11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11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11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11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11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11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11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11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11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11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11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11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11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11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11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11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11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11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11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11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11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11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11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11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11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11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11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11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11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11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11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11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11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11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11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11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11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11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11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11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11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11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11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11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11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11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11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11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11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11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11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11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11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11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11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11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11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11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11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11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11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11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11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11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11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11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11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11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11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11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11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11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11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11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11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11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11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11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11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11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11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11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11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11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11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11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11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11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11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11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11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11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11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11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11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11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11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11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11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11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11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11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11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11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11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11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11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11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11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11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11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11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11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11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11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11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11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11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11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11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11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11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11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11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11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11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11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11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11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11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11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11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11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11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11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11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11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11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11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11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11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11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11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11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11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11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11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11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11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11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11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11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11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11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11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11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11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11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11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11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11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11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11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11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11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11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11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11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11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11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11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11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11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11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11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11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11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11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11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11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11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11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11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11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11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11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11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11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11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11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11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11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11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11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11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11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11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11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11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11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11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11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11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11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11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11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11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11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11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11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11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11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11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11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11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11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11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11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11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11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11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11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11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11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11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11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11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11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11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11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11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11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11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11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11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11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11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11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11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11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11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11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11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11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11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11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11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11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11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11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11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11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11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11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11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11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11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11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11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11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11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11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11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11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11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11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11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11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11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11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11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11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11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11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11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11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11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11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11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11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11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11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11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11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11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11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11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11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11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11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11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11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11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11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11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11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11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11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11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11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11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11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11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11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11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11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11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11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11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11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11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11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11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11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11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11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11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11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11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11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11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11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11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11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11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11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11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11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11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11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11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11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11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11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11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11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11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11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11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11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11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11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11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11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11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11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11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11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11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11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11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11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11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11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11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11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11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11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11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11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11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11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11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11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11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11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11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11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11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11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11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11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11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11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11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11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11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11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11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11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11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11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11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11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11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11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11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11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11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11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11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11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11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11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11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11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11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11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11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11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11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11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11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11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11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11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11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11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11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11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11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11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11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11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11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11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11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11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11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11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11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11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11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11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11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11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11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11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11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11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11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11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11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11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11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11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11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11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11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11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11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11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11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11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11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11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11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11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11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11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11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11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11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11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11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11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11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11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11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11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11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11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11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11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11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11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11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11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11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11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11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11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11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11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11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11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11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11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11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11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11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11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11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11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11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11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11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11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11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11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11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11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11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11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11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11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11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11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11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11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11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11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11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11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11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11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11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11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11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11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11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11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11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11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11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11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11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11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11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11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11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11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11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11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11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11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11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11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11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11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11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11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11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11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11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11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11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11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11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11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11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11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11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11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11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11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11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11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11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11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11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11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11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11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11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11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11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11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11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11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11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11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11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11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11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11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11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11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11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11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11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11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11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11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11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11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11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11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11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11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11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11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11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11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11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11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11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11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11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11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11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11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11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11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11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11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11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11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11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11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11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11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11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11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11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11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11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11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11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11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11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11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11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11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11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11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11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11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11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11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11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11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11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11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11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11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11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11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11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11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11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11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11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11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11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11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11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11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11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11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11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11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11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11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11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11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11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11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11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11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11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11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11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11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11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11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11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11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11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11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11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11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11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11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11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11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11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11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11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11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11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11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11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11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11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11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11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11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11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11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11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11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11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11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11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11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11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11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11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11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11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11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11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11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11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11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11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11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11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11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11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11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11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11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11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11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11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11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11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11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11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11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11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11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11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11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11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11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11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11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11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11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11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11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11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11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11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11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11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11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11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11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11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11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11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11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11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11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11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11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11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11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11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11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11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11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11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11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11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11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CQ90"/>
  <sheetViews>
    <sheetView tabSelected="1" zoomScaleNormal="100" workbookViewId="0">
      <selection activeCell="I15" sqref="I15"/>
    </sheetView>
  </sheetViews>
  <sheetFormatPr defaultColWidth="8.88671875" defaultRowHeight="13.2" x14ac:dyDescent="0.25"/>
  <cols>
    <col min="1" max="1" width="18.77734375" customWidth="1"/>
    <col min="2" max="2" width="5.77734375" style="5" customWidth="1"/>
    <col min="3" max="3" width="14" style="5" bestFit="1" customWidth="1"/>
    <col min="4" max="4" width="6.5546875" style="5" customWidth="1"/>
    <col min="5" max="16" width="7.5546875" style="5" customWidth="1"/>
    <col min="17" max="19" width="9.77734375" style="241" customWidth="1"/>
    <col min="20" max="20" width="11.77734375" style="237" hidden="1" customWidth="1"/>
    <col min="21" max="21" width="19.44140625" style="237" bestFit="1" customWidth="1"/>
    <col min="22" max="23" width="0" style="5" hidden="1" customWidth="1"/>
  </cols>
  <sheetData>
    <row r="1" spans="1:95" s="108" customFormat="1" ht="23.4" thickBot="1" x14ac:dyDescent="0.3">
      <c r="A1" s="242">
        <v>45458</v>
      </c>
      <c r="B1" s="108" t="s">
        <v>685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8"/>
      <c r="R1" s="238"/>
      <c r="S1" s="238"/>
      <c r="T1" s="235"/>
      <c r="U1" s="235"/>
      <c r="V1" s="234"/>
      <c r="W1" s="234"/>
    </row>
    <row r="2" spans="1:95" s="79" customFormat="1" ht="28.5" customHeight="1" thickBot="1" x14ac:dyDescent="0.3">
      <c r="A2" s="75" t="s">
        <v>0</v>
      </c>
      <c r="B2" s="76" t="s">
        <v>1</v>
      </c>
      <c r="C2" s="77" t="s">
        <v>29</v>
      </c>
      <c r="D2" s="77" t="s">
        <v>158</v>
      </c>
      <c r="E2" s="77" t="s">
        <v>103</v>
      </c>
      <c r="F2" s="83" t="s">
        <v>156</v>
      </c>
      <c r="G2" s="78" t="s">
        <v>12</v>
      </c>
      <c r="H2" s="78" t="s">
        <v>13</v>
      </c>
      <c r="I2" s="78" t="s">
        <v>14</v>
      </c>
      <c r="J2" s="78" t="s">
        <v>113</v>
      </c>
      <c r="K2" s="77" t="s">
        <v>15</v>
      </c>
      <c r="L2" s="78" t="s">
        <v>17</v>
      </c>
      <c r="M2" s="78" t="s">
        <v>18</v>
      </c>
      <c r="N2" s="78" t="s">
        <v>19</v>
      </c>
      <c r="O2" s="78" t="s">
        <v>20</v>
      </c>
      <c r="P2" s="78" t="s">
        <v>21</v>
      </c>
      <c r="Q2" s="239" t="s">
        <v>67</v>
      </c>
      <c r="R2" s="240" t="s">
        <v>90</v>
      </c>
      <c r="S2" s="240" t="s">
        <v>95</v>
      </c>
      <c r="T2" s="236" t="s">
        <v>134</v>
      </c>
      <c r="U2" s="236" t="s">
        <v>30</v>
      </c>
      <c r="V2" s="77" t="s">
        <v>135</v>
      </c>
      <c r="W2" s="93" t="s">
        <v>44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</row>
    <row r="3" spans="1:95" s="250" customFormat="1" ht="15" x14ac:dyDescent="0.25">
      <c r="A3" s="217" t="s">
        <v>654</v>
      </c>
      <c r="B3" s="244">
        <v>60</v>
      </c>
      <c r="C3" s="244" t="s">
        <v>319</v>
      </c>
      <c r="D3" s="244">
        <v>69.25</v>
      </c>
      <c r="E3" s="244">
        <v>75</v>
      </c>
      <c r="F3" s="265">
        <v>0.88265000000000005</v>
      </c>
      <c r="G3" s="244">
        <v>45</v>
      </c>
      <c r="H3" s="244">
        <v>-47.5</v>
      </c>
      <c r="I3" s="244">
        <v>-47.5</v>
      </c>
      <c r="J3" s="244"/>
      <c r="K3" s="244">
        <v>45</v>
      </c>
      <c r="L3" s="244">
        <v>92.5</v>
      </c>
      <c r="M3" s="244">
        <v>95</v>
      </c>
      <c r="N3" s="244">
        <v>-100</v>
      </c>
      <c r="O3" s="244"/>
      <c r="P3" s="244">
        <v>95</v>
      </c>
      <c r="Q3" s="248">
        <v>140</v>
      </c>
      <c r="R3" s="263">
        <v>123.57100000000001</v>
      </c>
      <c r="S3" s="263">
        <v>165.58514000000002</v>
      </c>
      <c r="T3" s="246">
        <v>1</v>
      </c>
      <c r="U3" s="246" t="s">
        <v>706</v>
      </c>
      <c r="V3" s="244">
        <v>3</v>
      </c>
      <c r="W3" s="24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</row>
    <row r="4" spans="1:95" s="250" customFormat="1" ht="15" x14ac:dyDescent="0.25">
      <c r="A4" s="217" t="s">
        <v>657</v>
      </c>
      <c r="B4" s="244">
        <v>35</v>
      </c>
      <c r="C4" s="244" t="s">
        <v>288</v>
      </c>
      <c r="D4" s="244">
        <v>66.05</v>
      </c>
      <c r="E4" s="244">
        <v>67.5</v>
      </c>
      <c r="F4" s="265">
        <v>0.91449999999999998</v>
      </c>
      <c r="G4" s="244">
        <v>47.5</v>
      </c>
      <c r="H4" s="244">
        <v>50</v>
      </c>
      <c r="I4" s="244">
        <v>52.5</v>
      </c>
      <c r="J4" s="244"/>
      <c r="K4" s="244">
        <v>52.5</v>
      </c>
      <c r="L4" s="244">
        <v>112.5</v>
      </c>
      <c r="M4" s="244">
        <v>115</v>
      </c>
      <c r="N4" s="244">
        <v>120</v>
      </c>
      <c r="O4" s="244"/>
      <c r="P4" s="244">
        <v>120</v>
      </c>
      <c r="Q4" s="248">
        <v>172.5</v>
      </c>
      <c r="R4" s="263">
        <v>157.75125</v>
      </c>
      <c r="S4" s="263">
        <v>0</v>
      </c>
      <c r="T4" s="246">
        <v>1</v>
      </c>
      <c r="U4" s="246" t="s">
        <v>707</v>
      </c>
      <c r="V4" s="244">
        <v>3</v>
      </c>
      <c r="W4" s="244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</row>
    <row r="5" spans="1:95" s="254" customFormat="1" ht="14.25" customHeight="1" x14ac:dyDescent="0.25">
      <c r="A5" s="217" t="s">
        <v>652</v>
      </c>
      <c r="B5" s="244">
        <v>37</v>
      </c>
      <c r="C5" s="244" t="s">
        <v>288</v>
      </c>
      <c r="D5" s="244">
        <v>109.45</v>
      </c>
      <c r="E5" s="244">
        <v>110</v>
      </c>
      <c r="F5" s="265">
        <v>0.69240000000000002</v>
      </c>
      <c r="G5" s="244">
        <v>80</v>
      </c>
      <c r="H5" s="244">
        <v>-85</v>
      </c>
      <c r="I5" s="244">
        <v>-87.5</v>
      </c>
      <c r="J5" s="244"/>
      <c r="K5" s="244">
        <v>80</v>
      </c>
      <c r="L5" s="244">
        <v>140</v>
      </c>
      <c r="M5" s="244">
        <v>150</v>
      </c>
      <c r="N5" s="244">
        <v>-160</v>
      </c>
      <c r="O5" s="244"/>
      <c r="P5" s="244">
        <v>150</v>
      </c>
      <c r="Q5" s="248">
        <v>230</v>
      </c>
      <c r="R5" s="263">
        <v>159.25200000000001</v>
      </c>
      <c r="S5" s="263">
        <v>0</v>
      </c>
      <c r="T5" s="246">
        <v>1</v>
      </c>
      <c r="U5" s="246" t="s">
        <v>709</v>
      </c>
      <c r="V5" s="244">
        <v>3</v>
      </c>
      <c r="W5" s="244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</row>
    <row r="6" spans="1:95" s="255" customFormat="1" ht="15" x14ac:dyDescent="0.25">
      <c r="A6" s="257" t="s">
        <v>651</v>
      </c>
      <c r="B6" s="258">
        <v>20</v>
      </c>
      <c r="C6" s="258" t="s">
        <v>283</v>
      </c>
      <c r="D6" s="258">
        <v>54.95</v>
      </c>
      <c r="E6" s="258">
        <v>56</v>
      </c>
      <c r="F6" s="266">
        <v>1.0590999999999999</v>
      </c>
      <c r="G6" s="258">
        <v>52.5</v>
      </c>
      <c r="H6" s="258">
        <v>55</v>
      </c>
      <c r="I6" s="258">
        <v>-57.5</v>
      </c>
      <c r="J6" s="258"/>
      <c r="K6" s="258">
        <v>55</v>
      </c>
      <c r="L6" s="258">
        <v>115</v>
      </c>
      <c r="M6" s="258">
        <v>122.5</v>
      </c>
      <c r="N6" s="258">
        <v>127.5</v>
      </c>
      <c r="O6" s="258"/>
      <c r="P6" s="258">
        <v>127.5</v>
      </c>
      <c r="Q6" s="259">
        <v>182.5</v>
      </c>
      <c r="R6" s="264">
        <v>193.28574999999998</v>
      </c>
      <c r="S6" s="264">
        <v>0</v>
      </c>
      <c r="T6" s="260">
        <v>1</v>
      </c>
      <c r="U6" s="260" t="s">
        <v>708</v>
      </c>
      <c r="V6" s="258">
        <v>3</v>
      </c>
      <c r="W6" s="258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</row>
    <row r="7" spans="1:95" s="250" customFormat="1" ht="15" x14ac:dyDescent="0.25">
      <c r="A7" s="217" t="s">
        <v>670</v>
      </c>
      <c r="B7" s="244">
        <v>14</v>
      </c>
      <c r="C7" s="244" t="s">
        <v>264</v>
      </c>
      <c r="D7" s="244">
        <v>51.6</v>
      </c>
      <c r="E7" s="244">
        <v>52</v>
      </c>
      <c r="F7" s="265">
        <v>1.1144000000000001</v>
      </c>
      <c r="G7" s="244">
        <v>-52.5</v>
      </c>
      <c r="H7" s="244">
        <v>-55</v>
      </c>
      <c r="I7" s="244">
        <v>-57.5</v>
      </c>
      <c r="J7" s="244"/>
      <c r="K7" s="244">
        <v>0</v>
      </c>
      <c r="L7" s="244">
        <v>70</v>
      </c>
      <c r="M7" s="244">
        <v>80</v>
      </c>
      <c r="N7" s="244">
        <v>85</v>
      </c>
      <c r="O7" s="244"/>
      <c r="P7" s="244">
        <v>85</v>
      </c>
      <c r="Q7" s="248">
        <v>0</v>
      </c>
      <c r="R7" s="263">
        <v>0</v>
      </c>
      <c r="S7" s="263">
        <v>0</v>
      </c>
      <c r="T7" s="246">
        <v>1</v>
      </c>
      <c r="U7" s="246">
        <v>0</v>
      </c>
      <c r="V7" s="244">
        <v>0</v>
      </c>
      <c r="W7" s="244"/>
    </row>
    <row r="8" spans="1:95" s="250" customFormat="1" ht="15" x14ac:dyDescent="0.25">
      <c r="A8" s="217" t="s">
        <v>671</v>
      </c>
      <c r="B8" s="244">
        <v>14</v>
      </c>
      <c r="C8" s="244" t="s">
        <v>264</v>
      </c>
      <c r="D8" s="244">
        <v>51.6</v>
      </c>
      <c r="E8" s="244">
        <v>52</v>
      </c>
      <c r="F8" s="265">
        <v>1.1144000000000001</v>
      </c>
      <c r="G8" s="244">
        <v>-52.5</v>
      </c>
      <c r="H8" s="244">
        <v>-55</v>
      </c>
      <c r="I8" s="244">
        <v>-57.5</v>
      </c>
      <c r="J8" s="244"/>
      <c r="K8" s="244">
        <v>0</v>
      </c>
      <c r="L8" s="244">
        <v>70</v>
      </c>
      <c r="M8" s="244">
        <v>80</v>
      </c>
      <c r="N8" s="244">
        <v>85</v>
      </c>
      <c r="O8" s="244"/>
      <c r="P8" s="244">
        <v>85</v>
      </c>
      <c r="Q8" s="248">
        <v>0</v>
      </c>
      <c r="R8" s="263">
        <v>0</v>
      </c>
      <c r="S8" s="263">
        <v>0</v>
      </c>
      <c r="T8" s="246">
        <v>1</v>
      </c>
      <c r="U8" s="246">
        <v>0</v>
      </c>
      <c r="V8" s="244">
        <v>0</v>
      </c>
      <c r="W8" s="244"/>
    </row>
    <row r="9" spans="1:95" s="250" customFormat="1" ht="22.8" x14ac:dyDescent="0.25">
      <c r="A9" s="217" t="s">
        <v>680</v>
      </c>
      <c r="B9" s="244">
        <v>30</v>
      </c>
      <c r="C9" s="244" t="s">
        <v>259</v>
      </c>
      <c r="D9" s="244">
        <v>67.05</v>
      </c>
      <c r="E9" s="244">
        <v>67.5</v>
      </c>
      <c r="F9" s="265">
        <v>0.90385000000000004</v>
      </c>
      <c r="G9" s="244">
        <v>50</v>
      </c>
      <c r="H9" s="244">
        <v>55</v>
      </c>
      <c r="I9" s="244">
        <v>-60</v>
      </c>
      <c r="J9" s="244"/>
      <c r="K9" s="244">
        <v>55</v>
      </c>
      <c r="L9" s="244">
        <v>125</v>
      </c>
      <c r="M9" s="244">
        <v>130</v>
      </c>
      <c r="N9" s="244">
        <v>0</v>
      </c>
      <c r="O9" s="244"/>
      <c r="P9" s="244">
        <v>130</v>
      </c>
      <c r="Q9" s="248">
        <v>185</v>
      </c>
      <c r="R9" s="263">
        <v>167.21225000000001</v>
      </c>
      <c r="S9" s="263">
        <v>0</v>
      </c>
      <c r="T9" s="246">
        <v>1</v>
      </c>
      <c r="U9" s="246" t="s">
        <v>693</v>
      </c>
      <c r="V9" s="244">
        <v>3</v>
      </c>
      <c r="W9" s="244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</row>
    <row r="10" spans="1:95" s="255" customFormat="1" ht="15" x14ac:dyDescent="0.25">
      <c r="A10" s="217" t="s">
        <v>661</v>
      </c>
      <c r="B10" s="244">
        <v>43</v>
      </c>
      <c r="C10" s="244" t="s">
        <v>205</v>
      </c>
      <c r="D10" s="244">
        <v>137</v>
      </c>
      <c r="E10" s="244">
        <v>140</v>
      </c>
      <c r="F10" s="265">
        <v>0.53370000000000006</v>
      </c>
      <c r="G10" s="244">
        <v>212.5</v>
      </c>
      <c r="H10" s="244">
        <v>217.5</v>
      </c>
      <c r="I10" s="244">
        <v>225</v>
      </c>
      <c r="J10" s="244"/>
      <c r="K10" s="244">
        <v>225</v>
      </c>
      <c r="L10" s="244">
        <v>237.5</v>
      </c>
      <c r="M10" s="244">
        <v>255</v>
      </c>
      <c r="N10" s="244">
        <v>272.5</v>
      </c>
      <c r="O10" s="244"/>
      <c r="P10" s="244">
        <v>272.5</v>
      </c>
      <c r="Q10" s="248">
        <v>497.5</v>
      </c>
      <c r="R10" s="263">
        <v>265.51575000000003</v>
      </c>
      <c r="S10" s="263">
        <v>273.74673825000002</v>
      </c>
      <c r="T10" s="246">
        <v>1</v>
      </c>
      <c r="U10" s="246" t="s">
        <v>711</v>
      </c>
      <c r="V10" s="244">
        <v>3</v>
      </c>
      <c r="W10" s="244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</row>
    <row r="11" spans="1:95" s="250" customFormat="1" ht="15" x14ac:dyDescent="0.25">
      <c r="A11" s="217" t="s">
        <v>655</v>
      </c>
      <c r="B11" s="244">
        <v>18</v>
      </c>
      <c r="C11" s="244" t="s">
        <v>186</v>
      </c>
      <c r="D11" s="244">
        <v>64.95</v>
      </c>
      <c r="E11" s="244">
        <v>67.5</v>
      </c>
      <c r="F11" s="265">
        <v>0.77329999999999999</v>
      </c>
      <c r="G11" s="244">
        <v>110</v>
      </c>
      <c r="H11" s="244">
        <v>115</v>
      </c>
      <c r="I11" s="244">
        <v>117.5</v>
      </c>
      <c r="J11" s="244"/>
      <c r="K11" s="244">
        <v>117.5</v>
      </c>
      <c r="L11" s="244">
        <v>250</v>
      </c>
      <c r="M11" s="244">
        <v>-262.5</v>
      </c>
      <c r="N11" s="244">
        <v>-262.5</v>
      </c>
      <c r="O11" s="244"/>
      <c r="P11" s="244">
        <v>250</v>
      </c>
      <c r="Q11" s="248">
        <v>367.5</v>
      </c>
      <c r="R11" s="263">
        <v>284.18774999999999</v>
      </c>
      <c r="S11" s="263">
        <v>0</v>
      </c>
      <c r="T11" s="246">
        <v>1</v>
      </c>
      <c r="U11" s="246" t="s">
        <v>710</v>
      </c>
      <c r="V11" s="244">
        <v>3</v>
      </c>
      <c r="W11" s="244"/>
    </row>
    <row r="12" spans="1:95" s="250" customFormat="1" ht="15" x14ac:dyDescent="0.25">
      <c r="A12" s="217" t="s">
        <v>656</v>
      </c>
      <c r="B12" s="244">
        <v>28</v>
      </c>
      <c r="C12" s="244" t="s">
        <v>169</v>
      </c>
      <c r="D12" s="244">
        <v>148.35</v>
      </c>
      <c r="E12" s="244" t="s">
        <v>81</v>
      </c>
      <c r="F12" s="265">
        <v>0.52429999999999999</v>
      </c>
      <c r="G12" s="244">
        <v>157.5</v>
      </c>
      <c r="H12" s="244">
        <v>170</v>
      </c>
      <c r="I12" s="244">
        <v>-182.5</v>
      </c>
      <c r="J12" s="244"/>
      <c r="K12" s="244">
        <v>170</v>
      </c>
      <c r="L12" s="244">
        <v>207.5</v>
      </c>
      <c r="M12" s="244">
        <v>220</v>
      </c>
      <c r="N12" s="244">
        <v>230</v>
      </c>
      <c r="O12" s="244"/>
      <c r="P12" s="244">
        <v>230</v>
      </c>
      <c r="Q12" s="248">
        <v>400</v>
      </c>
      <c r="R12" s="263">
        <v>209.72</v>
      </c>
      <c r="S12" s="263">
        <v>0</v>
      </c>
      <c r="T12" s="246">
        <v>1</v>
      </c>
      <c r="U12" s="246" t="s">
        <v>691</v>
      </c>
      <c r="V12" s="244">
        <v>3</v>
      </c>
      <c r="W12" s="244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</row>
    <row r="13" spans="1:95" s="250" customFormat="1" ht="15" x14ac:dyDescent="0.25">
      <c r="A13" s="217" t="s">
        <v>653</v>
      </c>
      <c r="B13" s="244">
        <v>19</v>
      </c>
      <c r="C13" s="244" t="s">
        <v>168</v>
      </c>
      <c r="D13" s="244">
        <v>80.3</v>
      </c>
      <c r="E13" s="244">
        <v>82.5</v>
      </c>
      <c r="F13" s="265">
        <v>0.65615000000000001</v>
      </c>
      <c r="G13" s="244">
        <v>115</v>
      </c>
      <c r="H13" s="244">
        <v>120</v>
      </c>
      <c r="I13" s="244">
        <v>-127.5</v>
      </c>
      <c r="J13" s="244"/>
      <c r="K13" s="244">
        <v>120</v>
      </c>
      <c r="L13" s="244">
        <v>215</v>
      </c>
      <c r="M13" s="244">
        <v>225</v>
      </c>
      <c r="N13" s="244">
        <v>235</v>
      </c>
      <c r="O13" s="244"/>
      <c r="P13" s="244">
        <v>235</v>
      </c>
      <c r="Q13" s="248">
        <v>355</v>
      </c>
      <c r="R13" s="263">
        <v>232.93325000000002</v>
      </c>
      <c r="S13" s="263">
        <v>0</v>
      </c>
      <c r="T13" s="246">
        <v>1</v>
      </c>
      <c r="U13" s="246" t="s">
        <v>692</v>
      </c>
      <c r="V13" s="244">
        <v>3</v>
      </c>
      <c r="W13" s="244"/>
    </row>
    <row r="14" spans="1:95" s="108" customFormat="1" ht="22.8" x14ac:dyDescent="0.25"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8"/>
      <c r="R14" s="238"/>
      <c r="S14" s="238"/>
      <c r="T14" s="235"/>
      <c r="U14" s="235"/>
      <c r="V14" s="234"/>
      <c r="W14" s="234"/>
    </row>
    <row r="15" spans="1:95" s="108" customFormat="1" ht="23.4" thickBot="1" x14ac:dyDescent="0.3">
      <c r="A15" s="242"/>
      <c r="B15" s="108" t="s">
        <v>689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8"/>
      <c r="R15" s="238"/>
      <c r="S15" s="238"/>
      <c r="T15" s="235"/>
      <c r="U15" s="235"/>
      <c r="V15" s="234"/>
      <c r="W15" s="234"/>
    </row>
    <row r="16" spans="1:95" ht="27" thickBot="1" x14ac:dyDescent="0.3">
      <c r="A16" s="75" t="s">
        <v>0</v>
      </c>
      <c r="B16" s="76" t="s">
        <v>1</v>
      </c>
      <c r="C16" s="77" t="s">
        <v>29</v>
      </c>
      <c r="D16" s="77" t="s">
        <v>158</v>
      </c>
      <c r="E16" s="77" t="s">
        <v>103</v>
      </c>
      <c r="F16" s="83" t="s">
        <v>156</v>
      </c>
      <c r="G16" s="78" t="s">
        <v>12</v>
      </c>
      <c r="H16" s="78" t="s">
        <v>13</v>
      </c>
      <c r="I16" s="78" t="s">
        <v>14</v>
      </c>
      <c r="J16" s="78" t="s">
        <v>113</v>
      </c>
      <c r="K16" s="77" t="s">
        <v>15</v>
      </c>
      <c r="L16" s="78" t="s">
        <v>17</v>
      </c>
      <c r="M16" s="78" t="s">
        <v>18</v>
      </c>
      <c r="N16" s="78" t="s">
        <v>19</v>
      </c>
      <c r="O16" s="78" t="s">
        <v>20</v>
      </c>
      <c r="P16" s="78" t="s">
        <v>21</v>
      </c>
      <c r="Q16" s="239" t="s">
        <v>67</v>
      </c>
      <c r="R16" s="240" t="s">
        <v>90</v>
      </c>
      <c r="S16" s="240" t="s">
        <v>95</v>
      </c>
      <c r="T16" s="236" t="s">
        <v>134</v>
      </c>
      <c r="U16" s="236" t="s">
        <v>30</v>
      </c>
      <c r="V16" s="77" t="s">
        <v>135</v>
      </c>
      <c r="W16" s="93" t="s">
        <v>44</v>
      </c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</row>
    <row r="17" spans="1:95" s="217" customFormat="1" ht="15" x14ac:dyDescent="0.25">
      <c r="A17" s="217" t="s">
        <v>654</v>
      </c>
      <c r="B17" s="244">
        <v>60</v>
      </c>
      <c r="C17" s="244" t="s">
        <v>319</v>
      </c>
      <c r="D17" s="244">
        <v>69.25</v>
      </c>
      <c r="E17" s="244">
        <v>75</v>
      </c>
      <c r="F17" s="265">
        <v>0.88265000000000005</v>
      </c>
      <c r="G17" s="244">
        <v>99.207000000000008</v>
      </c>
      <c r="H17" s="244">
        <v>-104.71850000000001</v>
      </c>
      <c r="I17" s="244">
        <v>-104.71850000000001</v>
      </c>
      <c r="J17" s="244">
        <v>0</v>
      </c>
      <c r="K17" s="270">
        <v>99.207000000000008</v>
      </c>
      <c r="L17" s="244">
        <v>203.9255</v>
      </c>
      <c r="M17" s="244">
        <v>209.43700000000001</v>
      </c>
      <c r="N17" s="244">
        <v>-220.46</v>
      </c>
      <c r="O17" s="244">
        <v>0</v>
      </c>
      <c r="P17" s="270">
        <v>209.43700000000001</v>
      </c>
      <c r="Q17" s="261">
        <v>308.64400000000001</v>
      </c>
      <c r="R17" s="263">
        <v>123.57100000000001</v>
      </c>
      <c r="S17" s="263">
        <v>165.58514000000002</v>
      </c>
      <c r="T17" s="246">
        <v>1</v>
      </c>
      <c r="U17" s="246" t="s">
        <v>706</v>
      </c>
      <c r="V17" s="244">
        <v>3</v>
      </c>
      <c r="W17" s="251"/>
    </row>
    <row r="18" spans="1:95" s="217" customFormat="1" ht="15" x14ac:dyDescent="0.25">
      <c r="A18" s="217" t="s">
        <v>657</v>
      </c>
      <c r="B18" s="244">
        <v>35</v>
      </c>
      <c r="C18" s="244" t="s">
        <v>288</v>
      </c>
      <c r="D18" s="244">
        <v>66.05</v>
      </c>
      <c r="E18" s="244">
        <v>67.5</v>
      </c>
      <c r="F18" s="265">
        <v>0.91449999999999998</v>
      </c>
      <c r="G18" s="244">
        <v>104.71850000000001</v>
      </c>
      <c r="H18" s="244">
        <v>110.23</v>
      </c>
      <c r="I18" s="244">
        <v>115.7415</v>
      </c>
      <c r="J18" s="244">
        <v>0</v>
      </c>
      <c r="K18" s="270">
        <v>115.7415</v>
      </c>
      <c r="L18" s="244">
        <v>248.01750000000001</v>
      </c>
      <c r="M18" s="244">
        <v>253.52900000000002</v>
      </c>
      <c r="N18" s="244">
        <v>264.55200000000002</v>
      </c>
      <c r="O18" s="244">
        <v>0</v>
      </c>
      <c r="P18" s="270">
        <v>264.55200000000002</v>
      </c>
      <c r="Q18" s="261">
        <v>380.29349999999999</v>
      </c>
      <c r="R18" s="263">
        <v>157.75125</v>
      </c>
      <c r="S18" s="263">
        <v>0</v>
      </c>
      <c r="T18" s="246">
        <v>1</v>
      </c>
      <c r="U18" s="246" t="s">
        <v>707</v>
      </c>
      <c r="V18" s="244">
        <v>3</v>
      </c>
      <c r="W18" s="251"/>
    </row>
    <row r="19" spans="1:95" s="217" customFormat="1" ht="15" x14ac:dyDescent="0.25">
      <c r="A19" s="217" t="s">
        <v>652</v>
      </c>
      <c r="B19" s="244">
        <v>37</v>
      </c>
      <c r="C19" s="244" t="s">
        <v>288</v>
      </c>
      <c r="D19" s="244">
        <v>109.45</v>
      </c>
      <c r="E19" s="244">
        <v>110</v>
      </c>
      <c r="F19" s="265">
        <v>0.69240000000000002</v>
      </c>
      <c r="G19" s="244">
        <v>176.36799999999999</v>
      </c>
      <c r="H19" s="244">
        <v>-187.39100000000002</v>
      </c>
      <c r="I19" s="244">
        <v>-192.9025</v>
      </c>
      <c r="J19" s="244">
        <v>0</v>
      </c>
      <c r="K19" s="270">
        <v>176.36799999999999</v>
      </c>
      <c r="L19" s="244">
        <v>308.64400000000001</v>
      </c>
      <c r="M19" s="244">
        <v>330.69</v>
      </c>
      <c r="N19" s="244">
        <v>-352.73599999999999</v>
      </c>
      <c r="O19" s="244">
        <v>0</v>
      </c>
      <c r="P19" s="270">
        <v>330.69</v>
      </c>
      <c r="Q19" s="261">
        <v>507.05800000000005</v>
      </c>
      <c r="R19" s="263">
        <v>159.25200000000001</v>
      </c>
      <c r="S19" s="263">
        <v>0</v>
      </c>
      <c r="T19" s="246">
        <v>1</v>
      </c>
      <c r="U19" s="246" t="s">
        <v>709</v>
      </c>
      <c r="V19" s="244">
        <v>3</v>
      </c>
      <c r="W19" s="251"/>
    </row>
    <row r="20" spans="1:95" s="217" customFormat="1" ht="15" x14ac:dyDescent="0.25">
      <c r="A20" s="257" t="s">
        <v>651</v>
      </c>
      <c r="B20" s="258">
        <v>20</v>
      </c>
      <c r="C20" s="258" t="s">
        <v>283</v>
      </c>
      <c r="D20" s="258">
        <v>54.95</v>
      </c>
      <c r="E20" s="258">
        <v>56</v>
      </c>
      <c r="F20" s="266">
        <v>1.0590999999999999</v>
      </c>
      <c r="G20" s="258">
        <v>115.7415</v>
      </c>
      <c r="H20" s="258">
        <v>121.253</v>
      </c>
      <c r="I20" s="258">
        <v>-126.76450000000001</v>
      </c>
      <c r="J20" s="258">
        <v>0</v>
      </c>
      <c r="K20" s="271">
        <v>121.253</v>
      </c>
      <c r="L20" s="258">
        <v>253.52900000000002</v>
      </c>
      <c r="M20" s="258">
        <v>270.06350000000003</v>
      </c>
      <c r="N20" s="258">
        <v>281.0865</v>
      </c>
      <c r="O20" s="258">
        <v>0</v>
      </c>
      <c r="P20" s="271">
        <v>281.0865</v>
      </c>
      <c r="Q20" s="262">
        <v>402.33950000000004</v>
      </c>
      <c r="R20" s="264">
        <v>193.28574999999998</v>
      </c>
      <c r="S20" s="264">
        <v>0</v>
      </c>
      <c r="T20" s="260">
        <v>1</v>
      </c>
      <c r="U20" s="260" t="s">
        <v>708</v>
      </c>
      <c r="V20" s="258">
        <v>3</v>
      </c>
      <c r="W20" s="256"/>
    </row>
    <row r="21" spans="1:95" s="217" customFormat="1" ht="15" x14ac:dyDescent="0.25">
      <c r="A21" s="217" t="s">
        <v>670</v>
      </c>
      <c r="B21" s="244">
        <v>14</v>
      </c>
      <c r="C21" s="244" t="s">
        <v>264</v>
      </c>
      <c r="D21" s="244">
        <v>51.6</v>
      </c>
      <c r="E21" s="244">
        <v>52</v>
      </c>
      <c r="F21" s="265">
        <v>1.1144000000000001</v>
      </c>
      <c r="G21" s="244">
        <v>-115.7415</v>
      </c>
      <c r="H21" s="244">
        <v>-121.253</v>
      </c>
      <c r="I21" s="244">
        <v>-126.76450000000001</v>
      </c>
      <c r="J21" s="244">
        <v>0</v>
      </c>
      <c r="K21" s="270">
        <v>0</v>
      </c>
      <c r="L21" s="244">
        <v>154.322</v>
      </c>
      <c r="M21" s="244">
        <v>176.36799999999999</v>
      </c>
      <c r="N21" s="244">
        <v>187.39100000000002</v>
      </c>
      <c r="O21" s="244">
        <v>0</v>
      </c>
      <c r="P21" s="270">
        <v>187.39100000000002</v>
      </c>
      <c r="Q21" s="261">
        <v>0</v>
      </c>
      <c r="R21" s="263">
        <v>0</v>
      </c>
      <c r="S21" s="263">
        <v>0</v>
      </c>
      <c r="T21" s="246">
        <v>1</v>
      </c>
      <c r="U21" s="246">
        <v>0</v>
      </c>
      <c r="V21" s="244">
        <v>0</v>
      </c>
      <c r="W21" s="251"/>
    </row>
    <row r="22" spans="1:95" s="217" customFormat="1" ht="15" x14ac:dyDescent="0.25">
      <c r="A22" s="217" t="s">
        <v>671</v>
      </c>
      <c r="B22" s="244">
        <v>14</v>
      </c>
      <c r="C22" s="244" t="s">
        <v>264</v>
      </c>
      <c r="D22" s="244">
        <v>51.6</v>
      </c>
      <c r="E22" s="244">
        <v>52</v>
      </c>
      <c r="F22" s="265">
        <v>1.1144000000000001</v>
      </c>
      <c r="G22" s="244">
        <v>-115.7415</v>
      </c>
      <c r="H22" s="244">
        <v>-121.253</v>
      </c>
      <c r="I22" s="244">
        <v>-126.76450000000001</v>
      </c>
      <c r="J22" s="244">
        <v>0</v>
      </c>
      <c r="K22" s="270">
        <v>0</v>
      </c>
      <c r="L22" s="244">
        <v>154.322</v>
      </c>
      <c r="M22" s="244">
        <v>176.36799999999999</v>
      </c>
      <c r="N22" s="244">
        <v>187.39100000000002</v>
      </c>
      <c r="O22" s="244">
        <v>0</v>
      </c>
      <c r="P22" s="270">
        <v>187.39100000000002</v>
      </c>
      <c r="Q22" s="261">
        <v>0</v>
      </c>
      <c r="R22" s="263">
        <v>0</v>
      </c>
      <c r="S22" s="263">
        <v>0</v>
      </c>
      <c r="T22" s="246">
        <v>1</v>
      </c>
      <c r="U22" s="246">
        <v>0</v>
      </c>
      <c r="V22" s="244">
        <v>0</v>
      </c>
      <c r="W22" s="251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</row>
    <row r="23" spans="1:95" s="217" customFormat="1" x14ac:dyDescent="0.25">
      <c r="A23" s="217" t="s">
        <v>680</v>
      </c>
      <c r="B23" s="244">
        <v>30</v>
      </c>
      <c r="C23" s="244" t="s">
        <v>259</v>
      </c>
      <c r="D23" s="244">
        <v>67.05</v>
      </c>
      <c r="E23" s="244">
        <v>67.5</v>
      </c>
      <c r="F23" s="265">
        <v>0.90385000000000004</v>
      </c>
      <c r="G23" s="244">
        <v>110.23</v>
      </c>
      <c r="H23" s="244">
        <v>121.253</v>
      </c>
      <c r="I23" s="244">
        <v>-132.27600000000001</v>
      </c>
      <c r="J23" s="244">
        <v>0</v>
      </c>
      <c r="K23" s="270">
        <v>121.253</v>
      </c>
      <c r="L23" s="244">
        <v>275.57499999999999</v>
      </c>
      <c r="M23" s="244">
        <v>286.59800000000001</v>
      </c>
      <c r="N23" s="244">
        <v>0</v>
      </c>
      <c r="O23" s="244">
        <v>0</v>
      </c>
      <c r="P23" s="270">
        <v>286.59800000000001</v>
      </c>
      <c r="Q23" s="261">
        <v>407.851</v>
      </c>
      <c r="R23" s="263">
        <v>167.21225000000001</v>
      </c>
      <c r="S23" s="263">
        <v>0</v>
      </c>
      <c r="T23" s="246">
        <v>1</v>
      </c>
      <c r="U23" s="246" t="s">
        <v>693</v>
      </c>
      <c r="V23" s="244">
        <v>3</v>
      </c>
      <c r="W23" s="5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s="217" customFormat="1" ht="15" x14ac:dyDescent="0.25">
      <c r="A24" s="217" t="s">
        <v>661</v>
      </c>
      <c r="B24" s="244">
        <v>43</v>
      </c>
      <c r="C24" s="244" t="s">
        <v>205</v>
      </c>
      <c r="D24" s="244">
        <v>137</v>
      </c>
      <c r="E24" s="244">
        <v>140</v>
      </c>
      <c r="F24" s="265">
        <v>0.53370000000000006</v>
      </c>
      <c r="G24" s="244">
        <v>468.47750000000002</v>
      </c>
      <c r="H24" s="244">
        <v>479.50050000000005</v>
      </c>
      <c r="I24" s="244">
        <v>496.03500000000003</v>
      </c>
      <c r="J24" s="244">
        <v>0</v>
      </c>
      <c r="K24" s="270">
        <v>496.03500000000003</v>
      </c>
      <c r="L24" s="244">
        <v>523.59249999999997</v>
      </c>
      <c r="M24" s="244">
        <v>562.173</v>
      </c>
      <c r="N24" s="244">
        <v>600.75350000000003</v>
      </c>
      <c r="O24" s="244">
        <v>0</v>
      </c>
      <c r="P24" s="270">
        <v>600.75350000000003</v>
      </c>
      <c r="Q24" s="261">
        <v>1096.7885000000001</v>
      </c>
      <c r="R24" s="263">
        <v>265.51575000000003</v>
      </c>
      <c r="S24" s="263">
        <v>273.74673825000002</v>
      </c>
      <c r="T24" s="246">
        <v>1</v>
      </c>
      <c r="U24" s="246" t="s">
        <v>711</v>
      </c>
      <c r="V24" s="244">
        <v>3</v>
      </c>
      <c r="W24" s="244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</row>
    <row r="25" spans="1:95" s="217" customFormat="1" ht="15" x14ac:dyDescent="0.25">
      <c r="A25" s="217" t="s">
        <v>655</v>
      </c>
      <c r="B25" s="244">
        <v>18</v>
      </c>
      <c r="C25" s="244" t="s">
        <v>186</v>
      </c>
      <c r="D25" s="244">
        <v>64.95</v>
      </c>
      <c r="E25" s="244">
        <v>67.5</v>
      </c>
      <c r="F25" s="265">
        <v>0.77329999999999999</v>
      </c>
      <c r="G25" s="244">
        <v>242.506</v>
      </c>
      <c r="H25" s="244">
        <v>253.52900000000002</v>
      </c>
      <c r="I25" s="244">
        <v>259.04050000000001</v>
      </c>
      <c r="J25" s="244">
        <v>0</v>
      </c>
      <c r="K25" s="270">
        <v>259.04050000000001</v>
      </c>
      <c r="L25" s="244">
        <v>551.15</v>
      </c>
      <c r="M25" s="244">
        <v>-578.70749999999998</v>
      </c>
      <c r="N25" s="244">
        <v>-578.70749999999998</v>
      </c>
      <c r="O25" s="244">
        <v>0</v>
      </c>
      <c r="P25" s="270">
        <v>551.15</v>
      </c>
      <c r="Q25" s="261">
        <v>810.19050000000004</v>
      </c>
      <c r="R25" s="263">
        <v>284.18774999999999</v>
      </c>
      <c r="S25" s="263">
        <v>0</v>
      </c>
      <c r="T25" s="246">
        <v>1</v>
      </c>
      <c r="U25" s="246" t="s">
        <v>710</v>
      </c>
      <c r="V25" s="244">
        <v>3</v>
      </c>
      <c r="W25" s="251"/>
    </row>
    <row r="26" spans="1:95" s="217" customFormat="1" ht="15" x14ac:dyDescent="0.25">
      <c r="A26" s="217" t="s">
        <v>656</v>
      </c>
      <c r="B26" s="244">
        <v>28</v>
      </c>
      <c r="C26" s="244" t="s">
        <v>169</v>
      </c>
      <c r="D26" s="244">
        <v>148.35</v>
      </c>
      <c r="E26" s="244" t="s">
        <v>81</v>
      </c>
      <c r="F26" s="265">
        <v>0.52429999999999999</v>
      </c>
      <c r="G26" s="244">
        <v>347.22450000000003</v>
      </c>
      <c r="H26" s="244">
        <v>374.78200000000004</v>
      </c>
      <c r="I26" s="244">
        <v>-402.33950000000004</v>
      </c>
      <c r="J26" s="244">
        <v>0</v>
      </c>
      <c r="K26" s="270">
        <v>374.78200000000004</v>
      </c>
      <c r="L26" s="244">
        <v>457.4545</v>
      </c>
      <c r="M26" s="244">
        <v>485.012</v>
      </c>
      <c r="N26" s="244">
        <v>507.05800000000005</v>
      </c>
      <c r="O26" s="244">
        <v>0</v>
      </c>
      <c r="P26" s="270">
        <v>507.05800000000005</v>
      </c>
      <c r="Q26" s="261">
        <v>881.84</v>
      </c>
      <c r="R26" s="263">
        <v>209.72</v>
      </c>
      <c r="S26" s="263">
        <v>0</v>
      </c>
      <c r="T26" s="246">
        <v>1</v>
      </c>
      <c r="U26" s="246" t="s">
        <v>691</v>
      </c>
      <c r="V26" s="244">
        <v>3</v>
      </c>
      <c r="W26" s="251"/>
    </row>
    <row r="27" spans="1:95" s="217" customFormat="1" ht="15" x14ac:dyDescent="0.25">
      <c r="A27" s="217" t="s">
        <v>653</v>
      </c>
      <c r="B27" s="244">
        <v>19</v>
      </c>
      <c r="C27" s="244" t="s">
        <v>168</v>
      </c>
      <c r="D27" s="244">
        <v>80.3</v>
      </c>
      <c r="E27" s="244">
        <v>82.5</v>
      </c>
      <c r="F27" s="265">
        <v>0.65615000000000001</v>
      </c>
      <c r="G27" s="244">
        <v>253.52900000000002</v>
      </c>
      <c r="H27" s="244">
        <v>264.55200000000002</v>
      </c>
      <c r="I27" s="244">
        <v>-281.0865</v>
      </c>
      <c r="J27" s="244">
        <v>0</v>
      </c>
      <c r="K27" s="270">
        <v>264.55200000000002</v>
      </c>
      <c r="L27" s="244">
        <v>473.98900000000003</v>
      </c>
      <c r="M27" s="244">
        <v>496.03500000000003</v>
      </c>
      <c r="N27" s="244">
        <v>518.08100000000002</v>
      </c>
      <c r="O27" s="244">
        <v>0</v>
      </c>
      <c r="P27" s="270">
        <v>518.08100000000002</v>
      </c>
      <c r="Q27" s="261">
        <v>782.63300000000004</v>
      </c>
      <c r="R27" s="263">
        <v>232.93325000000002</v>
      </c>
      <c r="S27" s="263">
        <v>0</v>
      </c>
      <c r="T27" s="246">
        <v>1</v>
      </c>
      <c r="U27" s="246" t="s">
        <v>692</v>
      </c>
      <c r="V27" s="244">
        <v>3</v>
      </c>
      <c r="W27" s="251"/>
    </row>
    <row r="29" spans="1:95" ht="12.75" customHeight="1" x14ac:dyDescent="0.25"/>
    <row r="38" ht="13.5" customHeight="1" x14ac:dyDescent="0.25"/>
    <row r="40" ht="12.75" customHeight="1" x14ac:dyDescent="0.25"/>
    <row r="51" spans="2:23" s="108" customFormat="1" ht="22.8" x14ac:dyDescent="0.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8"/>
      <c r="R51" s="238"/>
      <c r="S51" s="238"/>
      <c r="T51" s="235"/>
      <c r="U51" s="235"/>
      <c r="V51" s="234"/>
      <c r="W51" s="234"/>
    </row>
    <row r="90" ht="13.5" customHeight="1" x14ac:dyDescent="0.25"/>
  </sheetData>
  <phoneticPr fontId="0" type="noConversion"/>
  <conditionalFormatting sqref="G2:J2 L2:O2">
    <cfRule type="cellIs" dxfId="13" priority="2" stopIfTrue="1" operator="equal">
      <formula>#REF!</formula>
    </cfRule>
  </conditionalFormatting>
  <conditionalFormatting sqref="G16:J16 L16:O16">
    <cfRule type="cellIs" dxfId="12" priority="1" stopIfTrue="1" operator="equal">
      <formula>#REF!</formula>
    </cfRule>
  </conditionalFormatting>
  <printOptions gridLines="1"/>
  <pageMargins left="0.75" right="0.75" top="1" bottom="1" header="0.5" footer="0.5"/>
  <pageSetup paperSize="5" scale="88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J464"/>
  <sheetViews>
    <sheetView topLeftCell="C1" workbookViewId="0">
      <selection activeCell="W2" sqref="W1:W1048576"/>
    </sheetView>
  </sheetViews>
  <sheetFormatPr defaultColWidth="9.109375" defaultRowHeight="10.199999999999999" x14ac:dyDescent="0.2"/>
  <cols>
    <col min="1" max="1" width="9.109375" style="42" hidden="1" customWidth="1"/>
    <col min="2" max="2" width="3.109375" style="41" hidden="1" customWidth="1"/>
    <col min="3" max="3" width="15.88671875" style="52" customWidth="1"/>
    <col min="4" max="4" width="4.109375" style="41" customWidth="1"/>
    <col min="5" max="5" width="11.21875" style="41" bestFit="1" customWidth="1"/>
    <col min="6" max="6" width="5.88671875" style="41" customWidth="1"/>
    <col min="7" max="7" width="5.44140625" style="41" customWidth="1"/>
    <col min="8" max="8" width="8.33203125" style="46" customWidth="1"/>
    <col min="9" max="9" width="3.6640625" style="41" hidden="1" customWidth="1"/>
    <col min="10" max="16" width="5.6640625" style="41" hidden="1" customWidth="1"/>
    <col min="17" max="19" width="5.6640625" style="41" customWidth="1"/>
    <col min="20" max="20" width="5.6640625" style="41" hidden="1" customWidth="1"/>
    <col min="21" max="21" width="5.6640625" style="41" customWidth="1"/>
    <col min="22" max="22" width="5.6640625" style="41" hidden="1" customWidth="1"/>
    <col min="23" max="25" width="5.6640625" style="43" customWidth="1"/>
    <col min="26" max="26" width="5.6640625" style="41" hidden="1" customWidth="1"/>
    <col min="27" max="27" width="5.6640625" style="41" customWidth="1"/>
    <col min="28" max="28" width="7" style="47" customWidth="1"/>
    <col min="29" max="30" width="7" style="50" customWidth="1"/>
    <col min="31" max="31" width="5.33203125" style="91" customWidth="1"/>
    <col min="32" max="32" width="7.88671875" style="91" customWidth="1"/>
    <col min="33" max="33" width="7" style="50" customWidth="1"/>
    <col min="34" max="34" width="8.6640625" style="50" customWidth="1"/>
    <col min="35" max="35" width="8.44140625" style="48" customWidth="1"/>
    <col min="36" max="36" width="9.109375" style="42" hidden="1" customWidth="1"/>
    <col min="37" max="47" width="0" style="42" hidden="1" customWidth="1"/>
    <col min="48" max="16384" width="9.109375" style="42"/>
  </cols>
  <sheetData>
    <row r="1" spans="1:35" ht="28.5" customHeight="1" thickBot="1" x14ac:dyDescent="0.45">
      <c r="C1" s="130">
        <f>Setup!K2</f>
        <v>45458</v>
      </c>
      <c r="D1" s="406" t="str">
        <f>Setup!C2</f>
        <v>MadMax Push/Pull</v>
      </c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8"/>
    </row>
    <row r="2" spans="1:35" s="131" customFormat="1" ht="34.5" customHeight="1" thickBot="1" x14ac:dyDescent="0.3">
      <c r="A2" s="131" t="s">
        <v>31</v>
      </c>
      <c r="B2" s="132" t="s">
        <v>105</v>
      </c>
      <c r="C2" s="133" t="s">
        <v>0</v>
      </c>
      <c r="D2" s="134" t="s">
        <v>1</v>
      </c>
      <c r="E2" s="134" t="s">
        <v>29</v>
      </c>
      <c r="F2" s="134" t="str">
        <f>Lifting!F8</f>
        <v>BWt (Kg)</v>
      </c>
      <c r="G2" s="134" t="str">
        <f>Lifting!G8</f>
        <v>WtCls (Kg)</v>
      </c>
      <c r="H2" s="135" t="str">
        <f>Lifting!H8</f>
        <v>Glossbrenner</v>
      </c>
      <c r="I2" s="134" t="s">
        <v>2</v>
      </c>
      <c r="J2" s="134" t="s">
        <v>26</v>
      </c>
      <c r="K2" s="134" t="s">
        <v>22</v>
      </c>
      <c r="L2" s="134" t="s">
        <v>23</v>
      </c>
      <c r="M2" s="134" t="s">
        <v>24</v>
      </c>
      <c r="N2" s="134" t="s">
        <v>25</v>
      </c>
      <c r="O2" s="134" t="s">
        <v>11</v>
      </c>
      <c r="P2" s="134" t="s">
        <v>27</v>
      </c>
      <c r="Q2" s="134" t="s">
        <v>12</v>
      </c>
      <c r="R2" s="134" t="s">
        <v>13</v>
      </c>
      <c r="S2" s="134" t="s">
        <v>14</v>
      </c>
      <c r="T2" s="134" t="s">
        <v>28</v>
      </c>
      <c r="U2" s="134" t="s">
        <v>15</v>
      </c>
      <c r="V2" s="134" t="s">
        <v>16</v>
      </c>
      <c r="W2" s="134" t="s">
        <v>17</v>
      </c>
      <c r="X2" s="134" t="s">
        <v>18</v>
      </c>
      <c r="Y2" s="134" t="s">
        <v>19</v>
      </c>
      <c r="Z2" s="134" t="s">
        <v>20</v>
      </c>
      <c r="AA2" s="134" t="s">
        <v>21</v>
      </c>
      <c r="AB2" s="136" t="str">
        <f>Lifting!AB8</f>
        <v>Push Pull Total</v>
      </c>
      <c r="AC2" s="137" t="s">
        <v>90</v>
      </c>
      <c r="AD2" s="137" t="s">
        <v>95</v>
      </c>
      <c r="AE2" s="137" t="s">
        <v>100</v>
      </c>
      <c r="AF2" s="137" t="s">
        <v>30</v>
      </c>
      <c r="AG2" s="137" t="s">
        <v>37</v>
      </c>
      <c r="AH2" s="137" t="s">
        <v>44</v>
      </c>
      <c r="AI2" s="138" t="s">
        <v>101</v>
      </c>
    </row>
    <row r="3" spans="1:35" ht="14.25" customHeight="1" x14ac:dyDescent="0.2">
      <c r="B3" s="43"/>
      <c r="C3" s="53" t="s">
        <v>664</v>
      </c>
      <c r="D3" s="43">
        <v>49</v>
      </c>
      <c r="E3" s="43" t="s">
        <v>210</v>
      </c>
      <c r="F3" s="43">
        <v>98.1</v>
      </c>
      <c r="G3" s="43">
        <v>100</v>
      </c>
      <c r="H3" s="44">
        <v>0.58614999999999995</v>
      </c>
      <c r="I3" s="43"/>
      <c r="J3" s="43"/>
      <c r="K3" s="43"/>
      <c r="L3" s="43"/>
      <c r="M3" s="43"/>
      <c r="N3" s="43"/>
      <c r="O3" s="43">
        <v>0</v>
      </c>
      <c r="P3" s="43">
        <v>18</v>
      </c>
      <c r="Q3" s="43">
        <v>85</v>
      </c>
      <c r="R3" s="43">
        <v>-95</v>
      </c>
      <c r="S3" s="43">
        <v>100</v>
      </c>
      <c r="T3" s="43"/>
      <c r="U3" s="43">
        <v>85</v>
      </c>
      <c r="V3" s="43">
        <v>0</v>
      </c>
      <c r="Z3" s="43"/>
      <c r="AA3" s="43">
        <v>0</v>
      </c>
      <c r="AB3" s="49">
        <v>0</v>
      </c>
      <c r="AC3" s="51">
        <v>0</v>
      </c>
      <c r="AD3" s="51">
        <v>0</v>
      </c>
      <c r="AE3" s="90">
        <v>2</v>
      </c>
      <c r="AF3" s="90">
        <v>0</v>
      </c>
      <c r="AG3" s="51">
        <v>0</v>
      </c>
      <c r="AH3" s="51"/>
      <c r="AI3" s="45" t="s">
        <v>348</v>
      </c>
    </row>
    <row r="4" spans="1:35" ht="14.25" customHeight="1" x14ac:dyDescent="0.2">
      <c r="B4" s="43"/>
      <c r="C4" s="53" t="s">
        <v>682</v>
      </c>
      <c r="D4" s="43">
        <v>45</v>
      </c>
      <c r="E4" s="43" t="s">
        <v>210</v>
      </c>
      <c r="F4" s="43">
        <v>154.69999999999999</v>
      </c>
      <c r="G4" s="43" t="s">
        <v>81</v>
      </c>
      <c r="H4" s="44">
        <v>0.51954999999999996</v>
      </c>
      <c r="I4" s="43"/>
      <c r="J4" s="43"/>
      <c r="K4" s="43"/>
      <c r="L4" s="43"/>
      <c r="M4" s="43"/>
      <c r="N4" s="43"/>
      <c r="O4" s="43">
        <v>0</v>
      </c>
      <c r="P4" s="43">
        <v>18</v>
      </c>
      <c r="Q4" s="43">
        <v>130</v>
      </c>
      <c r="R4" s="43">
        <v>-142.5</v>
      </c>
      <c r="S4" s="43">
        <v>147.5</v>
      </c>
      <c r="T4" s="43"/>
      <c r="U4" s="43">
        <v>130</v>
      </c>
      <c r="V4" s="43">
        <v>0</v>
      </c>
      <c r="Z4" s="43"/>
      <c r="AA4" s="43">
        <v>0</v>
      </c>
      <c r="AB4" s="49">
        <v>0</v>
      </c>
      <c r="AC4" s="51">
        <v>0</v>
      </c>
      <c r="AD4" s="51">
        <v>0</v>
      </c>
      <c r="AE4" s="90">
        <v>2</v>
      </c>
      <c r="AF4" s="90">
        <v>0</v>
      </c>
      <c r="AG4" s="51">
        <v>0</v>
      </c>
      <c r="AH4" s="51"/>
      <c r="AI4" s="45" t="s">
        <v>348</v>
      </c>
    </row>
    <row r="5" spans="1:35" ht="14.25" customHeight="1" x14ac:dyDescent="0.2">
      <c r="B5" s="43"/>
      <c r="C5" s="53" t="s">
        <v>683</v>
      </c>
      <c r="D5" s="43">
        <v>45</v>
      </c>
      <c r="E5" s="43" t="s">
        <v>168</v>
      </c>
      <c r="F5" s="43">
        <v>154.69999999999999</v>
      </c>
      <c r="G5" s="43" t="s">
        <v>81</v>
      </c>
      <c r="H5" s="44">
        <v>0.51954999999999996</v>
      </c>
      <c r="I5" s="43"/>
      <c r="J5" s="43"/>
      <c r="K5" s="43"/>
      <c r="L5" s="43"/>
      <c r="M5" s="43"/>
      <c r="N5" s="43"/>
      <c r="O5" s="43">
        <v>0</v>
      </c>
      <c r="P5" s="43">
        <v>18</v>
      </c>
      <c r="Q5" s="43">
        <v>130</v>
      </c>
      <c r="R5" s="43">
        <v>-142.5</v>
      </c>
      <c r="S5" s="43">
        <v>147.5</v>
      </c>
      <c r="T5" s="43"/>
      <c r="U5" s="43">
        <v>130</v>
      </c>
      <c r="V5" s="43">
        <v>0</v>
      </c>
      <c r="Z5" s="43"/>
      <c r="AA5" s="43">
        <v>0</v>
      </c>
      <c r="AB5" s="49">
        <v>0</v>
      </c>
      <c r="AC5" s="51">
        <v>0</v>
      </c>
      <c r="AD5" s="51">
        <v>0</v>
      </c>
      <c r="AE5" s="90">
        <v>1</v>
      </c>
      <c r="AF5" s="90">
        <v>0</v>
      </c>
      <c r="AG5" s="51">
        <v>0</v>
      </c>
      <c r="AH5" s="51"/>
      <c r="AI5" s="45" t="s">
        <v>348</v>
      </c>
    </row>
    <row r="6" spans="1:35" ht="14.25" customHeight="1" x14ac:dyDescent="0.2">
      <c r="B6" s="43"/>
      <c r="C6" s="53" t="s">
        <v>663</v>
      </c>
      <c r="D6" s="43">
        <v>50</v>
      </c>
      <c r="E6" s="43" t="s">
        <v>217</v>
      </c>
      <c r="F6" s="43">
        <v>97.05</v>
      </c>
      <c r="G6" s="43">
        <v>100</v>
      </c>
      <c r="H6" s="44">
        <v>0.58884999999999998</v>
      </c>
      <c r="I6" s="43"/>
      <c r="J6" s="43"/>
      <c r="K6" s="43"/>
      <c r="L6" s="43"/>
      <c r="M6" s="43"/>
      <c r="N6" s="43"/>
      <c r="O6" s="43">
        <v>0</v>
      </c>
      <c r="P6" s="43">
        <v>14</v>
      </c>
      <c r="Q6" s="43">
        <v>152.5</v>
      </c>
      <c r="R6" s="43">
        <v>160</v>
      </c>
      <c r="S6" s="43">
        <v>165</v>
      </c>
      <c r="T6" s="43"/>
      <c r="U6" s="43">
        <v>160</v>
      </c>
      <c r="V6" s="43">
        <v>0</v>
      </c>
      <c r="Z6" s="43"/>
      <c r="AA6" s="43">
        <v>0</v>
      </c>
      <c r="AB6" s="49">
        <v>0</v>
      </c>
      <c r="AC6" s="51">
        <v>0</v>
      </c>
      <c r="AD6" s="51">
        <v>0</v>
      </c>
      <c r="AE6" s="90">
        <v>2</v>
      </c>
      <c r="AF6" s="90">
        <v>0</v>
      </c>
      <c r="AG6" s="51">
        <v>0</v>
      </c>
      <c r="AH6" s="51"/>
      <c r="AI6" s="45" t="s">
        <v>348</v>
      </c>
    </row>
    <row r="7" spans="1:35" ht="14.25" customHeight="1" x14ac:dyDescent="0.2">
      <c r="B7" s="43"/>
      <c r="C7" s="53" t="s">
        <v>658</v>
      </c>
      <c r="D7" s="43">
        <v>46</v>
      </c>
      <c r="E7" s="43" t="s">
        <v>210</v>
      </c>
      <c r="F7" s="43">
        <v>123.5</v>
      </c>
      <c r="G7" s="43">
        <v>125</v>
      </c>
      <c r="H7" s="44">
        <v>0.54720000000000002</v>
      </c>
      <c r="I7" s="43"/>
      <c r="J7" s="43"/>
      <c r="K7" s="43"/>
      <c r="L7" s="43"/>
      <c r="M7" s="43"/>
      <c r="N7" s="43"/>
      <c r="O7" s="43">
        <v>0</v>
      </c>
      <c r="P7" s="43">
        <v>20</v>
      </c>
      <c r="Q7" s="43">
        <v>172.5</v>
      </c>
      <c r="R7" s="43">
        <v>-182.5</v>
      </c>
      <c r="S7" s="43">
        <v>182.5</v>
      </c>
      <c r="T7" s="43"/>
      <c r="U7" s="43">
        <v>172.5</v>
      </c>
      <c r="V7" s="43">
        <v>0</v>
      </c>
      <c r="Z7" s="43"/>
      <c r="AA7" s="43">
        <v>0</v>
      </c>
      <c r="AB7" s="49">
        <v>0</v>
      </c>
      <c r="AC7" s="51">
        <v>0</v>
      </c>
      <c r="AD7" s="51">
        <v>0</v>
      </c>
      <c r="AE7" s="90">
        <v>2</v>
      </c>
      <c r="AF7" s="90">
        <v>0</v>
      </c>
      <c r="AG7" s="51">
        <v>0</v>
      </c>
      <c r="AH7" s="51"/>
      <c r="AI7" s="45" t="s">
        <v>348</v>
      </c>
    </row>
    <row r="8" spans="1:35" ht="14.25" customHeight="1" x14ac:dyDescent="0.2">
      <c r="B8" s="43"/>
      <c r="C8" s="53" t="s">
        <v>660</v>
      </c>
      <c r="D8" s="43">
        <v>51</v>
      </c>
      <c r="E8" s="43" t="s">
        <v>216</v>
      </c>
      <c r="F8" s="43">
        <v>121.35</v>
      </c>
      <c r="G8" s="43">
        <v>125</v>
      </c>
      <c r="H8" s="44">
        <v>0.54949999999999999</v>
      </c>
      <c r="I8" s="43"/>
      <c r="J8" s="43"/>
      <c r="K8" s="43"/>
      <c r="L8" s="43"/>
      <c r="M8" s="43"/>
      <c r="N8" s="43"/>
      <c r="O8" s="43">
        <v>0</v>
      </c>
      <c r="P8" s="43" t="s">
        <v>684</v>
      </c>
      <c r="Q8" s="43">
        <v>-175</v>
      </c>
      <c r="R8" s="43">
        <v>-190</v>
      </c>
      <c r="S8" s="43">
        <v>190</v>
      </c>
      <c r="T8" s="43"/>
      <c r="U8" s="43">
        <v>0</v>
      </c>
      <c r="V8" s="43">
        <v>0</v>
      </c>
      <c r="Z8" s="43"/>
      <c r="AA8" s="43">
        <v>0</v>
      </c>
      <c r="AB8" s="49">
        <v>0</v>
      </c>
      <c r="AC8" s="51">
        <v>0</v>
      </c>
      <c r="AD8" s="51">
        <v>0</v>
      </c>
      <c r="AE8" s="90">
        <v>2</v>
      </c>
      <c r="AF8" s="90">
        <v>0</v>
      </c>
      <c r="AG8" s="51">
        <v>0</v>
      </c>
      <c r="AH8" s="51"/>
      <c r="AI8" s="45" t="s">
        <v>348</v>
      </c>
    </row>
    <row r="9" spans="1:35" ht="14.25" customHeight="1" x14ac:dyDescent="0.2">
      <c r="B9" s="43"/>
      <c r="C9" s="53" t="s">
        <v>676</v>
      </c>
      <c r="D9" s="43">
        <v>48</v>
      </c>
      <c r="E9" s="43" t="s">
        <v>210</v>
      </c>
      <c r="F9" s="43">
        <v>127.05</v>
      </c>
      <c r="G9" s="43">
        <v>140</v>
      </c>
      <c r="H9" s="44">
        <v>0.54325000000000001</v>
      </c>
      <c r="I9" s="43"/>
      <c r="J9" s="43"/>
      <c r="K9" s="43"/>
      <c r="L9" s="43"/>
      <c r="M9" s="43"/>
      <c r="N9" s="43"/>
      <c r="O9" s="43">
        <v>0</v>
      </c>
      <c r="P9" s="43">
        <v>16</v>
      </c>
      <c r="Q9" s="43">
        <v>210</v>
      </c>
      <c r="R9" s="43">
        <v>220</v>
      </c>
      <c r="S9" s="43">
        <v>227.5</v>
      </c>
      <c r="T9" s="43"/>
      <c r="U9" s="43">
        <v>220</v>
      </c>
      <c r="V9" s="43">
        <v>0</v>
      </c>
      <c r="Z9" s="43"/>
      <c r="AA9" s="43">
        <v>0</v>
      </c>
      <c r="AB9" s="49">
        <v>0</v>
      </c>
      <c r="AC9" s="51">
        <v>0</v>
      </c>
      <c r="AD9" s="51">
        <v>0</v>
      </c>
      <c r="AE9" s="90">
        <v>2</v>
      </c>
      <c r="AF9" s="90">
        <v>0</v>
      </c>
      <c r="AG9" s="51">
        <v>0</v>
      </c>
      <c r="AH9" s="51"/>
      <c r="AI9" s="45" t="s">
        <v>348</v>
      </c>
    </row>
    <row r="10" spans="1:35" ht="14.25" customHeight="1" x14ac:dyDescent="0.2">
      <c r="B10" s="43"/>
      <c r="C10" s="53" t="s">
        <v>677</v>
      </c>
      <c r="D10" s="43">
        <v>48</v>
      </c>
      <c r="E10" s="43" t="s">
        <v>168</v>
      </c>
      <c r="F10" s="43">
        <v>127.05</v>
      </c>
      <c r="G10" s="43">
        <v>140</v>
      </c>
      <c r="H10" s="44">
        <v>0.54325000000000001</v>
      </c>
      <c r="I10" s="43"/>
      <c r="J10" s="43"/>
      <c r="K10" s="43"/>
      <c r="L10" s="43"/>
      <c r="M10" s="43"/>
      <c r="N10" s="43"/>
      <c r="O10" s="43">
        <v>0</v>
      </c>
      <c r="P10" s="43">
        <v>16</v>
      </c>
      <c r="Q10" s="43">
        <v>210</v>
      </c>
      <c r="R10" s="43">
        <v>220</v>
      </c>
      <c r="S10" s="43">
        <v>227.5</v>
      </c>
      <c r="T10" s="43"/>
      <c r="U10" s="43">
        <v>220</v>
      </c>
      <c r="V10" s="43">
        <v>0</v>
      </c>
      <c r="Z10" s="43"/>
      <c r="AA10" s="43">
        <v>0</v>
      </c>
      <c r="AB10" s="49">
        <v>0</v>
      </c>
      <c r="AC10" s="51">
        <v>0</v>
      </c>
      <c r="AD10" s="51">
        <v>0</v>
      </c>
      <c r="AE10" s="90">
        <v>1</v>
      </c>
      <c r="AF10" s="90">
        <v>0</v>
      </c>
      <c r="AG10" s="51">
        <v>0</v>
      </c>
      <c r="AH10" s="51"/>
      <c r="AI10" s="45" t="s">
        <v>348</v>
      </c>
    </row>
    <row r="11" spans="1:35" ht="14.25" customHeight="1" x14ac:dyDescent="0.2">
      <c r="B11" s="43"/>
      <c r="C11" s="53" t="s">
        <v>661</v>
      </c>
      <c r="D11" s="43">
        <v>43</v>
      </c>
      <c r="E11" s="43" t="s">
        <v>205</v>
      </c>
      <c r="F11" s="43">
        <v>137</v>
      </c>
      <c r="G11" s="43">
        <v>140</v>
      </c>
      <c r="H11" s="44">
        <v>0.53370000000000006</v>
      </c>
      <c r="I11" s="43"/>
      <c r="J11" s="43"/>
      <c r="K11" s="43"/>
      <c r="L11" s="43"/>
      <c r="M11" s="43"/>
      <c r="N11" s="43"/>
      <c r="O11" s="43">
        <v>0</v>
      </c>
      <c r="P11" s="43">
        <v>15</v>
      </c>
      <c r="Q11" s="43">
        <v>212.5</v>
      </c>
      <c r="R11" s="43">
        <v>217.5</v>
      </c>
      <c r="S11" s="43">
        <v>227.5</v>
      </c>
      <c r="T11" s="43"/>
      <c r="U11" s="43">
        <v>217.5</v>
      </c>
      <c r="V11" s="43">
        <v>0</v>
      </c>
      <c r="W11" s="43">
        <v>247.5</v>
      </c>
      <c r="Z11" s="43"/>
      <c r="AA11" s="43">
        <v>0</v>
      </c>
      <c r="AB11" s="49">
        <v>0</v>
      </c>
      <c r="AC11" s="51">
        <v>0</v>
      </c>
      <c r="AD11" s="51">
        <v>0</v>
      </c>
      <c r="AE11" s="90">
        <v>2</v>
      </c>
      <c r="AF11" s="90">
        <v>0</v>
      </c>
      <c r="AG11" s="51">
        <v>0</v>
      </c>
      <c r="AH11" s="51"/>
      <c r="AI11" s="45" t="s">
        <v>348</v>
      </c>
    </row>
    <row r="12" spans="1:35" ht="14.25" customHeight="1" x14ac:dyDescent="0.2">
      <c r="B12" s="43"/>
      <c r="C12" s="53" t="s">
        <v>668</v>
      </c>
      <c r="D12" s="43">
        <v>46</v>
      </c>
      <c r="E12" s="43" t="s">
        <v>210</v>
      </c>
      <c r="F12" s="43">
        <v>151.6</v>
      </c>
      <c r="G12" s="43" t="s">
        <v>81</v>
      </c>
      <c r="H12" s="44">
        <v>0.52190000000000003</v>
      </c>
      <c r="I12" s="43"/>
      <c r="J12" s="43"/>
      <c r="K12" s="43"/>
      <c r="L12" s="43"/>
      <c r="M12" s="43"/>
      <c r="N12" s="43"/>
      <c r="O12" s="43">
        <v>0</v>
      </c>
      <c r="P12" s="43">
        <v>16</v>
      </c>
      <c r="Q12" s="43">
        <v>240</v>
      </c>
      <c r="R12" s="43">
        <v>-252.5</v>
      </c>
      <c r="S12" s="43"/>
      <c r="T12" s="43"/>
      <c r="U12" s="43">
        <v>240</v>
      </c>
      <c r="V12" s="43">
        <v>0</v>
      </c>
      <c r="Z12" s="43"/>
      <c r="AA12" s="43">
        <v>0</v>
      </c>
      <c r="AB12" s="49">
        <v>0</v>
      </c>
      <c r="AC12" s="51">
        <v>0</v>
      </c>
      <c r="AD12" s="51">
        <v>0</v>
      </c>
      <c r="AE12" s="90">
        <v>2</v>
      </c>
      <c r="AF12" s="90">
        <v>0</v>
      </c>
      <c r="AG12" s="51">
        <v>0</v>
      </c>
      <c r="AH12" s="51"/>
      <c r="AI12" s="45" t="s">
        <v>348</v>
      </c>
    </row>
    <row r="13" spans="1:35" ht="14.25" customHeight="1" x14ac:dyDescent="0.2">
      <c r="B13" s="43"/>
      <c r="C13" s="53" t="s">
        <v>669</v>
      </c>
      <c r="D13" s="43">
        <v>46</v>
      </c>
      <c r="E13" s="43" t="s">
        <v>168</v>
      </c>
      <c r="F13" s="43">
        <v>151.6</v>
      </c>
      <c r="G13" s="43" t="s">
        <v>81</v>
      </c>
      <c r="H13" s="44">
        <v>0.52190000000000003</v>
      </c>
      <c r="I13" s="43"/>
      <c r="J13" s="43"/>
      <c r="K13" s="43"/>
      <c r="L13" s="43"/>
      <c r="M13" s="43"/>
      <c r="N13" s="43"/>
      <c r="O13" s="43">
        <v>0</v>
      </c>
      <c r="P13" s="43">
        <v>16</v>
      </c>
      <c r="Q13" s="43">
        <v>240</v>
      </c>
      <c r="R13" s="43">
        <v>-252.5</v>
      </c>
      <c r="S13" s="43"/>
      <c r="T13" s="43"/>
      <c r="U13" s="43">
        <v>240</v>
      </c>
      <c r="V13" s="43">
        <v>0</v>
      </c>
      <c r="Z13" s="43"/>
      <c r="AA13" s="43">
        <v>0</v>
      </c>
      <c r="AB13" s="49">
        <v>0</v>
      </c>
      <c r="AC13" s="51">
        <v>0</v>
      </c>
      <c r="AD13" s="51">
        <v>0</v>
      </c>
      <c r="AE13" s="90">
        <v>1</v>
      </c>
      <c r="AF13" s="90">
        <v>0</v>
      </c>
      <c r="AG13" s="51">
        <v>0</v>
      </c>
      <c r="AH13" s="51"/>
      <c r="AI13" s="45" t="s">
        <v>348</v>
      </c>
    </row>
    <row r="14" spans="1:35" ht="14.25" customHeight="1" x14ac:dyDescent="0.2">
      <c r="B14" s="43"/>
      <c r="C14" s="53" t="s">
        <v>654</v>
      </c>
      <c r="D14" s="43">
        <v>60</v>
      </c>
      <c r="E14" s="43" t="s">
        <v>319</v>
      </c>
      <c r="F14" s="43">
        <v>69.25</v>
      </c>
      <c r="G14" s="43">
        <v>75</v>
      </c>
      <c r="H14" s="44">
        <v>0.88265000000000005</v>
      </c>
      <c r="I14" s="43"/>
      <c r="J14" s="43"/>
      <c r="K14" s="43"/>
      <c r="L14" s="43"/>
      <c r="M14" s="43"/>
      <c r="N14" s="43"/>
      <c r="O14" s="43">
        <v>0</v>
      </c>
      <c r="P14" s="43">
        <v>11</v>
      </c>
      <c r="Q14" s="43">
        <v>45</v>
      </c>
      <c r="R14" s="43">
        <v>-47.5</v>
      </c>
      <c r="S14" s="43">
        <v>-47.5</v>
      </c>
      <c r="T14" s="43"/>
      <c r="U14" s="43">
        <v>45</v>
      </c>
      <c r="V14" s="43">
        <v>0</v>
      </c>
      <c r="W14" s="43">
        <v>92.5</v>
      </c>
      <c r="Z14" s="43"/>
      <c r="AA14" s="43">
        <v>0</v>
      </c>
      <c r="AB14" s="49">
        <v>0</v>
      </c>
      <c r="AC14" s="51">
        <v>0</v>
      </c>
      <c r="AD14" s="51">
        <v>0</v>
      </c>
      <c r="AE14" s="90">
        <v>2</v>
      </c>
      <c r="AF14" s="90">
        <v>0</v>
      </c>
      <c r="AG14" s="51">
        <v>0</v>
      </c>
      <c r="AH14" s="51"/>
      <c r="AI14" s="45" t="s">
        <v>667</v>
      </c>
    </row>
    <row r="15" spans="1:35" ht="14.25" customHeight="1" x14ac:dyDescent="0.2">
      <c r="B15" s="43"/>
      <c r="C15" s="53" t="s">
        <v>657</v>
      </c>
      <c r="D15" s="43">
        <v>35</v>
      </c>
      <c r="E15" s="43" t="s">
        <v>288</v>
      </c>
      <c r="F15" s="43">
        <v>66.05</v>
      </c>
      <c r="G15" s="43">
        <v>67.5</v>
      </c>
      <c r="H15" s="44">
        <v>0.91449999999999998</v>
      </c>
      <c r="I15" s="43"/>
      <c r="J15" s="43"/>
      <c r="K15" s="43"/>
      <c r="L15" s="43"/>
      <c r="M15" s="43"/>
      <c r="N15" s="43"/>
      <c r="O15" s="43">
        <v>0</v>
      </c>
      <c r="P15" s="43">
        <v>12</v>
      </c>
      <c r="Q15" s="43">
        <v>47.5</v>
      </c>
      <c r="R15" s="43">
        <v>50</v>
      </c>
      <c r="S15" s="43">
        <v>52.5</v>
      </c>
      <c r="T15" s="43"/>
      <c r="U15" s="43">
        <v>52.5</v>
      </c>
      <c r="V15" s="43">
        <v>0</v>
      </c>
      <c r="W15" s="43">
        <v>112.5</v>
      </c>
      <c r="Z15" s="43"/>
      <c r="AA15" s="43">
        <v>0</v>
      </c>
      <c r="AB15" s="49">
        <v>0</v>
      </c>
      <c r="AC15" s="51">
        <v>0</v>
      </c>
      <c r="AD15" s="51">
        <v>0</v>
      </c>
      <c r="AE15" s="90">
        <v>2</v>
      </c>
      <c r="AF15" s="90">
        <v>0</v>
      </c>
      <c r="AG15" s="51">
        <v>0</v>
      </c>
      <c r="AH15" s="51"/>
      <c r="AI15" s="45" t="s">
        <v>667</v>
      </c>
    </row>
    <row r="16" spans="1:35" ht="14.25" customHeight="1" x14ac:dyDescent="0.2">
      <c r="B16" s="43"/>
      <c r="C16" s="53" t="s">
        <v>651</v>
      </c>
      <c r="D16" s="43">
        <v>20</v>
      </c>
      <c r="E16" s="43" t="s">
        <v>283</v>
      </c>
      <c r="F16" s="43">
        <v>54.95</v>
      </c>
      <c r="G16" s="43" t="s">
        <v>678</v>
      </c>
      <c r="H16" s="44">
        <v>1.0590999999999999</v>
      </c>
      <c r="I16" s="43"/>
      <c r="J16" s="43"/>
      <c r="K16" s="43"/>
      <c r="L16" s="43"/>
      <c r="M16" s="43"/>
      <c r="N16" s="43"/>
      <c r="O16" s="43">
        <v>0</v>
      </c>
      <c r="P16" s="43">
        <v>11</v>
      </c>
      <c r="Q16" s="43">
        <v>52.5</v>
      </c>
      <c r="R16" s="43">
        <v>55</v>
      </c>
      <c r="S16" s="43">
        <v>-57.5</v>
      </c>
      <c r="T16" s="43"/>
      <c r="U16" s="43">
        <v>55</v>
      </c>
      <c r="V16" s="43">
        <v>0</v>
      </c>
      <c r="W16" s="43">
        <v>115</v>
      </c>
      <c r="Z16" s="43"/>
      <c r="AA16" s="43">
        <v>0</v>
      </c>
      <c r="AB16" s="49">
        <v>0</v>
      </c>
      <c r="AC16" s="51">
        <v>0</v>
      </c>
      <c r="AD16" s="51">
        <v>0</v>
      </c>
      <c r="AE16" s="90">
        <v>2</v>
      </c>
      <c r="AF16" s="90">
        <v>0</v>
      </c>
      <c r="AG16" s="51">
        <v>0</v>
      </c>
      <c r="AH16" s="51"/>
      <c r="AI16" s="45" t="s">
        <v>667</v>
      </c>
    </row>
    <row r="17" spans="2:35" ht="14.25" customHeight="1" x14ac:dyDescent="0.2">
      <c r="B17" s="43"/>
      <c r="C17" s="53" t="s">
        <v>670</v>
      </c>
      <c r="D17" s="43">
        <v>14</v>
      </c>
      <c r="E17" s="43" t="s">
        <v>264</v>
      </c>
      <c r="F17" s="43">
        <v>51.6</v>
      </c>
      <c r="G17" s="43">
        <v>52</v>
      </c>
      <c r="H17" s="44">
        <v>1.1144000000000001</v>
      </c>
      <c r="I17" s="43"/>
      <c r="J17" s="43"/>
      <c r="K17" s="43"/>
      <c r="L17" s="43"/>
      <c r="M17" s="43"/>
      <c r="N17" s="43"/>
      <c r="O17" s="43">
        <v>0</v>
      </c>
      <c r="P17" s="43">
        <v>12</v>
      </c>
      <c r="Q17" s="43">
        <v>-52.5</v>
      </c>
      <c r="R17" s="43">
        <v>-55</v>
      </c>
      <c r="S17" s="43">
        <v>-57.5</v>
      </c>
      <c r="T17" s="43"/>
      <c r="U17" s="43">
        <v>0</v>
      </c>
      <c r="V17" s="43">
        <v>0</v>
      </c>
      <c r="W17" s="43">
        <v>70</v>
      </c>
      <c r="Z17" s="43"/>
      <c r="AA17" s="43">
        <v>0</v>
      </c>
      <c r="AB17" s="49">
        <v>0</v>
      </c>
      <c r="AC17" s="51">
        <v>0</v>
      </c>
      <c r="AD17" s="51">
        <v>0</v>
      </c>
      <c r="AE17" s="90">
        <v>2</v>
      </c>
      <c r="AF17" s="90">
        <v>0</v>
      </c>
      <c r="AG17" s="51">
        <v>0</v>
      </c>
      <c r="AH17" s="51"/>
      <c r="AI17" s="45" t="s">
        <v>667</v>
      </c>
    </row>
    <row r="18" spans="2:35" ht="14.25" customHeight="1" x14ac:dyDescent="0.2">
      <c r="B18" s="43"/>
      <c r="C18" s="53" t="s">
        <v>671</v>
      </c>
      <c r="D18" s="43">
        <v>14</v>
      </c>
      <c r="E18" s="43" t="s">
        <v>264</v>
      </c>
      <c r="F18" s="43">
        <v>51.6</v>
      </c>
      <c r="G18" s="43">
        <v>52</v>
      </c>
      <c r="H18" s="44">
        <v>1.1144000000000001</v>
      </c>
      <c r="I18" s="43"/>
      <c r="J18" s="43"/>
      <c r="K18" s="43"/>
      <c r="L18" s="43"/>
      <c r="M18" s="43"/>
      <c r="N18" s="43"/>
      <c r="O18" s="43">
        <v>0</v>
      </c>
      <c r="P18" s="43">
        <v>12</v>
      </c>
      <c r="Q18" s="43">
        <v>-52.5</v>
      </c>
      <c r="R18" s="43">
        <v>-55</v>
      </c>
      <c r="S18" s="43">
        <v>-57.5</v>
      </c>
      <c r="T18" s="43"/>
      <c r="U18" s="43">
        <v>0</v>
      </c>
      <c r="V18" s="43">
        <v>0</v>
      </c>
      <c r="W18" s="43">
        <v>70</v>
      </c>
      <c r="Z18" s="43"/>
      <c r="AA18" s="43">
        <v>0</v>
      </c>
      <c r="AB18" s="49">
        <v>0</v>
      </c>
      <c r="AC18" s="51">
        <v>0</v>
      </c>
      <c r="AD18" s="51">
        <v>0</v>
      </c>
      <c r="AE18" s="90">
        <v>2</v>
      </c>
      <c r="AF18" s="90">
        <v>0</v>
      </c>
      <c r="AG18" s="51">
        <v>0</v>
      </c>
      <c r="AH18" s="51"/>
      <c r="AI18" s="45" t="s">
        <v>667</v>
      </c>
    </row>
    <row r="19" spans="2:35" ht="14.25" customHeight="1" x14ac:dyDescent="0.2">
      <c r="B19" s="43"/>
      <c r="C19" s="53" t="s">
        <v>680</v>
      </c>
      <c r="D19" s="43">
        <v>30</v>
      </c>
      <c r="E19" s="43" t="s">
        <v>259</v>
      </c>
      <c r="F19" s="43">
        <v>67.05</v>
      </c>
      <c r="G19" s="43">
        <v>67.5</v>
      </c>
      <c r="H19" s="44">
        <v>0.90385000000000004</v>
      </c>
      <c r="I19" s="43"/>
      <c r="J19" s="43"/>
      <c r="K19" s="43"/>
      <c r="L19" s="43"/>
      <c r="M19" s="43"/>
      <c r="N19" s="43"/>
      <c r="O19" s="43">
        <v>0</v>
      </c>
      <c r="P19" s="43">
        <v>12</v>
      </c>
      <c r="Q19" s="43">
        <v>50</v>
      </c>
      <c r="R19" s="43">
        <v>55</v>
      </c>
      <c r="S19" s="43">
        <v>-60</v>
      </c>
      <c r="T19" s="43"/>
      <c r="U19" s="43">
        <v>55</v>
      </c>
      <c r="V19" s="43">
        <v>0</v>
      </c>
      <c r="W19" s="43">
        <v>125</v>
      </c>
      <c r="Z19" s="43"/>
      <c r="AA19" s="43">
        <v>0</v>
      </c>
      <c r="AB19" s="49">
        <v>0</v>
      </c>
      <c r="AC19" s="51">
        <v>0</v>
      </c>
      <c r="AD19" s="51">
        <v>0</v>
      </c>
      <c r="AE19" s="90">
        <v>1</v>
      </c>
      <c r="AF19" s="90">
        <v>0</v>
      </c>
      <c r="AG19" s="51">
        <v>0</v>
      </c>
      <c r="AH19" s="51"/>
      <c r="AI19" s="45" t="s">
        <v>667</v>
      </c>
    </row>
    <row r="20" spans="2:35" ht="14.25" customHeight="1" x14ac:dyDescent="0.2">
      <c r="B20" s="43"/>
      <c r="C20" s="53" t="s">
        <v>662</v>
      </c>
      <c r="D20" s="43">
        <v>41</v>
      </c>
      <c r="E20" s="43" t="s">
        <v>295</v>
      </c>
      <c r="F20" s="43">
        <v>66.099999999999994</v>
      </c>
      <c r="G20" s="43">
        <v>67.5</v>
      </c>
      <c r="H20" s="44">
        <v>0.91449999999999998</v>
      </c>
      <c r="I20" s="43"/>
      <c r="J20" s="43"/>
      <c r="K20" s="43"/>
      <c r="L20" s="43"/>
      <c r="M20" s="43"/>
      <c r="N20" s="43"/>
      <c r="O20" s="43">
        <v>0</v>
      </c>
      <c r="P20" s="43">
        <v>11</v>
      </c>
      <c r="Q20" s="43">
        <v>75</v>
      </c>
      <c r="R20" s="43">
        <v>80</v>
      </c>
      <c r="S20" s="43">
        <v>82.5</v>
      </c>
      <c r="T20" s="43"/>
      <c r="U20" s="43">
        <v>82.5</v>
      </c>
      <c r="V20" s="43">
        <v>0</v>
      </c>
      <c r="Z20" s="43"/>
      <c r="AA20" s="43">
        <v>0</v>
      </c>
      <c r="AB20" s="49">
        <v>0</v>
      </c>
      <c r="AC20" s="51">
        <v>0</v>
      </c>
      <c r="AD20" s="51">
        <v>0</v>
      </c>
      <c r="AE20" s="90">
        <v>2</v>
      </c>
      <c r="AF20" s="90">
        <v>0</v>
      </c>
      <c r="AG20" s="51">
        <v>0</v>
      </c>
      <c r="AH20" s="51"/>
      <c r="AI20" s="45" t="s">
        <v>348</v>
      </c>
    </row>
    <row r="21" spans="2:35" ht="14.25" customHeight="1" x14ac:dyDescent="0.2">
      <c r="B21" s="43"/>
      <c r="C21" s="53" t="s">
        <v>652</v>
      </c>
      <c r="D21" s="43">
        <v>37</v>
      </c>
      <c r="E21" s="43" t="s">
        <v>288</v>
      </c>
      <c r="F21" s="43">
        <v>109.45</v>
      </c>
      <c r="G21" s="43">
        <v>110</v>
      </c>
      <c r="H21" s="44">
        <v>0.69240000000000002</v>
      </c>
      <c r="I21" s="43"/>
      <c r="J21" s="43"/>
      <c r="K21" s="43"/>
      <c r="L21" s="43"/>
      <c r="M21" s="43"/>
      <c r="N21" s="43"/>
      <c r="O21" s="43">
        <v>0</v>
      </c>
      <c r="P21" s="43">
        <v>16</v>
      </c>
      <c r="Q21" s="43">
        <v>80</v>
      </c>
      <c r="R21" s="43">
        <v>-85</v>
      </c>
      <c r="S21" s="43">
        <v>-87.5</v>
      </c>
      <c r="T21" s="43"/>
      <c r="U21" s="43">
        <v>80</v>
      </c>
      <c r="V21" s="43">
        <v>0</v>
      </c>
      <c r="W21" s="43">
        <v>140</v>
      </c>
      <c r="Z21" s="43"/>
      <c r="AA21" s="43">
        <v>0</v>
      </c>
      <c r="AB21" s="49">
        <v>0</v>
      </c>
      <c r="AC21" s="51">
        <v>0</v>
      </c>
      <c r="AD21" s="51">
        <v>0</v>
      </c>
      <c r="AE21" s="90">
        <v>2</v>
      </c>
      <c r="AF21" s="90">
        <v>0</v>
      </c>
      <c r="AG21" s="51">
        <v>0</v>
      </c>
      <c r="AH21" s="51"/>
      <c r="AI21" s="45" t="s">
        <v>667</v>
      </c>
    </row>
    <row r="22" spans="2:35" ht="14.25" customHeight="1" x14ac:dyDescent="0.2">
      <c r="B22" s="43"/>
      <c r="C22" s="53" t="s">
        <v>655</v>
      </c>
      <c r="D22" s="43">
        <v>18</v>
      </c>
      <c r="E22" s="43" t="s">
        <v>186</v>
      </c>
      <c r="F22" s="43">
        <v>64.95</v>
      </c>
      <c r="G22" s="43">
        <v>67.5</v>
      </c>
      <c r="H22" s="44">
        <v>0.77329999999999999</v>
      </c>
      <c r="I22" s="43"/>
      <c r="J22" s="43"/>
      <c r="K22" s="43"/>
      <c r="L22" s="43"/>
      <c r="M22" s="43"/>
      <c r="N22" s="43"/>
      <c r="O22" s="43">
        <v>0</v>
      </c>
      <c r="P22" s="43">
        <v>9</v>
      </c>
      <c r="Q22" s="43">
        <v>110</v>
      </c>
      <c r="R22" s="43">
        <v>115</v>
      </c>
      <c r="S22" s="43">
        <v>117.5</v>
      </c>
      <c r="T22" s="43"/>
      <c r="U22" s="43">
        <v>117.5</v>
      </c>
      <c r="V22" s="43">
        <v>0</v>
      </c>
      <c r="W22" s="43">
        <v>250</v>
      </c>
      <c r="Z22" s="43"/>
      <c r="AA22" s="43">
        <v>0</v>
      </c>
      <c r="AB22" s="49">
        <v>0</v>
      </c>
      <c r="AC22" s="51">
        <v>0</v>
      </c>
      <c r="AD22" s="51">
        <v>0</v>
      </c>
      <c r="AE22" s="90">
        <v>2</v>
      </c>
      <c r="AF22" s="90">
        <v>0</v>
      </c>
      <c r="AG22" s="51">
        <v>0</v>
      </c>
      <c r="AH22" s="51"/>
      <c r="AI22" s="45" t="s">
        <v>667</v>
      </c>
    </row>
    <row r="23" spans="2:35" ht="14.25" customHeight="1" x14ac:dyDescent="0.2">
      <c r="B23" s="43"/>
      <c r="C23" s="53" t="s">
        <v>653</v>
      </c>
      <c r="D23" s="43">
        <v>19</v>
      </c>
      <c r="E23" s="43" t="s">
        <v>168</v>
      </c>
      <c r="F23" s="43">
        <v>80.3</v>
      </c>
      <c r="G23" s="43">
        <v>82.5</v>
      </c>
      <c r="H23" s="44">
        <v>0.65615000000000001</v>
      </c>
      <c r="I23" s="43"/>
      <c r="J23" s="43"/>
      <c r="K23" s="43"/>
      <c r="L23" s="43"/>
      <c r="M23" s="43"/>
      <c r="N23" s="43"/>
      <c r="O23" s="43">
        <v>0</v>
      </c>
      <c r="P23" s="43">
        <v>15</v>
      </c>
      <c r="Q23" s="43">
        <v>115</v>
      </c>
      <c r="R23" s="43">
        <v>120</v>
      </c>
      <c r="S23" s="43">
        <v>-127.5</v>
      </c>
      <c r="T23" s="43"/>
      <c r="U23" s="43">
        <v>120</v>
      </c>
      <c r="V23" s="43">
        <v>0</v>
      </c>
      <c r="W23" s="43">
        <v>215</v>
      </c>
      <c r="Z23" s="43"/>
      <c r="AA23" s="43">
        <v>0</v>
      </c>
      <c r="AB23" s="49">
        <v>0</v>
      </c>
      <c r="AC23" s="51">
        <v>0</v>
      </c>
      <c r="AD23" s="51">
        <v>0</v>
      </c>
      <c r="AE23" s="90">
        <v>1</v>
      </c>
      <c r="AF23" s="90">
        <v>0</v>
      </c>
      <c r="AG23" s="51">
        <v>0</v>
      </c>
      <c r="AH23" s="51"/>
      <c r="AI23" s="45" t="s">
        <v>667</v>
      </c>
    </row>
    <row r="24" spans="2:35" ht="14.25" customHeight="1" x14ac:dyDescent="0.2">
      <c r="B24" s="43"/>
      <c r="C24" s="53" t="s">
        <v>659</v>
      </c>
      <c r="D24" s="43">
        <v>17</v>
      </c>
      <c r="E24" s="43" t="s">
        <v>180</v>
      </c>
      <c r="F24" s="43">
        <v>98.95</v>
      </c>
      <c r="G24" s="43">
        <v>100</v>
      </c>
      <c r="H24" s="44">
        <v>0.58379999999999999</v>
      </c>
      <c r="I24" s="43"/>
      <c r="J24" s="43"/>
      <c r="K24" s="43"/>
      <c r="L24" s="43"/>
      <c r="M24" s="43"/>
      <c r="N24" s="43"/>
      <c r="O24" s="43">
        <v>0</v>
      </c>
      <c r="P24" s="43">
        <v>15</v>
      </c>
      <c r="Q24" s="43">
        <v>125</v>
      </c>
      <c r="R24" s="43">
        <v>137.5</v>
      </c>
      <c r="S24" s="43">
        <v>140</v>
      </c>
      <c r="T24" s="43"/>
      <c r="U24" s="43">
        <v>140</v>
      </c>
      <c r="V24" s="43">
        <v>0</v>
      </c>
      <c r="Z24" s="43"/>
      <c r="AA24" s="43">
        <v>0</v>
      </c>
      <c r="AB24" s="49">
        <v>0</v>
      </c>
      <c r="AC24" s="51">
        <v>0</v>
      </c>
      <c r="AD24" s="51">
        <v>0</v>
      </c>
      <c r="AE24" s="90">
        <v>2</v>
      </c>
      <c r="AF24" s="90">
        <v>0</v>
      </c>
      <c r="AG24" s="51">
        <v>0</v>
      </c>
      <c r="AH24" s="51"/>
      <c r="AI24" s="45" t="s">
        <v>348</v>
      </c>
    </row>
    <row r="25" spans="2:35" ht="14.25" customHeight="1" x14ac:dyDescent="0.2">
      <c r="B25" s="43"/>
      <c r="C25" s="53" t="s">
        <v>656</v>
      </c>
      <c r="D25" s="43">
        <v>28</v>
      </c>
      <c r="E25" s="43" t="s">
        <v>169</v>
      </c>
      <c r="F25" s="43">
        <v>148.35</v>
      </c>
      <c r="G25" s="43" t="s">
        <v>81</v>
      </c>
      <c r="H25" s="44">
        <v>0.52429999999999999</v>
      </c>
      <c r="I25" s="43"/>
      <c r="J25" s="43"/>
      <c r="K25" s="43"/>
      <c r="L25" s="43"/>
      <c r="M25" s="43"/>
      <c r="N25" s="43"/>
      <c r="O25" s="43">
        <v>0</v>
      </c>
      <c r="P25" s="43">
        <v>19</v>
      </c>
      <c r="Q25" s="43">
        <v>157.5</v>
      </c>
      <c r="R25" s="43">
        <v>170</v>
      </c>
      <c r="S25" s="43">
        <v>-182.5</v>
      </c>
      <c r="T25" s="43"/>
      <c r="U25" s="43">
        <v>170</v>
      </c>
      <c r="V25" s="43">
        <v>0</v>
      </c>
      <c r="W25" s="43">
        <v>207.5</v>
      </c>
      <c r="Z25" s="43"/>
      <c r="AA25" s="43">
        <v>0</v>
      </c>
      <c r="AB25" s="49">
        <v>0</v>
      </c>
      <c r="AC25" s="51">
        <v>0</v>
      </c>
      <c r="AD25" s="51">
        <v>0</v>
      </c>
      <c r="AE25" s="90">
        <v>1</v>
      </c>
      <c r="AF25" s="90">
        <v>0</v>
      </c>
      <c r="AG25" s="51">
        <v>0</v>
      </c>
      <c r="AH25" s="51"/>
      <c r="AI25" s="45" t="s">
        <v>667</v>
      </c>
    </row>
    <row r="26" spans="2:35" ht="14.25" customHeight="1" x14ac:dyDescent="0.2">
      <c r="B26" s="43"/>
      <c r="C26" s="53" t="s">
        <v>666</v>
      </c>
      <c r="D26" s="43">
        <v>41</v>
      </c>
      <c r="E26" s="43" t="s">
        <v>204</v>
      </c>
      <c r="F26" s="43">
        <v>102.5</v>
      </c>
      <c r="G26" s="43">
        <v>110</v>
      </c>
      <c r="H26" s="44">
        <v>0.57565</v>
      </c>
      <c r="I26" s="43"/>
      <c r="J26" s="43"/>
      <c r="K26" s="43"/>
      <c r="L26" s="43"/>
      <c r="M26" s="43"/>
      <c r="N26" s="43"/>
      <c r="O26" s="43">
        <v>0</v>
      </c>
      <c r="P26" s="43"/>
      <c r="Q26" s="43"/>
      <c r="R26" s="43"/>
      <c r="S26" s="43"/>
      <c r="T26" s="43"/>
      <c r="U26" s="43">
        <v>0</v>
      </c>
      <c r="V26" s="43">
        <v>0</v>
      </c>
      <c r="W26" s="43">
        <v>255</v>
      </c>
      <c r="Z26" s="43"/>
      <c r="AA26" s="43">
        <v>0</v>
      </c>
      <c r="AB26" s="49">
        <v>0</v>
      </c>
      <c r="AC26" s="51">
        <v>0</v>
      </c>
      <c r="AD26" s="51">
        <v>0</v>
      </c>
      <c r="AE26" s="90">
        <v>2</v>
      </c>
      <c r="AF26" s="90">
        <v>0</v>
      </c>
      <c r="AG26" s="51">
        <v>0</v>
      </c>
      <c r="AH26" s="51"/>
      <c r="AI26" s="45" t="s">
        <v>349</v>
      </c>
    </row>
    <row r="27" spans="2:35" ht="14.25" customHeight="1" x14ac:dyDescent="0.2">
      <c r="B27" s="43"/>
      <c r="C27" s="53" t="s">
        <v>665</v>
      </c>
      <c r="D27" s="43">
        <v>34</v>
      </c>
      <c r="E27" s="43" t="s">
        <v>169</v>
      </c>
      <c r="F27" s="43">
        <v>81.099999999999994</v>
      </c>
      <c r="G27" s="43">
        <v>82.5</v>
      </c>
      <c r="H27" s="44">
        <v>0.65185000000000004</v>
      </c>
      <c r="I27" s="43"/>
      <c r="J27" s="43"/>
      <c r="K27" s="43"/>
      <c r="L27" s="43"/>
      <c r="M27" s="43"/>
      <c r="N27" s="43"/>
      <c r="O27" s="43">
        <v>0</v>
      </c>
      <c r="P27" s="43"/>
      <c r="Q27" s="43"/>
      <c r="R27" s="43"/>
      <c r="S27" s="43"/>
      <c r="T27" s="43"/>
      <c r="U27" s="43">
        <v>0</v>
      </c>
      <c r="V27" s="43">
        <v>0</v>
      </c>
      <c r="W27" s="43">
        <v>160</v>
      </c>
      <c r="Z27" s="43"/>
      <c r="AA27" s="43">
        <v>0</v>
      </c>
      <c r="AB27" s="49">
        <v>0</v>
      </c>
      <c r="AC27" s="51">
        <v>0</v>
      </c>
      <c r="AD27" s="51">
        <v>0</v>
      </c>
      <c r="AE27" s="90">
        <v>1</v>
      </c>
      <c r="AF27" s="90">
        <v>0</v>
      </c>
      <c r="AG27" s="51">
        <v>0</v>
      </c>
      <c r="AH27" s="51"/>
      <c r="AI27" s="45" t="s">
        <v>349</v>
      </c>
    </row>
    <row r="28" spans="2:35" ht="14.25" customHeight="1" x14ac:dyDescent="0.2">
      <c r="B28" s="43"/>
      <c r="C28" s="5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Z28" s="43"/>
      <c r="AA28" s="43"/>
      <c r="AB28" s="49"/>
      <c r="AC28" s="51"/>
      <c r="AD28" s="51"/>
      <c r="AE28" s="90"/>
      <c r="AF28" s="90"/>
      <c r="AG28" s="51"/>
      <c r="AH28" s="51"/>
      <c r="AI28" s="45"/>
    </row>
    <row r="29" spans="2:35" ht="14.25" customHeight="1" x14ac:dyDescent="0.2">
      <c r="B29" s="43"/>
      <c r="C29" s="53"/>
      <c r="D29" s="43"/>
      <c r="E29" s="43"/>
      <c r="F29" s="43"/>
      <c r="G29" s="43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Z29" s="43"/>
      <c r="AA29" s="43"/>
      <c r="AB29" s="49"/>
      <c r="AC29" s="51"/>
      <c r="AD29" s="51"/>
      <c r="AE29" s="90"/>
      <c r="AF29" s="90"/>
      <c r="AG29" s="51"/>
      <c r="AH29" s="51"/>
      <c r="AI29" s="45"/>
    </row>
    <row r="30" spans="2:35" ht="14.25" customHeight="1" x14ac:dyDescent="0.2">
      <c r="B30" s="43"/>
      <c r="C30" s="53"/>
      <c r="D30" s="43"/>
      <c r="E30" s="43"/>
      <c r="F30" s="43"/>
      <c r="G30" s="43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Z30" s="43"/>
      <c r="AA30" s="43"/>
      <c r="AB30" s="49"/>
      <c r="AC30" s="51"/>
      <c r="AD30" s="51"/>
      <c r="AE30" s="90"/>
      <c r="AF30" s="90"/>
      <c r="AG30" s="51"/>
      <c r="AH30" s="51"/>
      <c r="AI30" s="45"/>
    </row>
    <row r="31" spans="2:35" ht="14.25" customHeight="1" x14ac:dyDescent="0.2">
      <c r="B31" s="43"/>
      <c r="C31" s="5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Z31" s="43"/>
      <c r="AA31" s="43"/>
      <c r="AB31" s="49"/>
      <c r="AC31" s="51"/>
      <c r="AD31" s="51"/>
      <c r="AE31" s="90"/>
      <c r="AF31" s="90"/>
      <c r="AG31" s="51"/>
      <c r="AH31" s="51"/>
      <c r="AI31" s="45"/>
    </row>
    <row r="32" spans="2:35" ht="14.25" customHeight="1" x14ac:dyDescent="0.2">
      <c r="B32" s="43"/>
      <c r="C32" s="53"/>
      <c r="D32" s="43"/>
      <c r="E32" s="43"/>
      <c r="F32" s="43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Z32" s="43"/>
      <c r="AA32" s="43"/>
      <c r="AB32" s="49"/>
      <c r="AC32" s="51"/>
      <c r="AD32" s="51"/>
      <c r="AE32" s="90"/>
      <c r="AF32" s="90"/>
      <c r="AG32" s="51"/>
      <c r="AH32" s="51"/>
      <c r="AI32" s="45"/>
    </row>
    <row r="33" spans="2:35" ht="14.25" customHeight="1" x14ac:dyDescent="0.2">
      <c r="B33" s="43"/>
      <c r="C33" s="53"/>
      <c r="D33" s="43"/>
      <c r="E33" s="43"/>
      <c r="F33" s="43"/>
      <c r="G33" s="43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Z33" s="43"/>
      <c r="AA33" s="43"/>
      <c r="AB33" s="49"/>
      <c r="AC33" s="51"/>
      <c r="AD33" s="51"/>
      <c r="AE33" s="90"/>
      <c r="AF33" s="90"/>
      <c r="AG33" s="51"/>
      <c r="AH33" s="51"/>
      <c r="AI33" s="45"/>
    </row>
    <row r="34" spans="2:35" ht="14.25" customHeight="1" x14ac:dyDescent="0.2">
      <c r="B34" s="43"/>
      <c r="C34" s="5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Z34" s="43"/>
      <c r="AA34" s="43"/>
      <c r="AB34" s="49"/>
      <c r="AC34" s="51"/>
      <c r="AD34" s="51"/>
      <c r="AE34" s="90"/>
      <c r="AF34" s="90"/>
      <c r="AG34" s="51"/>
      <c r="AH34" s="51"/>
      <c r="AI34" s="45"/>
    </row>
    <row r="35" spans="2:35" ht="14.25" customHeight="1" x14ac:dyDescent="0.2">
      <c r="B35" s="43"/>
      <c r="C35" s="53"/>
      <c r="D35" s="43"/>
      <c r="E35" s="43"/>
      <c r="F35" s="43"/>
      <c r="G35" s="43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Z35" s="43"/>
      <c r="AA35" s="43"/>
      <c r="AB35" s="49"/>
      <c r="AC35" s="51"/>
      <c r="AD35" s="51"/>
      <c r="AE35" s="90"/>
      <c r="AF35" s="90"/>
      <c r="AG35" s="51"/>
      <c r="AH35" s="51"/>
      <c r="AI35" s="45"/>
    </row>
    <row r="36" spans="2:35" ht="14.25" customHeight="1" x14ac:dyDescent="0.2">
      <c r="B36" s="43"/>
      <c r="C36" s="53"/>
      <c r="D36" s="43"/>
      <c r="E36" s="43"/>
      <c r="F36" s="43"/>
      <c r="G36" s="43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Z36" s="43"/>
      <c r="AA36" s="43"/>
      <c r="AB36" s="49"/>
      <c r="AC36" s="51"/>
      <c r="AD36" s="51"/>
      <c r="AE36" s="90"/>
      <c r="AF36" s="90"/>
      <c r="AG36" s="51"/>
      <c r="AH36" s="51"/>
      <c r="AI36" s="45"/>
    </row>
    <row r="37" spans="2:35" ht="14.25" customHeight="1" x14ac:dyDescent="0.2">
      <c r="B37" s="43"/>
      <c r="C37" s="53"/>
      <c r="D37" s="43"/>
      <c r="E37" s="43"/>
      <c r="F37" s="43"/>
      <c r="G37" s="43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Z37" s="43"/>
      <c r="AA37" s="43"/>
      <c r="AB37" s="49"/>
      <c r="AC37" s="51"/>
      <c r="AD37" s="51"/>
      <c r="AE37" s="90"/>
      <c r="AF37" s="90"/>
      <c r="AG37" s="51"/>
      <c r="AH37" s="51"/>
      <c r="AI37" s="45"/>
    </row>
    <row r="38" spans="2:35" ht="14.25" customHeight="1" x14ac:dyDescent="0.2">
      <c r="B38" s="43"/>
      <c r="C38" s="53"/>
      <c r="D38" s="43"/>
      <c r="E38" s="43"/>
      <c r="F38" s="43"/>
      <c r="G38" s="43"/>
      <c r="H38" s="4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Z38" s="43"/>
      <c r="AA38" s="43"/>
      <c r="AB38" s="49"/>
      <c r="AC38" s="51"/>
      <c r="AD38" s="51"/>
      <c r="AE38" s="90"/>
      <c r="AF38" s="90"/>
      <c r="AG38" s="51"/>
      <c r="AH38" s="51"/>
      <c r="AI38" s="45"/>
    </row>
    <row r="39" spans="2:35" ht="14.25" customHeight="1" x14ac:dyDescent="0.2">
      <c r="B39" s="43"/>
      <c r="C39" s="53"/>
      <c r="D39" s="43"/>
      <c r="E39" s="43"/>
      <c r="F39" s="43"/>
      <c r="G39" s="43"/>
      <c r="H39" s="4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Z39" s="43"/>
      <c r="AA39" s="43"/>
      <c r="AB39" s="49"/>
      <c r="AC39" s="51"/>
      <c r="AD39" s="51"/>
      <c r="AE39" s="90"/>
      <c r="AF39" s="90"/>
      <c r="AG39" s="51"/>
      <c r="AH39" s="51"/>
      <c r="AI39" s="45"/>
    </row>
    <row r="40" spans="2:35" ht="14.25" customHeight="1" x14ac:dyDescent="0.2">
      <c r="B40" s="43"/>
      <c r="C40" s="53"/>
      <c r="D40" s="43"/>
      <c r="E40" s="43"/>
      <c r="F40" s="43"/>
      <c r="G40" s="43"/>
      <c r="H40" s="44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Z40" s="43"/>
      <c r="AA40" s="43"/>
      <c r="AB40" s="49"/>
      <c r="AC40" s="51"/>
      <c r="AD40" s="51"/>
      <c r="AE40" s="90"/>
      <c r="AF40" s="90"/>
      <c r="AG40" s="51"/>
      <c r="AH40" s="51"/>
      <c r="AI40" s="45"/>
    </row>
    <row r="41" spans="2:35" ht="14.25" customHeight="1" x14ac:dyDescent="0.2">
      <c r="B41" s="43"/>
      <c r="C41" s="53"/>
      <c r="D41" s="43"/>
      <c r="E41" s="43"/>
      <c r="F41" s="43"/>
      <c r="G41" s="43"/>
      <c r="H41" s="44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Z41" s="43"/>
      <c r="AA41" s="43"/>
      <c r="AB41" s="49"/>
      <c r="AC41" s="51"/>
      <c r="AD41" s="51"/>
      <c r="AE41" s="90"/>
      <c r="AF41" s="90"/>
      <c r="AG41" s="51"/>
      <c r="AH41" s="51"/>
      <c r="AI41" s="45"/>
    </row>
    <row r="42" spans="2:35" ht="14.25" customHeight="1" x14ac:dyDescent="0.2">
      <c r="B42" s="43"/>
      <c r="C42" s="53"/>
      <c r="D42" s="43"/>
      <c r="E42" s="43"/>
      <c r="F42" s="43"/>
      <c r="G42" s="43"/>
      <c r="H42" s="44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Z42" s="43"/>
      <c r="AA42" s="43"/>
      <c r="AB42" s="49"/>
      <c r="AC42" s="51"/>
      <c r="AD42" s="51"/>
      <c r="AE42" s="90"/>
      <c r="AF42" s="90"/>
      <c r="AG42" s="51"/>
      <c r="AH42" s="51"/>
      <c r="AI42" s="45"/>
    </row>
    <row r="43" spans="2:35" ht="14.25" customHeight="1" x14ac:dyDescent="0.2">
      <c r="B43" s="43"/>
      <c r="C43" s="53"/>
      <c r="D43" s="43"/>
      <c r="E43" s="43"/>
      <c r="F43" s="43"/>
      <c r="G43" s="43"/>
      <c r="H43" s="44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Z43" s="43"/>
      <c r="AA43" s="43"/>
      <c r="AB43" s="49"/>
      <c r="AC43" s="51"/>
      <c r="AD43" s="51"/>
      <c r="AE43" s="90"/>
      <c r="AF43" s="90"/>
      <c r="AG43" s="51"/>
      <c r="AH43" s="51"/>
      <c r="AI43" s="45"/>
    </row>
    <row r="44" spans="2:35" ht="14.25" customHeight="1" x14ac:dyDescent="0.2">
      <c r="B44" s="43"/>
      <c r="C44" s="53"/>
      <c r="D44" s="43"/>
      <c r="E44" s="43"/>
      <c r="F44" s="43"/>
      <c r="G44" s="43"/>
      <c r="H44" s="4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Z44" s="43"/>
      <c r="AA44" s="43"/>
      <c r="AB44" s="49"/>
      <c r="AC44" s="51"/>
      <c r="AD44" s="51"/>
      <c r="AE44" s="90"/>
      <c r="AF44" s="90"/>
      <c r="AG44" s="51"/>
      <c r="AH44" s="51"/>
      <c r="AI44" s="45"/>
    </row>
    <row r="45" spans="2:35" ht="14.25" customHeight="1" x14ac:dyDescent="0.2">
      <c r="B45" s="43"/>
      <c r="C45" s="53"/>
      <c r="D45" s="43"/>
      <c r="E45" s="43"/>
      <c r="F45" s="43"/>
      <c r="G45" s="43"/>
      <c r="H45" s="44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Z45" s="43"/>
      <c r="AA45" s="43"/>
      <c r="AB45" s="49"/>
      <c r="AC45" s="51"/>
      <c r="AD45" s="51"/>
      <c r="AE45" s="90"/>
      <c r="AF45" s="90"/>
      <c r="AG45" s="51"/>
      <c r="AH45" s="51"/>
      <c r="AI45" s="45"/>
    </row>
    <row r="46" spans="2:35" ht="14.25" customHeight="1" x14ac:dyDescent="0.2">
      <c r="B46" s="43"/>
      <c r="C46" s="53"/>
      <c r="D46" s="43"/>
      <c r="E46" s="43"/>
      <c r="F46" s="43"/>
      <c r="G46" s="43"/>
      <c r="H46" s="44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Z46" s="43"/>
      <c r="AA46" s="43"/>
      <c r="AB46" s="49"/>
      <c r="AC46" s="51"/>
      <c r="AD46" s="51"/>
      <c r="AE46" s="90"/>
      <c r="AF46" s="90"/>
      <c r="AG46" s="51"/>
      <c r="AH46" s="51"/>
      <c r="AI46" s="45"/>
    </row>
    <row r="47" spans="2:35" ht="14.25" customHeight="1" x14ac:dyDescent="0.2">
      <c r="B47" s="43"/>
      <c r="C47" s="53"/>
      <c r="D47" s="43"/>
      <c r="E47" s="43"/>
      <c r="F47" s="43"/>
      <c r="G47" s="43"/>
      <c r="H47" s="44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Z47" s="43"/>
      <c r="AA47" s="43"/>
      <c r="AB47" s="49"/>
      <c r="AC47" s="51"/>
      <c r="AD47" s="51"/>
      <c r="AE47" s="90"/>
      <c r="AF47" s="90"/>
      <c r="AG47" s="51"/>
      <c r="AH47" s="51"/>
      <c r="AI47" s="45"/>
    </row>
    <row r="48" spans="2:35" ht="14.25" customHeight="1" x14ac:dyDescent="0.2">
      <c r="B48" s="43"/>
      <c r="C48" s="53"/>
      <c r="D48" s="43"/>
      <c r="E48" s="43"/>
      <c r="F48" s="43"/>
      <c r="G48" s="43"/>
      <c r="H48" s="4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Z48" s="43"/>
      <c r="AA48" s="43"/>
      <c r="AB48" s="49"/>
      <c r="AC48" s="51"/>
      <c r="AD48" s="51"/>
      <c r="AE48" s="90"/>
      <c r="AF48" s="90"/>
      <c r="AG48" s="51"/>
      <c r="AH48" s="51"/>
      <c r="AI48" s="45"/>
    </row>
    <row r="49" spans="2:35" ht="14.25" customHeight="1" x14ac:dyDescent="0.2">
      <c r="B49" s="43"/>
      <c r="C49" s="53"/>
      <c r="D49" s="43"/>
      <c r="E49" s="43"/>
      <c r="F49" s="43"/>
      <c r="G49" s="43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Z49" s="43"/>
      <c r="AA49" s="43"/>
      <c r="AB49" s="49"/>
      <c r="AC49" s="51"/>
      <c r="AD49" s="51"/>
      <c r="AE49" s="90"/>
      <c r="AF49" s="90"/>
      <c r="AG49" s="51"/>
      <c r="AH49" s="51"/>
      <c r="AI49" s="45"/>
    </row>
    <row r="50" spans="2:35" ht="14.25" customHeight="1" x14ac:dyDescent="0.2">
      <c r="B50" s="43"/>
      <c r="C50" s="53"/>
      <c r="D50" s="43"/>
      <c r="E50" s="43"/>
      <c r="F50" s="43"/>
      <c r="G50" s="43"/>
      <c r="H50" s="44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Z50" s="43"/>
      <c r="AA50" s="43"/>
      <c r="AB50" s="49"/>
      <c r="AC50" s="51"/>
      <c r="AD50" s="51"/>
      <c r="AE50" s="90"/>
      <c r="AF50" s="90"/>
      <c r="AG50" s="51"/>
      <c r="AH50" s="51"/>
      <c r="AI50" s="45"/>
    </row>
    <row r="51" spans="2:35" ht="14.25" customHeight="1" x14ac:dyDescent="0.2">
      <c r="B51" s="43"/>
      <c r="C51" s="53"/>
      <c r="D51" s="43"/>
      <c r="E51" s="43"/>
      <c r="F51" s="43"/>
      <c r="G51" s="43"/>
      <c r="H51" s="44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Z51" s="43"/>
      <c r="AA51" s="43"/>
      <c r="AB51" s="49"/>
      <c r="AC51" s="51"/>
      <c r="AD51" s="51"/>
      <c r="AE51" s="90"/>
      <c r="AF51" s="90"/>
      <c r="AG51" s="51"/>
      <c r="AH51" s="51"/>
      <c r="AI51" s="45"/>
    </row>
    <row r="52" spans="2:35" ht="14.25" customHeight="1" x14ac:dyDescent="0.2">
      <c r="B52" s="43"/>
      <c r="C52" s="53"/>
      <c r="D52" s="43"/>
      <c r="E52" s="43"/>
      <c r="F52" s="43"/>
      <c r="G52" s="43"/>
      <c r="H52" s="44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Z52" s="43"/>
      <c r="AA52" s="43"/>
      <c r="AB52" s="49"/>
      <c r="AC52" s="51"/>
      <c r="AD52" s="51"/>
      <c r="AE52" s="90"/>
      <c r="AF52" s="90"/>
      <c r="AG52" s="51"/>
      <c r="AH52" s="51"/>
      <c r="AI52" s="45"/>
    </row>
    <row r="53" spans="2:35" ht="14.25" customHeight="1" x14ac:dyDescent="0.2">
      <c r="B53" s="43"/>
      <c r="C53" s="53"/>
      <c r="D53" s="43"/>
      <c r="E53" s="43"/>
      <c r="F53" s="43"/>
      <c r="G53" s="43"/>
      <c r="H53" s="4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Z53" s="43"/>
      <c r="AA53" s="43"/>
      <c r="AB53" s="49"/>
      <c r="AC53" s="51"/>
      <c r="AD53" s="51"/>
      <c r="AE53" s="90"/>
      <c r="AF53" s="90"/>
      <c r="AG53" s="51"/>
      <c r="AH53" s="51"/>
      <c r="AI53" s="45"/>
    </row>
    <row r="54" spans="2:35" ht="14.25" customHeight="1" x14ac:dyDescent="0.2">
      <c r="B54" s="43"/>
      <c r="C54" s="53"/>
      <c r="D54" s="43"/>
      <c r="E54" s="43"/>
      <c r="F54" s="43"/>
      <c r="G54" s="43"/>
      <c r="H54" s="4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Z54" s="43"/>
      <c r="AA54" s="43"/>
      <c r="AB54" s="49"/>
      <c r="AC54" s="51"/>
      <c r="AD54" s="51"/>
      <c r="AE54" s="90"/>
      <c r="AF54" s="90"/>
      <c r="AG54" s="51"/>
      <c r="AH54" s="51"/>
      <c r="AI54" s="45"/>
    </row>
    <row r="55" spans="2:35" ht="14.25" customHeight="1" x14ac:dyDescent="0.2">
      <c r="B55" s="43"/>
      <c r="C55" s="53"/>
      <c r="D55" s="43"/>
      <c r="E55" s="43"/>
      <c r="F55" s="43"/>
      <c r="G55" s="43"/>
      <c r="H55" s="44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Z55" s="43"/>
      <c r="AA55" s="43"/>
      <c r="AB55" s="49"/>
      <c r="AC55" s="51"/>
      <c r="AD55" s="51"/>
      <c r="AE55" s="90"/>
      <c r="AF55" s="90"/>
      <c r="AG55" s="51"/>
      <c r="AH55" s="51"/>
      <c r="AI55" s="45"/>
    </row>
    <row r="56" spans="2:35" ht="14.25" customHeight="1" x14ac:dyDescent="0.2">
      <c r="B56" s="43"/>
      <c r="C56" s="53"/>
      <c r="D56" s="43"/>
      <c r="E56" s="43"/>
      <c r="F56" s="43"/>
      <c r="G56" s="43"/>
      <c r="H56" s="4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Z56" s="43"/>
      <c r="AA56" s="43"/>
      <c r="AB56" s="49"/>
      <c r="AC56" s="51"/>
      <c r="AD56" s="51"/>
      <c r="AE56" s="90"/>
      <c r="AF56" s="90"/>
      <c r="AG56" s="51"/>
      <c r="AH56" s="51"/>
      <c r="AI56" s="45"/>
    </row>
    <row r="57" spans="2:35" ht="14.25" customHeight="1" x14ac:dyDescent="0.2">
      <c r="B57" s="43"/>
      <c r="C57" s="53"/>
      <c r="D57" s="43"/>
      <c r="E57" s="43"/>
      <c r="F57" s="43"/>
      <c r="G57" s="43"/>
      <c r="H57" s="4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Z57" s="43"/>
      <c r="AA57" s="43"/>
      <c r="AB57" s="49"/>
      <c r="AC57" s="51"/>
      <c r="AD57" s="51"/>
      <c r="AE57" s="90"/>
      <c r="AF57" s="90"/>
      <c r="AG57" s="51"/>
      <c r="AH57" s="51"/>
      <c r="AI57" s="45"/>
    </row>
    <row r="58" spans="2:35" ht="14.25" customHeight="1" x14ac:dyDescent="0.2">
      <c r="B58" s="43"/>
      <c r="C58" s="53"/>
      <c r="D58" s="43"/>
      <c r="E58" s="43"/>
      <c r="F58" s="43"/>
      <c r="G58" s="43"/>
      <c r="H58" s="4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Z58" s="43"/>
      <c r="AA58" s="43"/>
      <c r="AB58" s="49"/>
      <c r="AC58" s="51"/>
      <c r="AD58" s="51"/>
      <c r="AE58" s="90"/>
      <c r="AF58" s="90"/>
      <c r="AG58" s="51"/>
      <c r="AH58" s="51"/>
      <c r="AI58" s="45"/>
    </row>
    <row r="59" spans="2:35" ht="14.25" customHeight="1" x14ac:dyDescent="0.2">
      <c r="B59" s="43"/>
      <c r="C59" s="53"/>
      <c r="D59" s="43"/>
      <c r="E59" s="43"/>
      <c r="F59" s="43"/>
      <c r="G59" s="43"/>
      <c r="H59" s="44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Z59" s="43"/>
      <c r="AA59" s="43"/>
      <c r="AB59" s="49"/>
      <c r="AC59" s="51"/>
      <c r="AD59" s="51"/>
      <c r="AE59" s="90"/>
      <c r="AF59" s="90"/>
      <c r="AG59" s="51"/>
      <c r="AH59" s="51"/>
      <c r="AI59" s="45"/>
    </row>
    <row r="60" spans="2:35" ht="14.25" customHeight="1" x14ac:dyDescent="0.2">
      <c r="B60" s="43"/>
      <c r="C60" s="53"/>
      <c r="D60" s="43"/>
      <c r="E60" s="43"/>
      <c r="F60" s="43"/>
      <c r="G60" s="43"/>
      <c r="H60" s="4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Z60" s="43"/>
      <c r="AA60" s="43"/>
      <c r="AB60" s="49"/>
      <c r="AC60" s="51"/>
      <c r="AD60" s="51"/>
      <c r="AE60" s="90"/>
      <c r="AF60" s="90"/>
      <c r="AG60" s="51"/>
      <c r="AH60" s="51"/>
      <c r="AI60" s="45"/>
    </row>
    <row r="61" spans="2:35" ht="14.25" customHeight="1" x14ac:dyDescent="0.2">
      <c r="B61" s="43"/>
      <c r="C61" s="53"/>
      <c r="D61" s="43"/>
      <c r="E61" s="43"/>
      <c r="F61" s="43"/>
      <c r="G61" s="43"/>
      <c r="H61" s="4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Z61" s="43"/>
      <c r="AA61" s="43"/>
      <c r="AB61" s="49"/>
      <c r="AC61" s="51"/>
      <c r="AD61" s="51"/>
      <c r="AE61" s="90"/>
      <c r="AF61" s="90"/>
      <c r="AG61" s="51"/>
      <c r="AH61" s="51"/>
      <c r="AI61" s="45"/>
    </row>
    <row r="62" spans="2:35" ht="14.25" customHeight="1" x14ac:dyDescent="0.2">
      <c r="B62" s="43"/>
      <c r="C62" s="53"/>
      <c r="D62" s="43"/>
      <c r="E62" s="43"/>
      <c r="F62" s="43"/>
      <c r="G62" s="43"/>
      <c r="H62" s="44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Z62" s="43"/>
      <c r="AA62" s="43"/>
      <c r="AB62" s="49"/>
      <c r="AC62" s="51"/>
      <c r="AD62" s="51"/>
      <c r="AE62" s="90"/>
      <c r="AF62" s="90"/>
      <c r="AG62" s="51"/>
      <c r="AH62" s="51"/>
      <c r="AI62" s="45"/>
    </row>
    <row r="63" spans="2:35" ht="14.25" customHeight="1" x14ac:dyDescent="0.2">
      <c r="B63" s="43"/>
      <c r="C63" s="53"/>
      <c r="D63" s="43"/>
      <c r="E63" s="43"/>
      <c r="F63" s="43"/>
      <c r="G63" s="43"/>
      <c r="H63" s="4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Z63" s="43"/>
      <c r="AA63" s="43"/>
      <c r="AB63" s="49"/>
      <c r="AC63" s="51"/>
      <c r="AD63" s="51"/>
      <c r="AE63" s="90"/>
      <c r="AF63" s="90"/>
      <c r="AG63" s="51"/>
      <c r="AH63" s="51"/>
      <c r="AI63" s="45"/>
    </row>
    <row r="64" spans="2:35" ht="14.25" customHeight="1" x14ac:dyDescent="0.2">
      <c r="B64" s="43"/>
      <c r="C64" s="53"/>
      <c r="D64" s="43"/>
      <c r="E64" s="43"/>
      <c r="F64" s="43"/>
      <c r="G64" s="43"/>
      <c r="H64" s="44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Z64" s="43"/>
      <c r="AA64" s="43"/>
      <c r="AB64" s="49"/>
      <c r="AC64" s="51"/>
      <c r="AD64" s="51"/>
      <c r="AE64" s="90"/>
      <c r="AF64" s="90"/>
      <c r="AG64" s="51"/>
      <c r="AH64" s="51"/>
      <c r="AI64" s="45"/>
    </row>
    <row r="65" spans="2:35" ht="14.25" customHeight="1" x14ac:dyDescent="0.2">
      <c r="B65" s="43"/>
      <c r="C65" s="53"/>
      <c r="D65" s="43"/>
      <c r="E65" s="43"/>
      <c r="F65" s="43"/>
      <c r="G65" s="43"/>
      <c r="H65" s="4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Z65" s="43"/>
      <c r="AA65" s="43"/>
      <c r="AB65" s="49"/>
      <c r="AC65" s="51"/>
      <c r="AD65" s="51"/>
      <c r="AE65" s="90"/>
      <c r="AF65" s="90"/>
      <c r="AG65" s="51"/>
      <c r="AH65" s="51"/>
      <c r="AI65" s="45"/>
    </row>
    <row r="66" spans="2:35" ht="14.25" customHeight="1" x14ac:dyDescent="0.2">
      <c r="B66" s="43"/>
      <c r="C66" s="53"/>
      <c r="D66" s="43"/>
      <c r="E66" s="43"/>
      <c r="F66" s="43"/>
      <c r="G66" s="43"/>
      <c r="H66" s="44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Z66" s="43"/>
      <c r="AA66" s="43"/>
      <c r="AB66" s="49"/>
      <c r="AC66" s="51"/>
      <c r="AD66" s="51"/>
      <c r="AE66" s="90"/>
      <c r="AF66" s="90"/>
      <c r="AG66" s="51"/>
      <c r="AH66" s="51"/>
      <c r="AI66" s="45"/>
    </row>
    <row r="67" spans="2:35" ht="14.25" customHeight="1" x14ac:dyDescent="0.2">
      <c r="B67" s="43"/>
      <c r="C67" s="53"/>
      <c r="D67" s="43"/>
      <c r="E67" s="43"/>
      <c r="F67" s="43"/>
      <c r="G67" s="43"/>
      <c r="H67" s="4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Z67" s="43"/>
      <c r="AA67" s="43"/>
      <c r="AB67" s="49"/>
      <c r="AC67" s="51"/>
      <c r="AD67" s="51"/>
      <c r="AE67" s="90"/>
      <c r="AF67" s="90"/>
      <c r="AG67" s="51"/>
      <c r="AH67" s="51"/>
      <c r="AI67" s="45"/>
    </row>
    <row r="68" spans="2:35" ht="14.25" customHeight="1" x14ac:dyDescent="0.2">
      <c r="B68" s="43"/>
      <c r="C68" s="53"/>
      <c r="D68" s="43"/>
      <c r="E68" s="43"/>
      <c r="F68" s="43"/>
      <c r="G68" s="43"/>
      <c r="H68" s="44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Z68" s="43"/>
      <c r="AA68" s="43"/>
      <c r="AB68" s="49"/>
      <c r="AC68" s="51"/>
      <c r="AD68" s="51"/>
      <c r="AE68" s="90"/>
      <c r="AF68" s="90"/>
      <c r="AG68" s="51"/>
      <c r="AH68" s="51"/>
      <c r="AI68" s="45"/>
    </row>
    <row r="69" spans="2:35" ht="14.25" customHeight="1" x14ac:dyDescent="0.2">
      <c r="B69" s="43"/>
      <c r="C69" s="53"/>
      <c r="D69" s="43"/>
      <c r="E69" s="43"/>
      <c r="F69" s="43"/>
      <c r="G69" s="43"/>
      <c r="H69" s="44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Z69" s="43"/>
      <c r="AA69" s="43"/>
      <c r="AB69" s="49"/>
      <c r="AC69" s="51"/>
      <c r="AD69" s="51"/>
      <c r="AE69" s="90"/>
      <c r="AF69" s="90"/>
      <c r="AG69" s="51"/>
      <c r="AH69" s="51"/>
      <c r="AI69" s="45"/>
    </row>
    <row r="70" spans="2:35" ht="14.25" customHeight="1" x14ac:dyDescent="0.2">
      <c r="B70" s="43"/>
      <c r="C70" s="53"/>
      <c r="D70" s="43"/>
      <c r="E70" s="43"/>
      <c r="F70" s="43"/>
      <c r="G70" s="43"/>
      <c r="H70" s="44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Z70" s="43"/>
      <c r="AA70" s="43"/>
      <c r="AB70" s="49"/>
      <c r="AC70" s="51"/>
      <c r="AD70" s="51"/>
      <c r="AE70" s="90"/>
      <c r="AF70" s="90"/>
      <c r="AG70" s="51"/>
      <c r="AH70" s="51"/>
      <c r="AI70" s="45"/>
    </row>
    <row r="71" spans="2:35" ht="14.25" customHeight="1" x14ac:dyDescent="0.2">
      <c r="B71" s="43"/>
      <c r="C71" s="53"/>
      <c r="D71" s="43"/>
      <c r="E71" s="43"/>
      <c r="F71" s="43"/>
      <c r="G71" s="43"/>
      <c r="H71" s="44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Z71" s="43"/>
      <c r="AA71" s="43"/>
      <c r="AB71" s="49"/>
      <c r="AC71" s="51"/>
      <c r="AD71" s="51"/>
      <c r="AE71" s="90"/>
      <c r="AF71" s="90"/>
      <c r="AG71" s="51"/>
      <c r="AH71" s="51"/>
      <c r="AI71" s="45"/>
    </row>
    <row r="72" spans="2:35" ht="14.25" customHeight="1" x14ac:dyDescent="0.2">
      <c r="B72" s="43"/>
      <c r="C72" s="53"/>
      <c r="D72" s="43"/>
      <c r="E72" s="43"/>
      <c r="F72" s="43"/>
      <c r="G72" s="43"/>
      <c r="H72" s="44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Z72" s="43"/>
      <c r="AA72" s="43"/>
      <c r="AB72" s="49"/>
      <c r="AC72" s="51"/>
      <c r="AD72" s="51"/>
      <c r="AE72" s="90"/>
      <c r="AF72" s="90"/>
      <c r="AG72" s="51"/>
      <c r="AH72" s="51"/>
      <c r="AI72" s="45"/>
    </row>
    <row r="73" spans="2:35" ht="14.25" customHeight="1" x14ac:dyDescent="0.2">
      <c r="B73" s="43"/>
      <c r="C73" s="53"/>
      <c r="D73" s="43"/>
      <c r="E73" s="43"/>
      <c r="F73" s="43"/>
      <c r="G73" s="43"/>
      <c r="H73" s="44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Z73" s="43"/>
      <c r="AA73" s="43"/>
      <c r="AB73" s="49"/>
      <c r="AC73" s="51"/>
      <c r="AD73" s="51"/>
      <c r="AE73" s="90"/>
      <c r="AF73" s="90"/>
      <c r="AG73" s="51"/>
      <c r="AH73" s="51"/>
      <c r="AI73" s="45"/>
    </row>
    <row r="74" spans="2:35" ht="14.25" customHeight="1" x14ac:dyDescent="0.2">
      <c r="B74" s="43"/>
      <c r="C74" s="53"/>
      <c r="D74" s="43"/>
      <c r="E74" s="43"/>
      <c r="F74" s="43"/>
      <c r="G74" s="43"/>
      <c r="H74" s="44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Z74" s="43"/>
      <c r="AA74" s="43"/>
      <c r="AB74" s="49"/>
      <c r="AC74" s="51"/>
      <c r="AD74" s="51"/>
      <c r="AE74" s="90"/>
      <c r="AF74" s="90"/>
      <c r="AG74" s="51"/>
      <c r="AH74" s="51"/>
      <c r="AI74" s="45"/>
    </row>
    <row r="75" spans="2:35" ht="14.25" customHeight="1" x14ac:dyDescent="0.2">
      <c r="B75" s="43"/>
      <c r="C75" s="53"/>
      <c r="D75" s="43"/>
      <c r="E75" s="43"/>
      <c r="F75" s="43"/>
      <c r="G75" s="43"/>
      <c r="H75" s="44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Z75" s="43"/>
      <c r="AA75" s="43"/>
      <c r="AB75" s="49"/>
      <c r="AC75" s="51"/>
      <c r="AD75" s="51"/>
      <c r="AE75" s="90"/>
      <c r="AF75" s="90"/>
      <c r="AG75" s="51"/>
      <c r="AH75" s="51"/>
      <c r="AI75" s="45"/>
    </row>
    <row r="76" spans="2:35" ht="14.25" customHeight="1" x14ac:dyDescent="0.2">
      <c r="B76" s="43"/>
      <c r="C76" s="53"/>
      <c r="D76" s="43"/>
      <c r="E76" s="43"/>
      <c r="F76" s="43"/>
      <c r="G76" s="43"/>
      <c r="H76" s="44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Z76" s="43"/>
      <c r="AA76" s="43"/>
      <c r="AB76" s="49"/>
      <c r="AC76" s="51"/>
      <c r="AD76" s="51"/>
      <c r="AE76" s="90"/>
      <c r="AF76" s="90"/>
      <c r="AG76" s="51"/>
      <c r="AH76" s="51"/>
      <c r="AI76" s="45"/>
    </row>
    <row r="77" spans="2:35" ht="14.25" customHeight="1" x14ac:dyDescent="0.2">
      <c r="B77" s="43"/>
      <c r="C77" s="53"/>
      <c r="D77" s="43"/>
      <c r="E77" s="43"/>
      <c r="F77" s="43"/>
      <c r="G77" s="43"/>
      <c r="H77" s="44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Z77" s="43"/>
      <c r="AA77" s="43"/>
      <c r="AB77" s="49"/>
      <c r="AC77" s="51"/>
      <c r="AD77" s="51"/>
      <c r="AE77" s="90"/>
      <c r="AF77" s="90"/>
      <c r="AG77" s="51"/>
      <c r="AH77" s="51"/>
      <c r="AI77" s="45"/>
    </row>
    <row r="78" spans="2:35" ht="14.25" customHeight="1" x14ac:dyDescent="0.2">
      <c r="B78" s="43"/>
      <c r="C78" s="53"/>
      <c r="D78" s="43"/>
      <c r="E78" s="43"/>
      <c r="F78" s="43"/>
      <c r="G78" s="43"/>
      <c r="H78" s="44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Z78" s="43"/>
      <c r="AA78" s="43"/>
      <c r="AB78" s="49"/>
      <c r="AC78" s="51"/>
      <c r="AD78" s="51"/>
      <c r="AE78" s="90"/>
      <c r="AF78" s="90"/>
      <c r="AG78" s="51"/>
      <c r="AH78" s="51"/>
      <c r="AI78" s="45"/>
    </row>
    <row r="79" spans="2:35" ht="14.25" customHeight="1" x14ac:dyDescent="0.2">
      <c r="B79" s="43"/>
      <c r="C79" s="53"/>
      <c r="D79" s="43"/>
      <c r="E79" s="43"/>
      <c r="F79" s="43"/>
      <c r="G79" s="43"/>
      <c r="H79" s="4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Z79" s="43"/>
      <c r="AA79" s="43"/>
      <c r="AB79" s="49"/>
      <c r="AC79" s="51"/>
      <c r="AD79" s="51"/>
      <c r="AE79" s="90"/>
      <c r="AF79" s="90"/>
      <c r="AG79" s="51"/>
      <c r="AH79" s="51"/>
      <c r="AI79" s="45"/>
    </row>
    <row r="80" spans="2:35" ht="14.25" customHeight="1" x14ac:dyDescent="0.2">
      <c r="B80" s="43"/>
      <c r="C80" s="53"/>
      <c r="D80" s="43"/>
      <c r="E80" s="43"/>
      <c r="F80" s="43"/>
      <c r="G80" s="43"/>
      <c r="H80" s="44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Z80" s="43"/>
      <c r="AA80" s="43"/>
      <c r="AB80" s="49"/>
      <c r="AC80" s="51"/>
      <c r="AD80" s="51"/>
      <c r="AE80" s="90"/>
      <c r="AF80" s="90"/>
      <c r="AG80" s="51"/>
      <c r="AH80" s="51"/>
      <c r="AI80" s="45"/>
    </row>
    <row r="81" spans="2:35" ht="14.25" customHeight="1" x14ac:dyDescent="0.2">
      <c r="B81" s="43"/>
      <c r="C81" s="53"/>
      <c r="D81" s="43"/>
      <c r="E81" s="43"/>
      <c r="F81" s="43"/>
      <c r="G81" s="43"/>
      <c r="H81" s="44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Z81" s="43"/>
      <c r="AA81" s="43"/>
      <c r="AB81" s="49"/>
      <c r="AC81" s="51"/>
      <c r="AD81" s="51"/>
      <c r="AE81" s="90"/>
      <c r="AF81" s="90"/>
      <c r="AG81" s="51"/>
      <c r="AH81" s="51"/>
      <c r="AI81" s="45"/>
    </row>
    <row r="82" spans="2:35" ht="14.25" customHeight="1" x14ac:dyDescent="0.2">
      <c r="B82" s="43"/>
      <c r="C82" s="53"/>
      <c r="D82" s="43"/>
      <c r="E82" s="43"/>
      <c r="F82" s="43"/>
      <c r="G82" s="43"/>
      <c r="H82" s="44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Z82" s="43"/>
      <c r="AA82" s="43"/>
      <c r="AB82" s="49"/>
      <c r="AC82" s="51"/>
      <c r="AD82" s="51"/>
      <c r="AE82" s="90"/>
      <c r="AF82" s="90"/>
      <c r="AG82" s="51"/>
      <c r="AH82" s="51"/>
      <c r="AI82" s="45"/>
    </row>
    <row r="83" spans="2:35" ht="14.25" customHeight="1" x14ac:dyDescent="0.2">
      <c r="B83" s="43"/>
      <c r="C83" s="53"/>
      <c r="D83" s="43"/>
      <c r="E83" s="43"/>
      <c r="F83" s="43"/>
      <c r="G83" s="43"/>
      <c r="H83" s="44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Z83" s="43"/>
      <c r="AA83" s="43"/>
      <c r="AB83" s="49"/>
      <c r="AC83" s="51"/>
      <c r="AD83" s="51"/>
      <c r="AE83" s="90"/>
      <c r="AF83" s="90"/>
      <c r="AG83" s="51"/>
      <c r="AH83" s="51"/>
      <c r="AI83" s="45"/>
    </row>
    <row r="84" spans="2:35" ht="14.25" customHeight="1" x14ac:dyDescent="0.2">
      <c r="B84" s="43"/>
      <c r="C84" s="53"/>
      <c r="D84" s="43"/>
      <c r="E84" s="43"/>
      <c r="F84" s="43"/>
      <c r="G84" s="43"/>
      <c r="H84" s="44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Z84" s="43"/>
      <c r="AA84" s="43"/>
      <c r="AB84" s="49"/>
      <c r="AC84" s="51"/>
      <c r="AD84" s="51"/>
      <c r="AE84" s="90"/>
      <c r="AF84" s="90"/>
      <c r="AG84" s="51"/>
      <c r="AH84" s="51"/>
      <c r="AI84" s="45"/>
    </row>
    <row r="85" spans="2:35" ht="14.25" customHeight="1" x14ac:dyDescent="0.2">
      <c r="B85" s="43"/>
      <c r="C85" s="53"/>
      <c r="D85" s="43"/>
      <c r="E85" s="43"/>
      <c r="F85" s="43"/>
      <c r="G85" s="43"/>
      <c r="H85" s="44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Z85" s="43"/>
      <c r="AA85" s="43"/>
      <c r="AB85" s="49"/>
      <c r="AC85" s="51"/>
      <c r="AD85" s="51"/>
      <c r="AE85" s="90"/>
      <c r="AF85" s="90"/>
      <c r="AG85" s="51"/>
      <c r="AH85" s="51"/>
      <c r="AI85" s="45"/>
    </row>
    <row r="86" spans="2:35" ht="14.25" customHeight="1" x14ac:dyDescent="0.2">
      <c r="B86" s="43"/>
      <c r="C86" s="53"/>
      <c r="D86" s="43"/>
      <c r="E86" s="43"/>
      <c r="F86" s="43"/>
      <c r="G86" s="43"/>
      <c r="H86" s="44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Z86" s="43"/>
      <c r="AA86" s="43"/>
      <c r="AB86" s="49"/>
      <c r="AC86" s="51"/>
      <c r="AD86" s="51"/>
      <c r="AE86" s="90"/>
      <c r="AF86" s="90"/>
      <c r="AG86" s="51"/>
      <c r="AH86" s="51"/>
      <c r="AI86" s="45"/>
    </row>
    <row r="87" spans="2:35" ht="14.25" customHeight="1" x14ac:dyDescent="0.2">
      <c r="B87" s="43"/>
      <c r="C87" s="53"/>
      <c r="D87" s="43"/>
      <c r="E87" s="43"/>
      <c r="F87" s="43"/>
      <c r="G87" s="43"/>
      <c r="H87" s="44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Z87" s="43"/>
      <c r="AA87" s="43"/>
      <c r="AB87" s="49"/>
      <c r="AC87" s="51"/>
      <c r="AD87" s="51"/>
      <c r="AE87" s="90"/>
      <c r="AF87" s="90"/>
      <c r="AG87" s="51"/>
      <c r="AH87" s="51"/>
      <c r="AI87" s="45"/>
    </row>
    <row r="88" spans="2:35" ht="14.25" customHeight="1" x14ac:dyDescent="0.2">
      <c r="B88" s="43"/>
      <c r="C88" s="53"/>
      <c r="D88" s="43"/>
      <c r="E88" s="43"/>
      <c r="F88" s="43"/>
      <c r="G88" s="43"/>
      <c r="H88" s="44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Z88" s="43"/>
      <c r="AA88" s="43"/>
      <c r="AB88" s="49"/>
      <c r="AC88" s="51"/>
      <c r="AD88" s="51"/>
      <c r="AE88" s="90"/>
      <c r="AF88" s="90"/>
      <c r="AG88" s="51"/>
      <c r="AH88" s="51"/>
      <c r="AI88" s="45"/>
    </row>
    <row r="89" spans="2:35" ht="14.25" customHeight="1" x14ac:dyDescent="0.2">
      <c r="B89" s="43"/>
      <c r="C89" s="53"/>
      <c r="D89" s="43"/>
      <c r="E89" s="43"/>
      <c r="F89" s="43"/>
      <c r="G89" s="43"/>
      <c r="H89" s="44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Z89" s="43"/>
      <c r="AA89" s="43"/>
      <c r="AB89" s="49"/>
      <c r="AC89" s="51"/>
      <c r="AD89" s="51"/>
      <c r="AE89" s="90"/>
      <c r="AF89" s="90"/>
      <c r="AG89" s="51"/>
      <c r="AH89" s="51"/>
      <c r="AI89" s="45"/>
    </row>
    <row r="90" spans="2:35" ht="14.25" customHeight="1" x14ac:dyDescent="0.2">
      <c r="B90" s="43"/>
      <c r="C90" s="53"/>
      <c r="D90" s="43"/>
      <c r="E90" s="43"/>
      <c r="F90" s="43"/>
      <c r="G90" s="43"/>
      <c r="H90" s="44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Z90" s="43"/>
      <c r="AA90" s="43"/>
      <c r="AB90" s="49"/>
      <c r="AC90" s="51"/>
      <c r="AD90" s="51"/>
      <c r="AE90" s="90"/>
      <c r="AF90" s="90"/>
      <c r="AG90" s="51"/>
      <c r="AH90" s="51"/>
      <c r="AI90" s="45"/>
    </row>
    <row r="91" spans="2:35" ht="14.25" customHeight="1" x14ac:dyDescent="0.2">
      <c r="B91" s="43"/>
      <c r="C91" s="53"/>
      <c r="D91" s="43"/>
      <c r="E91" s="43"/>
      <c r="F91" s="43"/>
      <c r="G91" s="43"/>
      <c r="H91" s="44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Z91" s="43"/>
      <c r="AA91" s="43"/>
      <c r="AB91" s="49"/>
      <c r="AC91" s="51"/>
      <c r="AD91" s="51"/>
      <c r="AE91" s="90"/>
      <c r="AF91" s="90"/>
      <c r="AG91" s="51"/>
      <c r="AH91" s="51"/>
      <c r="AI91" s="45"/>
    </row>
    <row r="92" spans="2:35" ht="14.25" customHeight="1" x14ac:dyDescent="0.2">
      <c r="B92" s="43"/>
      <c r="C92" s="53"/>
      <c r="D92" s="43"/>
      <c r="E92" s="43"/>
      <c r="F92" s="43"/>
      <c r="G92" s="43"/>
      <c r="H92" s="44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Z92" s="43"/>
      <c r="AA92" s="43"/>
      <c r="AB92" s="49"/>
      <c r="AC92" s="51"/>
      <c r="AD92" s="51"/>
      <c r="AE92" s="90"/>
      <c r="AF92" s="90"/>
      <c r="AG92" s="51"/>
      <c r="AH92" s="51"/>
      <c r="AI92" s="45"/>
    </row>
    <row r="93" spans="2:35" ht="14.25" customHeight="1" x14ac:dyDescent="0.2">
      <c r="B93" s="43"/>
      <c r="C93" s="53"/>
      <c r="D93" s="43"/>
      <c r="E93" s="43"/>
      <c r="F93" s="43"/>
      <c r="G93" s="43"/>
      <c r="H93" s="44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Z93" s="43"/>
      <c r="AA93" s="43"/>
      <c r="AB93" s="49"/>
      <c r="AC93" s="51"/>
      <c r="AD93" s="51"/>
      <c r="AE93" s="90"/>
      <c r="AF93" s="90"/>
      <c r="AG93" s="51"/>
      <c r="AH93" s="51"/>
      <c r="AI93" s="45"/>
    </row>
    <row r="94" spans="2:35" ht="14.25" customHeight="1" x14ac:dyDescent="0.2">
      <c r="B94" s="43"/>
      <c r="C94" s="53"/>
      <c r="D94" s="43"/>
      <c r="E94" s="43"/>
      <c r="F94" s="43"/>
      <c r="G94" s="43"/>
      <c r="H94" s="44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Z94" s="43"/>
      <c r="AA94" s="43"/>
      <c r="AB94" s="49"/>
      <c r="AC94" s="51"/>
      <c r="AD94" s="51"/>
      <c r="AE94" s="90"/>
      <c r="AF94" s="90"/>
      <c r="AG94" s="51"/>
      <c r="AH94" s="51"/>
      <c r="AI94" s="45"/>
    </row>
    <row r="95" spans="2:35" ht="14.25" customHeight="1" x14ac:dyDescent="0.2">
      <c r="B95" s="43"/>
      <c r="C95" s="53"/>
      <c r="D95" s="43"/>
      <c r="E95" s="43"/>
      <c r="F95" s="43"/>
      <c r="G95" s="43"/>
      <c r="H95" s="44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Z95" s="43"/>
      <c r="AA95" s="43"/>
      <c r="AB95" s="49"/>
      <c r="AC95" s="51"/>
      <c r="AD95" s="51"/>
      <c r="AE95" s="90"/>
      <c r="AF95" s="90"/>
      <c r="AG95" s="51"/>
      <c r="AH95" s="51"/>
      <c r="AI95" s="45"/>
    </row>
    <row r="96" spans="2:35" ht="14.25" customHeight="1" x14ac:dyDescent="0.2">
      <c r="B96" s="43"/>
      <c r="C96" s="53"/>
      <c r="D96" s="43"/>
      <c r="E96" s="43"/>
      <c r="F96" s="43"/>
      <c r="G96" s="43"/>
      <c r="H96" s="44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Z96" s="43"/>
      <c r="AA96" s="43"/>
      <c r="AB96" s="49"/>
      <c r="AC96" s="51"/>
      <c r="AD96" s="51"/>
      <c r="AE96" s="90"/>
      <c r="AF96" s="90"/>
      <c r="AG96" s="51"/>
      <c r="AH96" s="51"/>
      <c r="AI96" s="45"/>
    </row>
    <row r="97" spans="2:35" ht="14.25" customHeight="1" x14ac:dyDescent="0.2">
      <c r="B97" s="43"/>
      <c r="C97" s="53"/>
      <c r="D97" s="43"/>
      <c r="E97" s="43"/>
      <c r="F97" s="43"/>
      <c r="G97" s="43"/>
      <c r="H97" s="44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Z97" s="43"/>
      <c r="AA97" s="43"/>
      <c r="AB97" s="49"/>
      <c r="AC97" s="51"/>
      <c r="AD97" s="51"/>
      <c r="AE97" s="90"/>
      <c r="AF97" s="90"/>
      <c r="AG97" s="51"/>
      <c r="AH97" s="51"/>
      <c r="AI97" s="45"/>
    </row>
    <row r="98" spans="2:35" ht="14.25" customHeight="1" x14ac:dyDescent="0.2">
      <c r="B98" s="43"/>
      <c r="C98" s="53"/>
      <c r="D98" s="43"/>
      <c r="E98" s="43"/>
      <c r="F98" s="43"/>
      <c r="G98" s="43"/>
      <c r="H98" s="44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Z98" s="43"/>
      <c r="AA98" s="43"/>
      <c r="AB98" s="49"/>
      <c r="AC98" s="51"/>
      <c r="AD98" s="51"/>
      <c r="AE98" s="90"/>
      <c r="AF98" s="90"/>
      <c r="AG98" s="51"/>
      <c r="AH98" s="51"/>
      <c r="AI98" s="45"/>
    </row>
    <row r="99" spans="2:35" ht="14.25" customHeight="1" x14ac:dyDescent="0.2">
      <c r="B99" s="43"/>
      <c r="C99" s="53"/>
      <c r="D99" s="43"/>
      <c r="E99" s="43"/>
      <c r="F99" s="43"/>
      <c r="G99" s="43"/>
      <c r="H99" s="44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Z99" s="43"/>
      <c r="AA99" s="43"/>
      <c r="AB99" s="49"/>
      <c r="AC99" s="51"/>
      <c r="AD99" s="51"/>
      <c r="AE99" s="90"/>
      <c r="AF99" s="90"/>
      <c r="AG99" s="51"/>
      <c r="AH99" s="51"/>
      <c r="AI99" s="45"/>
    </row>
    <row r="100" spans="2:35" ht="14.25" customHeight="1" x14ac:dyDescent="0.2">
      <c r="B100" s="43"/>
      <c r="C100" s="53"/>
      <c r="D100" s="43"/>
      <c r="E100" s="43"/>
      <c r="F100" s="43"/>
      <c r="G100" s="43"/>
      <c r="H100" s="44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Z100" s="43"/>
      <c r="AA100" s="43"/>
      <c r="AB100" s="49"/>
      <c r="AC100" s="51"/>
      <c r="AD100" s="51"/>
      <c r="AE100" s="90"/>
      <c r="AF100" s="90"/>
      <c r="AG100" s="51"/>
      <c r="AH100" s="51"/>
      <c r="AI100" s="45"/>
    </row>
    <row r="101" spans="2:35" ht="14.25" customHeight="1" x14ac:dyDescent="0.2">
      <c r="B101" s="43"/>
      <c r="C101" s="53"/>
      <c r="D101" s="43"/>
      <c r="E101" s="43"/>
      <c r="F101" s="43"/>
      <c r="G101" s="43"/>
      <c r="H101" s="4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Z101" s="43"/>
      <c r="AA101" s="43"/>
      <c r="AB101" s="49"/>
      <c r="AC101" s="51"/>
      <c r="AD101" s="51"/>
      <c r="AE101" s="90"/>
      <c r="AF101" s="90"/>
      <c r="AG101" s="51"/>
      <c r="AH101" s="51"/>
      <c r="AI101" s="45"/>
    </row>
    <row r="102" spans="2:35" ht="14.25" customHeight="1" x14ac:dyDescent="0.2">
      <c r="B102" s="43"/>
      <c r="C102" s="53"/>
      <c r="D102" s="43"/>
      <c r="E102" s="43"/>
      <c r="F102" s="43"/>
      <c r="G102" s="43"/>
      <c r="H102" s="44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Z102" s="43"/>
      <c r="AA102" s="43"/>
      <c r="AB102" s="49"/>
      <c r="AC102" s="51"/>
      <c r="AD102" s="51"/>
      <c r="AE102" s="90"/>
      <c r="AF102" s="90"/>
      <c r="AG102" s="51"/>
      <c r="AH102" s="51"/>
      <c r="AI102" s="45"/>
    </row>
    <row r="103" spans="2:35" ht="14.25" customHeight="1" x14ac:dyDescent="0.2">
      <c r="B103" s="43"/>
      <c r="C103" s="53"/>
      <c r="D103" s="43"/>
      <c r="E103" s="43"/>
      <c r="F103" s="43"/>
      <c r="G103" s="43"/>
      <c r="H103" s="44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Z103" s="43"/>
      <c r="AA103" s="43"/>
      <c r="AB103" s="49"/>
      <c r="AC103" s="51"/>
      <c r="AD103" s="51"/>
      <c r="AE103" s="90"/>
      <c r="AF103" s="90"/>
      <c r="AG103" s="51"/>
      <c r="AH103" s="51"/>
      <c r="AI103" s="45"/>
    </row>
    <row r="104" spans="2:35" ht="14.25" customHeight="1" x14ac:dyDescent="0.2">
      <c r="B104" s="43"/>
      <c r="C104" s="53"/>
      <c r="D104" s="43"/>
      <c r="E104" s="43"/>
      <c r="F104" s="43"/>
      <c r="G104" s="43"/>
      <c r="H104" s="44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Z104" s="43"/>
      <c r="AA104" s="43"/>
      <c r="AB104" s="49"/>
      <c r="AC104" s="51"/>
      <c r="AD104" s="51"/>
      <c r="AE104" s="90"/>
      <c r="AF104" s="90"/>
      <c r="AG104" s="51"/>
      <c r="AH104" s="51"/>
      <c r="AI104" s="45"/>
    </row>
    <row r="105" spans="2:35" ht="14.25" customHeight="1" x14ac:dyDescent="0.2">
      <c r="B105" s="43"/>
      <c r="C105" s="53"/>
      <c r="D105" s="43"/>
      <c r="E105" s="43"/>
      <c r="F105" s="43"/>
      <c r="G105" s="43"/>
      <c r="H105" s="44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Z105" s="43"/>
      <c r="AA105" s="43"/>
      <c r="AB105" s="49"/>
      <c r="AC105" s="51"/>
      <c r="AD105" s="51"/>
      <c r="AE105" s="90"/>
      <c r="AF105" s="90"/>
      <c r="AG105" s="51"/>
      <c r="AH105" s="51"/>
      <c r="AI105" s="45"/>
    </row>
    <row r="106" spans="2:35" ht="14.25" customHeight="1" x14ac:dyDescent="0.2">
      <c r="B106" s="43"/>
      <c r="C106" s="53"/>
      <c r="D106" s="43"/>
      <c r="E106" s="43"/>
      <c r="F106" s="43"/>
      <c r="G106" s="43"/>
      <c r="H106" s="44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Z106" s="43"/>
      <c r="AA106" s="43"/>
      <c r="AB106" s="49"/>
      <c r="AC106" s="51"/>
      <c r="AD106" s="51"/>
      <c r="AE106" s="90"/>
      <c r="AF106" s="90"/>
      <c r="AG106" s="51"/>
      <c r="AH106" s="51"/>
      <c r="AI106" s="45"/>
    </row>
    <row r="107" spans="2:35" ht="14.25" customHeight="1" x14ac:dyDescent="0.2">
      <c r="B107" s="43"/>
      <c r="C107" s="53"/>
      <c r="D107" s="43"/>
      <c r="E107" s="43"/>
      <c r="F107" s="43"/>
      <c r="G107" s="43"/>
      <c r="H107" s="44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Z107" s="43"/>
      <c r="AA107" s="43"/>
      <c r="AB107" s="49"/>
      <c r="AC107" s="51"/>
      <c r="AD107" s="51"/>
      <c r="AE107" s="90"/>
      <c r="AF107" s="90"/>
      <c r="AG107" s="51"/>
      <c r="AH107" s="51"/>
      <c r="AI107" s="45"/>
    </row>
    <row r="108" spans="2:35" ht="14.25" customHeight="1" x14ac:dyDescent="0.2">
      <c r="B108" s="43"/>
      <c r="C108" s="53"/>
      <c r="D108" s="43"/>
      <c r="E108" s="43"/>
      <c r="F108" s="43"/>
      <c r="G108" s="43"/>
      <c r="H108" s="44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Z108" s="43"/>
      <c r="AA108" s="43"/>
      <c r="AB108" s="49"/>
      <c r="AC108" s="51"/>
      <c r="AD108" s="51"/>
      <c r="AE108" s="90"/>
      <c r="AF108" s="90"/>
      <c r="AG108" s="51"/>
      <c r="AH108" s="51"/>
      <c r="AI108" s="45"/>
    </row>
    <row r="109" spans="2:35" ht="14.25" customHeight="1" x14ac:dyDescent="0.2">
      <c r="B109" s="43"/>
      <c r="C109" s="53"/>
      <c r="D109" s="43"/>
      <c r="E109" s="43"/>
      <c r="F109" s="43"/>
      <c r="G109" s="43"/>
      <c r="H109" s="44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Z109" s="43"/>
      <c r="AA109" s="43"/>
      <c r="AB109" s="49"/>
      <c r="AC109" s="51"/>
      <c r="AD109" s="51"/>
      <c r="AE109" s="90"/>
      <c r="AF109" s="90"/>
      <c r="AG109" s="51"/>
      <c r="AH109" s="51"/>
      <c r="AI109" s="45"/>
    </row>
    <row r="110" spans="2:35" ht="14.25" customHeight="1" x14ac:dyDescent="0.2">
      <c r="B110" s="43"/>
      <c r="C110" s="53"/>
      <c r="D110" s="43"/>
      <c r="E110" s="43"/>
      <c r="F110" s="43"/>
      <c r="G110" s="43"/>
      <c r="H110" s="44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Z110" s="43"/>
      <c r="AA110" s="43"/>
      <c r="AB110" s="49"/>
      <c r="AC110" s="51"/>
      <c r="AD110" s="51"/>
      <c r="AE110" s="90"/>
      <c r="AF110" s="90"/>
      <c r="AG110" s="51"/>
      <c r="AH110" s="51"/>
      <c r="AI110" s="45"/>
    </row>
    <row r="111" spans="2:35" ht="14.25" customHeight="1" x14ac:dyDescent="0.2">
      <c r="B111" s="43"/>
      <c r="C111" s="53"/>
      <c r="D111" s="43"/>
      <c r="E111" s="43"/>
      <c r="F111" s="43"/>
      <c r="G111" s="43"/>
      <c r="H111" s="44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Z111" s="43"/>
      <c r="AA111" s="43"/>
      <c r="AB111" s="49"/>
      <c r="AC111" s="51"/>
      <c r="AD111" s="51"/>
      <c r="AE111" s="90"/>
      <c r="AF111" s="90"/>
      <c r="AG111" s="51"/>
      <c r="AH111" s="51"/>
      <c r="AI111" s="45"/>
    </row>
    <row r="112" spans="2:35" ht="14.25" customHeight="1" x14ac:dyDescent="0.2">
      <c r="B112" s="43"/>
      <c r="C112" s="53"/>
      <c r="D112" s="43"/>
      <c r="E112" s="43"/>
      <c r="F112" s="43"/>
      <c r="G112" s="43"/>
      <c r="H112" s="44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Z112" s="43"/>
      <c r="AA112" s="43"/>
      <c r="AB112" s="49"/>
      <c r="AC112" s="51"/>
      <c r="AD112" s="51"/>
      <c r="AE112" s="90"/>
      <c r="AF112" s="90"/>
      <c r="AG112" s="51"/>
      <c r="AH112" s="51"/>
      <c r="AI112" s="45"/>
    </row>
    <row r="113" spans="2:35" ht="14.25" customHeight="1" x14ac:dyDescent="0.2">
      <c r="B113" s="43"/>
      <c r="C113" s="53"/>
      <c r="D113" s="43"/>
      <c r="E113" s="43"/>
      <c r="F113" s="43"/>
      <c r="G113" s="43"/>
      <c r="H113" s="44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Z113" s="43"/>
      <c r="AA113" s="43"/>
      <c r="AB113" s="49"/>
      <c r="AC113" s="51"/>
      <c r="AD113" s="51"/>
      <c r="AE113" s="90"/>
      <c r="AF113" s="90"/>
      <c r="AG113" s="51"/>
      <c r="AH113" s="51"/>
      <c r="AI113" s="45"/>
    </row>
    <row r="114" spans="2:35" ht="14.25" customHeight="1" x14ac:dyDescent="0.2">
      <c r="B114" s="43"/>
      <c r="C114" s="53"/>
      <c r="D114" s="43"/>
      <c r="E114" s="43"/>
      <c r="F114" s="43"/>
      <c r="G114" s="43"/>
      <c r="H114" s="44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Z114" s="43"/>
      <c r="AA114" s="43"/>
      <c r="AB114" s="49"/>
      <c r="AC114" s="51"/>
      <c r="AD114" s="51"/>
      <c r="AE114" s="90"/>
      <c r="AF114" s="90"/>
      <c r="AG114" s="51"/>
      <c r="AH114" s="51"/>
      <c r="AI114" s="45"/>
    </row>
    <row r="115" spans="2:35" ht="14.25" customHeight="1" x14ac:dyDescent="0.2">
      <c r="B115" s="43"/>
      <c r="C115" s="53"/>
      <c r="D115" s="43"/>
      <c r="E115" s="43"/>
      <c r="F115" s="43"/>
      <c r="G115" s="43"/>
      <c r="H115" s="44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Z115" s="43"/>
      <c r="AA115" s="43"/>
      <c r="AB115" s="49"/>
      <c r="AC115" s="51"/>
      <c r="AD115" s="51"/>
      <c r="AE115" s="90"/>
      <c r="AF115" s="90"/>
      <c r="AG115" s="51"/>
      <c r="AH115" s="51"/>
      <c r="AI115" s="45"/>
    </row>
    <row r="116" spans="2:35" ht="14.25" customHeight="1" x14ac:dyDescent="0.2">
      <c r="B116" s="43"/>
      <c r="C116" s="53"/>
      <c r="D116" s="43"/>
      <c r="E116" s="43"/>
      <c r="F116" s="43"/>
      <c r="G116" s="43"/>
      <c r="H116" s="44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Z116" s="43"/>
      <c r="AA116" s="43"/>
      <c r="AB116" s="49"/>
      <c r="AC116" s="51"/>
      <c r="AD116" s="51"/>
      <c r="AE116" s="90"/>
      <c r="AF116" s="90"/>
      <c r="AG116" s="51"/>
      <c r="AH116" s="51"/>
      <c r="AI116" s="45"/>
    </row>
    <row r="117" spans="2:35" ht="14.25" customHeight="1" x14ac:dyDescent="0.2">
      <c r="B117" s="43"/>
      <c r="C117" s="53"/>
      <c r="D117" s="43"/>
      <c r="E117" s="43"/>
      <c r="F117" s="43"/>
      <c r="G117" s="43"/>
      <c r="H117" s="44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Z117" s="43"/>
      <c r="AA117" s="43"/>
      <c r="AB117" s="49"/>
      <c r="AC117" s="51"/>
      <c r="AD117" s="51"/>
      <c r="AE117" s="90"/>
      <c r="AF117" s="90"/>
      <c r="AG117" s="51"/>
      <c r="AH117" s="51"/>
      <c r="AI117" s="45"/>
    </row>
    <row r="118" spans="2:35" ht="14.25" customHeight="1" x14ac:dyDescent="0.2">
      <c r="B118" s="43"/>
      <c r="C118" s="53"/>
      <c r="D118" s="43"/>
      <c r="E118" s="43"/>
      <c r="F118" s="43"/>
      <c r="G118" s="43"/>
      <c r="H118" s="44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Z118" s="43"/>
      <c r="AA118" s="43"/>
      <c r="AB118" s="49"/>
      <c r="AC118" s="51"/>
      <c r="AD118" s="51"/>
      <c r="AE118" s="90"/>
      <c r="AF118" s="90"/>
      <c r="AG118" s="51"/>
      <c r="AH118" s="51"/>
      <c r="AI118" s="45"/>
    </row>
    <row r="119" spans="2:35" ht="14.25" customHeight="1" x14ac:dyDescent="0.2">
      <c r="B119" s="43"/>
      <c r="C119" s="53"/>
      <c r="D119" s="43"/>
      <c r="E119" s="43"/>
      <c r="F119" s="43"/>
      <c r="G119" s="43"/>
      <c r="H119" s="44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Z119" s="43"/>
      <c r="AA119" s="43"/>
      <c r="AB119" s="49"/>
      <c r="AC119" s="51"/>
      <c r="AD119" s="51"/>
      <c r="AE119" s="90"/>
      <c r="AF119" s="90"/>
      <c r="AG119" s="51"/>
      <c r="AH119" s="51"/>
      <c r="AI119" s="45"/>
    </row>
    <row r="120" spans="2:35" ht="14.25" customHeight="1" x14ac:dyDescent="0.2">
      <c r="B120" s="43"/>
      <c r="C120" s="53"/>
      <c r="D120" s="43"/>
      <c r="E120" s="43"/>
      <c r="F120" s="43"/>
      <c r="G120" s="43"/>
      <c r="H120" s="44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Z120" s="43"/>
      <c r="AA120" s="43"/>
      <c r="AB120" s="49"/>
      <c r="AC120" s="51"/>
      <c r="AD120" s="51"/>
      <c r="AE120" s="90"/>
      <c r="AF120" s="90"/>
      <c r="AG120" s="51"/>
      <c r="AH120" s="51"/>
      <c r="AI120" s="45"/>
    </row>
    <row r="121" spans="2:35" ht="14.25" customHeight="1" x14ac:dyDescent="0.2">
      <c r="B121" s="43"/>
      <c r="C121" s="53"/>
      <c r="D121" s="43"/>
      <c r="E121" s="43"/>
      <c r="F121" s="43"/>
      <c r="G121" s="43"/>
      <c r="H121" s="44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Z121" s="43"/>
      <c r="AA121" s="43"/>
      <c r="AB121" s="49"/>
      <c r="AC121" s="51"/>
      <c r="AD121" s="51"/>
      <c r="AE121" s="90"/>
      <c r="AF121" s="90"/>
      <c r="AG121" s="51"/>
      <c r="AH121" s="51"/>
      <c r="AI121" s="45"/>
    </row>
    <row r="122" spans="2:35" ht="14.25" customHeight="1" x14ac:dyDescent="0.2">
      <c r="B122" s="43"/>
      <c r="C122" s="53"/>
      <c r="D122" s="43"/>
      <c r="E122" s="43"/>
      <c r="F122" s="43"/>
      <c r="G122" s="43"/>
      <c r="H122" s="44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Z122" s="43"/>
      <c r="AA122" s="43"/>
      <c r="AB122" s="49"/>
      <c r="AC122" s="51"/>
      <c r="AD122" s="51"/>
      <c r="AE122" s="90"/>
      <c r="AF122" s="90"/>
      <c r="AG122" s="51"/>
      <c r="AH122" s="51"/>
      <c r="AI122" s="45"/>
    </row>
    <row r="123" spans="2:35" ht="14.25" customHeight="1" x14ac:dyDescent="0.2">
      <c r="B123" s="43"/>
      <c r="C123" s="53"/>
      <c r="D123" s="43"/>
      <c r="E123" s="43"/>
      <c r="F123" s="43"/>
      <c r="G123" s="43"/>
      <c r="H123" s="44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Z123" s="43"/>
      <c r="AA123" s="43"/>
      <c r="AB123" s="49"/>
      <c r="AC123" s="51"/>
      <c r="AD123" s="51"/>
      <c r="AE123" s="90"/>
      <c r="AF123" s="90"/>
      <c r="AG123" s="51"/>
      <c r="AH123" s="51"/>
      <c r="AI123" s="45"/>
    </row>
    <row r="124" spans="2:35" ht="14.25" customHeight="1" x14ac:dyDescent="0.2">
      <c r="B124" s="43"/>
      <c r="C124" s="53"/>
      <c r="D124" s="43"/>
      <c r="E124" s="43"/>
      <c r="F124" s="43"/>
      <c r="G124" s="43"/>
      <c r="H124" s="44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Z124" s="43"/>
      <c r="AA124" s="43"/>
      <c r="AB124" s="49"/>
      <c r="AC124" s="51"/>
      <c r="AD124" s="51"/>
      <c r="AE124" s="90"/>
      <c r="AF124" s="90"/>
      <c r="AG124" s="51"/>
      <c r="AH124" s="51"/>
      <c r="AI124" s="45"/>
    </row>
    <row r="125" spans="2:35" ht="14.25" customHeight="1" x14ac:dyDescent="0.2">
      <c r="B125" s="43"/>
      <c r="C125" s="53"/>
      <c r="D125" s="43"/>
      <c r="E125" s="43"/>
      <c r="F125" s="43"/>
      <c r="G125" s="43"/>
      <c r="H125" s="44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Z125" s="43"/>
      <c r="AA125" s="43"/>
      <c r="AB125" s="49"/>
      <c r="AC125" s="51"/>
      <c r="AD125" s="51"/>
      <c r="AE125" s="90"/>
      <c r="AF125" s="90"/>
      <c r="AG125" s="51"/>
      <c r="AH125" s="51"/>
      <c r="AI125" s="45"/>
    </row>
    <row r="126" spans="2:35" ht="14.25" customHeight="1" x14ac:dyDescent="0.2">
      <c r="B126" s="43"/>
      <c r="C126" s="53"/>
      <c r="D126" s="43"/>
      <c r="E126" s="43"/>
      <c r="F126" s="43"/>
      <c r="G126" s="43"/>
      <c r="H126" s="44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Z126" s="43"/>
      <c r="AA126" s="43"/>
      <c r="AB126" s="49"/>
      <c r="AC126" s="51"/>
      <c r="AD126" s="51"/>
      <c r="AE126" s="90"/>
      <c r="AF126" s="90"/>
      <c r="AG126" s="51"/>
      <c r="AH126" s="51"/>
      <c r="AI126" s="45"/>
    </row>
    <row r="127" spans="2:35" ht="14.25" customHeight="1" x14ac:dyDescent="0.2">
      <c r="B127" s="43"/>
      <c r="C127" s="53"/>
      <c r="D127" s="43"/>
      <c r="E127" s="43"/>
      <c r="F127" s="43"/>
      <c r="G127" s="43"/>
      <c r="H127" s="44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Z127" s="43"/>
      <c r="AA127" s="43"/>
      <c r="AB127" s="49"/>
      <c r="AC127" s="51"/>
      <c r="AD127" s="51"/>
      <c r="AE127" s="90"/>
      <c r="AF127" s="90"/>
      <c r="AG127" s="51"/>
      <c r="AH127" s="51"/>
      <c r="AI127" s="45"/>
    </row>
    <row r="128" spans="2:35" ht="14.25" customHeight="1" x14ac:dyDescent="0.2">
      <c r="B128" s="43"/>
      <c r="C128" s="53"/>
      <c r="D128" s="43"/>
      <c r="E128" s="43"/>
      <c r="F128" s="43"/>
      <c r="G128" s="43"/>
      <c r="H128" s="44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Z128" s="43"/>
      <c r="AA128" s="43"/>
      <c r="AB128" s="49"/>
      <c r="AC128" s="51"/>
      <c r="AD128" s="51"/>
      <c r="AE128" s="90"/>
      <c r="AF128" s="90"/>
      <c r="AG128" s="51"/>
      <c r="AH128" s="51"/>
      <c r="AI128" s="45"/>
    </row>
    <row r="129" spans="2:35" ht="14.25" customHeight="1" x14ac:dyDescent="0.2">
      <c r="B129" s="43"/>
      <c r="C129" s="53"/>
      <c r="D129" s="43"/>
      <c r="E129" s="43"/>
      <c r="F129" s="43"/>
      <c r="G129" s="43"/>
      <c r="H129" s="44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Z129" s="43"/>
      <c r="AA129" s="43"/>
      <c r="AB129" s="49"/>
      <c r="AC129" s="51"/>
      <c r="AD129" s="51"/>
      <c r="AE129" s="90"/>
      <c r="AF129" s="90"/>
      <c r="AG129" s="51"/>
      <c r="AH129" s="51"/>
      <c r="AI129" s="45"/>
    </row>
    <row r="130" spans="2:35" ht="14.25" customHeight="1" x14ac:dyDescent="0.2">
      <c r="B130" s="43"/>
      <c r="C130" s="53"/>
      <c r="D130" s="43"/>
      <c r="E130" s="43"/>
      <c r="F130" s="43"/>
      <c r="G130" s="43"/>
      <c r="H130" s="44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Z130" s="43"/>
      <c r="AA130" s="43"/>
      <c r="AB130" s="49"/>
      <c r="AC130" s="51"/>
      <c r="AD130" s="51"/>
      <c r="AE130" s="90"/>
      <c r="AF130" s="90"/>
      <c r="AG130" s="51"/>
      <c r="AH130" s="51"/>
      <c r="AI130" s="45"/>
    </row>
    <row r="131" spans="2:35" ht="14.25" customHeight="1" x14ac:dyDescent="0.2">
      <c r="B131" s="43"/>
      <c r="C131" s="53"/>
      <c r="D131" s="43"/>
      <c r="E131" s="43"/>
      <c r="F131" s="43"/>
      <c r="G131" s="43"/>
      <c r="H131" s="44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Z131" s="43"/>
      <c r="AA131" s="43"/>
      <c r="AB131" s="49"/>
      <c r="AC131" s="51"/>
      <c r="AD131" s="51"/>
      <c r="AE131" s="90"/>
      <c r="AF131" s="90"/>
      <c r="AG131" s="51"/>
      <c r="AH131" s="51"/>
      <c r="AI131" s="45"/>
    </row>
    <row r="132" spans="2:35" ht="14.25" customHeight="1" x14ac:dyDescent="0.2">
      <c r="B132" s="43"/>
      <c r="C132" s="53"/>
      <c r="D132" s="43"/>
      <c r="E132" s="43"/>
      <c r="F132" s="43"/>
      <c r="G132" s="43"/>
      <c r="H132" s="44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Z132" s="43"/>
      <c r="AA132" s="43"/>
      <c r="AB132" s="49"/>
      <c r="AC132" s="51"/>
      <c r="AD132" s="51"/>
      <c r="AE132" s="90"/>
      <c r="AF132" s="90"/>
      <c r="AG132" s="51"/>
      <c r="AH132" s="51"/>
      <c r="AI132" s="45"/>
    </row>
    <row r="133" spans="2:35" ht="14.25" customHeight="1" x14ac:dyDescent="0.2">
      <c r="B133" s="43"/>
      <c r="C133" s="53"/>
      <c r="D133" s="43"/>
      <c r="E133" s="43"/>
      <c r="F133" s="43"/>
      <c r="G133" s="43"/>
      <c r="H133" s="44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Z133" s="43"/>
      <c r="AA133" s="43"/>
      <c r="AB133" s="49"/>
      <c r="AC133" s="51"/>
      <c r="AD133" s="51"/>
      <c r="AE133" s="90"/>
      <c r="AF133" s="90"/>
      <c r="AG133" s="51"/>
      <c r="AH133" s="51"/>
      <c r="AI133" s="45"/>
    </row>
    <row r="134" spans="2:35" ht="14.25" customHeight="1" x14ac:dyDescent="0.2">
      <c r="B134" s="43"/>
      <c r="C134" s="53"/>
      <c r="D134" s="43"/>
      <c r="E134" s="43"/>
      <c r="F134" s="43"/>
      <c r="G134" s="43"/>
      <c r="H134" s="44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Z134" s="43"/>
      <c r="AA134" s="43"/>
      <c r="AB134" s="49"/>
      <c r="AC134" s="51"/>
      <c r="AD134" s="51"/>
      <c r="AE134" s="90"/>
      <c r="AF134" s="90"/>
      <c r="AG134" s="51"/>
      <c r="AH134" s="51"/>
      <c r="AI134" s="45"/>
    </row>
    <row r="135" spans="2:35" ht="14.25" customHeight="1" x14ac:dyDescent="0.2">
      <c r="B135" s="43"/>
      <c r="C135" s="53"/>
      <c r="D135" s="43"/>
      <c r="E135" s="43"/>
      <c r="F135" s="43"/>
      <c r="G135" s="43"/>
      <c r="H135" s="44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Z135" s="43"/>
      <c r="AA135" s="43"/>
      <c r="AB135" s="49"/>
      <c r="AC135" s="51"/>
      <c r="AD135" s="51"/>
      <c r="AE135" s="90"/>
      <c r="AF135" s="90"/>
      <c r="AG135" s="51"/>
      <c r="AH135" s="51"/>
      <c r="AI135" s="45"/>
    </row>
    <row r="136" spans="2:35" ht="14.25" customHeight="1" x14ac:dyDescent="0.2">
      <c r="B136" s="43"/>
      <c r="C136" s="53"/>
      <c r="D136" s="43"/>
      <c r="E136" s="43"/>
      <c r="F136" s="43"/>
      <c r="G136" s="43"/>
      <c r="H136" s="44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Z136" s="43"/>
      <c r="AA136" s="43"/>
      <c r="AB136" s="49"/>
      <c r="AC136" s="51"/>
      <c r="AD136" s="51"/>
      <c r="AE136" s="90"/>
      <c r="AF136" s="90"/>
      <c r="AG136" s="51"/>
      <c r="AH136" s="51"/>
      <c r="AI136" s="45"/>
    </row>
    <row r="137" spans="2:35" ht="14.25" customHeight="1" x14ac:dyDescent="0.2">
      <c r="B137" s="43"/>
      <c r="C137" s="53"/>
      <c r="D137" s="43"/>
      <c r="E137" s="43"/>
      <c r="F137" s="43"/>
      <c r="G137" s="43"/>
      <c r="H137" s="44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Z137" s="43"/>
      <c r="AA137" s="43"/>
      <c r="AB137" s="49"/>
      <c r="AC137" s="51"/>
      <c r="AD137" s="51"/>
      <c r="AE137" s="90"/>
      <c r="AF137" s="90"/>
      <c r="AG137" s="51"/>
      <c r="AH137" s="51"/>
      <c r="AI137" s="45"/>
    </row>
    <row r="138" spans="2:35" ht="14.25" customHeight="1" x14ac:dyDescent="0.2">
      <c r="B138" s="43"/>
      <c r="C138" s="53"/>
      <c r="D138" s="43"/>
      <c r="E138" s="43"/>
      <c r="F138" s="43"/>
      <c r="G138" s="43"/>
      <c r="H138" s="44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Z138" s="43"/>
      <c r="AA138" s="43"/>
      <c r="AB138" s="49"/>
      <c r="AC138" s="51"/>
      <c r="AD138" s="51"/>
      <c r="AE138" s="90"/>
      <c r="AF138" s="90"/>
      <c r="AG138" s="51"/>
      <c r="AH138" s="51"/>
      <c r="AI138" s="45"/>
    </row>
    <row r="139" spans="2:35" ht="14.25" customHeight="1" x14ac:dyDescent="0.2">
      <c r="B139" s="43"/>
      <c r="C139" s="53"/>
      <c r="D139" s="43"/>
      <c r="E139" s="43"/>
      <c r="F139" s="43"/>
      <c r="G139" s="43"/>
      <c r="H139" s="44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Z139" s="43"/>
      <c r="AA139" s="43"/>
      <c r="AB139" s="49"/>
      <c r="AC139" s="51"/>
      <c r="AD139" s="51"/>
      <c r="AE139" s="90"/>
      <c r="AF139" s="90"/>
      <c r="AG139" s="51"/>
      <c r="AH139" s="51"/>
      <c r="AI139" s="45"/>
    </row>
    <row r="140" spans="2:35" ht="14.25" customHeight="1" x14ac:dyDescent="0.2">
      <c r="B140" s="43"/>
      <c r="C140" s="53"/>
      <c r="D140" s="43"/>
      <c r="E140" s="43"/>
      <c r="F140" s="43"/>
      <c r="G140" s="43"/>
      <c r="H140" s="44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Z140" s="43"/>
      <c r="AA140" s="43"/>
      <c r="AB140" s="49"/>
      <c r="AC140" s="51"/>
      <c r="AD140" s="51"/>
      <c r="AE140" s="90"/>
      <c r="AF140" s="90"/>
      <c r="AG140" s="51"/>
      <c r="AH140" s="51"/>
      <c r="AI140" s="45"/>
    </row>
    <row r="141" spans="2:35" ht="14.25" customHeight="1" x14ac:dyDescent="0.2">
      <c r="B141" s="43"/>
      <c r="C141" s="53"/>
      <c r="D141" s="43"/>
      <c r="E141" s="43"/>
      <c r="F141" s="43"/>
      <c r="G141" s="43"/>
      <c r="H141" s="44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Z141" s="43"/>
      <c r="AA141" s="43"/>
      <c r="AB141" s="49"/>
      <c r="AC141" s="51"/>
      <c r="AD141" s="51"/>
      <c r="AE141" s="90"/>
      <c r="AF141" s="90"/>
      <c r="AG141" s="51"/>
      <c r="AH141" s="51"/>
      <c r="AI141" s="45"/>
    </row>
    <row r="142" spans="2:35" ht="14.25" customHeight="1" x14ac:dyDescent="0.2">
      <c r="B142" s="43"/>
      <c r="C142" s="53"/>
      <c r="D142" s="43"/>
      <c r="E142" s="43"/>
      <c r="F142" s="43"/>
      <c r="G142" s="43"/>
      <c r="H142" s="44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Z142" s="43"/>
      <c r="AA142" s="43"/>
      <c r="AB142" s="49"/>
      <c r="AC142" s="51"/>
      <c r="AD142" s="51"/>
      <c r="AE142" s="90"/>
      <c r="AF142" s="90"/>
      <c r="AG142" s="51"/>
      <c r="AH142" s="51"/>
      <c r="AI142" s="45"/>
    </row>
    <row r="143" spans="2:35" ht="14.25" customHeight="1" x14ac:dyDescent="0.2">
      <c r="B143" s="43"/>
      <c r="C143" s="53"/>
      <c r="D143" s="43"/>
      <c r="E143" s="43"/>
      <c r="F143" s="43"/>
      <c r="G143" s="43"/>
      <c r="H143" s="44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Z143" s="43"/>
      <c r="AA143" s="43"/>
      <c r="AB143" s="49"/>
      <c r="AC143" s="51"/>
      <c r="AD143" s="51"/>
      <c r="AE143" s="90"/>
      <c r="AF143" s="90"/>
      <c r="AG143" s="51"/>
      <c r="AH143" s="51"/>
      <c r="AI143" s="45"/>
    </row>
    <row r="144" spans="2:35" ht="14.25" customHeight="1" x14ac:dyDescent="0.2">
      <c r="B144" s="43"/>
      <c r="C144" s="53"/>
      <c r="D144" s="43"/>
      <c r="E144" s="43"/>
      <c r="F144" s="43"/>
      <c r="G144" s="43"/>
      <c r="H144" s="44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Z144" s="43"/>
      <c r="AA144" s="43"/>
      <c r="AB144" s="49"/>
      <c r="AC144" s="51"/>
      <c r="AD144" s="51"/>
      <c r="AE144" s="90"/>
      <c r="AF144" s="90"/>
      <c r="AG144" s="51"/>
      <c r="AH144" s="51"/>
      <c r="AI144" s="45"/>
    </row>
    <row r="145" spans="2:35" ht="14.25" customHeight="1" x14ac:dyDescent="0.2">
      <c r="B145" s="43"/>
      <c r="C145" s="53"/>
      <c r="D145" s="43"/>
      <c r="E145" s="43"/>
      <c r="F145" s="43"/>
      <c r="G145" s="43"/>
      <c r="H145" s="44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Z145" s="43"/>
      <c r="AA145" s="43"/>
      <c r="AB145" s="49"/>
      <c r="AC145" s="51"/>
      <c r="AD145" s="51"/>
      <c r="AE145" s="90"/>
      <c r="AF145" s="90"/>
      <c r="AG145" s="51"/>
      <c r="AH145" s="51"/>
      <c r="AI145" s="45"/>
    </row>
    <row r="146" spans="2:35" ht="14.25" customHeight="1" x14ac:dyDescent="0.2">
      <c r="B146" s="43"/>
      <c r="C146" s="53"/>
      <c r="D146" s="43"/>
      <c r="E146" s="43"/>
      <c r="F146" s="43"/>
      <c r="G146" s="43"/>
      <c r="H146" s="44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Z146" s="43"/>
      <c r="AA146" s="43"/>
      <c r="AB146" s="49"/>
      <c r="AC146" s="51"/>
      <c r="AD146" s="51"/>
      <c r="AE146" s="90"/>
      <c r="AF146" s="90"/>
      <c r="AG146" s="51"/>
      <c r="AH146" s="51"/>
      <c r="AI146" s="45"/>
    </row>
    <row r="147" spans="2:35" ht="14.25" customHeight="1" x14ac:dyDescent="0.2">
      <c r="B147" s="43"/>
      <c r="C147" s="53"/>
      <c r="D147" s="43"/>
      <c r="E147" s="43"/>
      <c r="F147" s="43"/>
      <c r="G147" s="43"/>
      <c r="H147" s="44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Z147" s="43"/>
      <c r="AA147" s="43"/>
      <c r="AB147" s="49"/>
      <c r="AC147" s="51"/>
      <c r="AD147" s="51"/>
      <c r="AE147" s="90"/>
      <c r="AF147" s="90"/>
      <c r="AG147" s="51"/>
      <c r="AH147" s="51"/>
      <c r="AI147" s="45"/>
    </row>
    <row r="148" spans="2:35" ht="14.25" customHeight="1" x14ac:dyDescent="0.2">
      <c r="B148" s="43"/>
      <c r="C148" s="53"/>
      <c r="D148" s="43"/>
      <c r="E148" s="43"/>
      <c r="F148" s="43"/>
      <c r="G148" s="43"/>
      <c r="H148" s="44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Z148" s="43"/>
      <c r="AA148" s="43"/>
      <c r="AB148" s="49"/>
      <c r="AC148" s="51"/>
      <c r="AD148" s="51"/>
      <c r="AE148" s="90"/>
      <c r="AF148" s="90"/>
      <c r="AG148" s="51"/>
      <c r="AH148" s="51"/>
      <c r="AI148" s="45"/>
    </row>
    <row r="149" spans="2:35" ht="14.25" customHeight="1" x14ac:dyDescent="0.2">
      <c r="B149" s="43"/>
      <c r="C149" s="53"/>
      <c r="D149" s="43"/>
      <c r="E149" s="43"/>
      <c r="F149" s="43"/>
      <c r="G149" s="43"/>
      <c r="H149" s="44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Z149" s="43"/>
      <c r="AA149" s="43"/>
      <c r="AB149" s="49"/>
      <c r="AC149" s="51"/>
      <c r="AD149" s="51"/>
      <c r="AE149" s="90"/>
      <c r="AF149" s="90"/>
      <c r="AG149" s="51"/>
      <c r="AH149" s="51"/>
      <c r="AI149" s="45"/>
    </row>
    <row r="150" spans="2:35" ht="14.25" customHeight="1" x14ac:dyDescent="0.2">
      <c r="B150" s="43"/>
      <c r="C150" s="53"/>
      <c r="D150" s="43"/>
      <c r="E150" s="43"/>
      <c r="F150" s="43"/>
      <c r="G150" s="43"/>
      <c r="H150" s="44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Z150" s="43"/>
      <c r="AA150" s="43"/>
      <c r="AB150" s="49"/>
      <c r="AC150" s="51"/>
      <c r="AD150" s="51"/>
      <c r="AE150" s="90"/>
      <c r="AF150" s="90"/>
      <c r="AG150" s="51"/>
      <c r="AH150" s="51"/>
      <c r="AI150" s="45"/>
    </row>
    <row r="151" spans="2:35" ht="14.25" customHeight="1" x14ac:dyDescent="0.2">
      <c r="B151" s="43"/>
      <c r="C151" s="53"/>
      <c r="D151" s="43"/>
      <c r="E151" s="43"/>
      <c r="F151" s="43"/>
      <c r="G151" s="43"/>
      <c r="H151" s="44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Z151" s="43"/>
      <c r="AA151" s="43"/>
      <c r="AB151" s="49"/>
      <c r="AC151" s="51"/>
      <c r="AD151" s="51"/>
      <c r="AE151" s="90"/>
      <c r="AF151" s="90"/>
      <c r="AG151" s="51"/>
      <c r="AH151" s="51"/>
      <c r="AI151" s="45"/>
    </row>
    <row r="152" spans="2:35" ht="14.25" customHeight="1" x14ac:dyDescent="0.2">
      <c r="B152" s="43"/>
      <c r="C152" s="53"/>
      <c r="D152" s="43"/>
      <c r="E152" s="43"/>
      <c r="F152" s="43"/>
      <c r="G152" s="43"/>
      <c r="H152" s="44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Z152" s="43"/>
      <c r="AA152" s="43"/>
      <c r="AB152" s="49"/>
      <c r="AC152" s="51"/>
      <c r="AD152" s="51"/>
      <c r="AE152" s="90"/>
      <c r="AF152" s="90"/>
      <c r="AG152" s="51"/>
      <c r="AH152" s="51"/>
      <c r="AI152" s="45"/>
    </row>
    <row r="153" spans="2:35" ht="14.25" customHeight="1" x14ac:dyDescent="0.2">
      <c r="B153" s="43"/>
      <c r="C153" s="53"/>
      <c r="D153" s="43"/>
      <c r="E153" s="43"/>
      <c r="F153" s="43"/>
      <c r="G153" s="43"/>
      <c r="H153" s="44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Z153" s="43"/>
      <c r="AA153" s="43"/>
      <c r="AB153" s="49"/>
      <c r="AC153" s="51"/>
      <c r="AD153" s="51"/>
      <c r="AE153" s="90"/>
      <c r="AF153" s="90"/>
      <c r="AG153" s="51"/>
      <c r="AH153" s="51"/>
      <c r="AI153" s="45"/>
    </row>
    <row r="154" spans="2:35" ht="14.25" customHeight="1" x14ac:dyDescent="0.2">
      <c r="B154" s="43"/>
      <c r="C154" s="53"/>
      <c r="D154" s="43"/>
      <c r="E154" s="43"/>
      <c r="F154" s="43"/>
      <c r="G154" s="43"/>
      <c r="H154" s="44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Z154" s="43"/>
      <c r="AA154" s="43"/>
      <c r="AB154" s="49"/>
      <c r="AC154" s="51"/>
      <c r="AD154" s="51"/>
      <c r="AE154" s="90"/>
      <c r="AF154" s="90"/>
      <c r="AG154" s="51"/>
      <c r="AH154" s="51"/>
      <c r="AI154" s="45"/>
    </row>
    <row r="155" spans="2:35" ht="14.25" customHeight="1" x14ac:dyDescent="0.2">
      <c r="B155" s="43"/>
      <c r="C155" s="53"/>
      <c r="D155" s="43"/>
      <c r="E155" s="43"/>
      <c r="F155" s="43"/>
      <c r="G155" s="43"/>
      <c r="H155" s="44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Z155" s="43"/>
      <c r="AA155" s="43"/>
      <c r="AB155" s="49"/>
      <c r="AC155" s="51"/>
      <c r="AD155" s="51"/>
      <c r="AE155" s="90"/>
      <c r="AF155" s="90"/>
      <c r="AG155" s="51"/>
      <c r="AH155" s="51"/>
      <c r="AI155" s="45"/>
    </row>
    <row r="156" spans="2:35" ht="14.25" customHeight="1" x14ac:dyDescent="0.2">
      <c r="B156" s="43"/>
      <c r="C156" s="53"/>
      <c r="D156" s="43"/>
      <c r="E156" s="43"/>
      <c r="F156" s="43"/>
      <c r="G156" s="43"/>
      <c r="H156" s="44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Z156" s="43"/>
      <c r="AA156" s="43"/>
      <c r="AB156" s="49"/>
      <c r="AC156" s="51"/>
      <c r="AD156" s="51"/>
      <c r="AE156" s="90"/>
      <c r="AF156" s="90"/>
      <c r="AG156" s="51"/>
      <c r="AH156" s="51"/>
      <c r="AI156" s="45"/>
    </row>
    <row r="157" spans="2:35" ht="14.25" customHeight="1" x14ac:dyDescent="0.2">
      <c r="B157" s="43"/>
      <c r="C157" s="53"/>
      <c r="D157" s="43"/>
      <c r="E157" s="43"/>
      <c r="F157" s="43"/>
      <c r="G157" s="43"/>
      <c r="H157" s="44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Z157" s="43"/>
      <c r="AA157" s="43"/>
      <c r="AB157" s="49"/>
      <c r="AC157" s="51"/>
      <c r="AD157" s="51"/>
      <c r="AE157" s="90"/>
      <c r="AF157" s="90"/>
      <c r="AG157" s="51"/>
      <c r="AH157" s="51"/>
      <c r="AI157" s="45"/>
    </row>
    <row r="158" spans="2:35" ht="14.25" customHeight="1" x14ac:dyDescent="0.2">
      <c r="B158" s="43"/>
      <c r="C158" s="53"/>
      <c r="D158" s="43"/>
      <c r="E158" s="43"/>
      <c r="F158" s="43"/>
      <c r="G158" s="43"/>
      <c r="H158" s="44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Z158" s="43"/>
      <c r="AA158" s="43"/>
      <c r="AB158" s="49"/>
      <c r="AC158" s="51"/>
      <c r="AD158" s="51"/>
      <c r="AE158" s="90"/>
      <c r="AF158" s="90"/>
      <c r="AG158" s="51"/>
      <c r="AH158" s="51"/>
      <c r="AI158" s="45"/>
    </row>
    <row r="159" spans="2:35" ht="14.25" customHeight="1" x14ac:dyDescent="0.2">
      <c r="B159" s="43"/>
      <c r="C159" s="53"/>
      <c r="D159" s="43"/>
      <c r="E159" s="43"/>
      <c r="F159" s="43"/>
      <c r="G159" s="43"/>
      <c r="H159" s="44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Z159" s="43"/>
      <c r="AA159" s="43"/>
      <c r="AB159" s="49"/>
      <c r="AC159" s="51"/>
      <c r="AD159" s="51"/>
      <c r="AE159" s="90"/>
      <c r="AF159" s="90"/>
      <c r="AG159" s="51"/>
      <c r="AH159" s="51"/>
      <c r="AI159" s="45"/>
    </row>
    <row r="160" spans="2:35" ht="14.25" customHeight="1" x14ac:dyDescent="0.2">
      <c r="B160" s="43"/>
      <c r="C160" s="53"/>
      <c r="D160" s="43"/>
      <c r="E160" s="43"/>
      <c r="F160" s="43"/>
      <c r="G160" s="43"/>
      <c r="H160" s="44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Z160" s="43"/>
      <c r="AA160" s="43"/>
      <c r="AB160" s="49"/>
      <c r="AC160" s="51"/>
      <c r="AD160" s="51"/>
      <c r="AE160" s="90"/>
      <c r="AF160" s="90"/>
      <c r="AG160" s="51"/>
      <c r="AH160" s="51"/>
      <c r="AI160" s="45"/>
    </row>
    <row r="161" spans="2:35" ht="14.25" customHeight="1" x14ac:dyDescent="0.2">
      <c r="B161" s="43"/>
      <c r="C161" s="53"/>
      <c r="D161" s="43"/>
      <c r="E161" s="43"/>
      <c r="F161" s="43"/>
      <c r="G161" s="43"/>
      <c r="H161" s="44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Z161" s="43"/>
      <c r="AA161" s="43"/>
      <c r="AB161" s="49"/>
      <c r="AC161" s="51"/>
      <c r="AD161" s="51"/>
      <c r="AE161" s="90"/>
      <c r="AF161" s="90"/>
      <c r="AG161" s="51"/>
      <c r="AH161" s="51"/>
      <c r="AI161" s="45"/>
    </row>
    <row r="162" spans="2:35" ht="14.25" customHeight="1" x14ac:dyDescent="0.2">
      <c r="B162" s="43"/>
      <c r="C162" s="53"/>
      <c r="D162" s="43"/>
      <c r="E162" s="43"/>
      <c r="F162" s="43"/>
      <c r="G162" s="43"/>
      <c r="H162" s="44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Z162" s="43"/>
      <c r="AA162" s="43"/>
      <c r="AB162" s="49"/>
      <c r="AC162" s="51"/>
      <c r="AD162" s="51"/>
      <c r="AE162" s="90"/>
      <c r="AF162" s="90"/>
      <c r="AG162" s="51"/>
      <c r="AH162" s="51"/>
      <c r="AI162" s="45"/>
    </row>
    <row r="163" spans="2:35" ht="14.25" customHeight="1" x14ac:dyDescent="0.2">
      <c r="B163" s="43"/>
      <c r="C163" s="53"/>
      <c r="D163" s="43"/>
      <c r="E163" s="43"/>
      <c r="F163" s="43"/>
      <c r="G163" s="43"/>
      <c r="H163" s="44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Z163" s="43"/>
      <c r="AA163" s="43"/>
      <c r="AB163" s="49"/>
      <c r="AC163" s="51"/>
      <c r="AD163" s="51"/>
      <c r="AE163" s="90"/>
      <c r="AF163" s="90"/>
      <c r="AG163" s="51"/>
      <c r="AH163" s="51"/>
      <c r="AI163" s="45"/>
    </row>
    <row r="164" spans="2:35" ht="14.25" customHeight="1" x14ac:dyDescent="0.2">
      <c r="B164" s="43"/>
      <c r="C164" s="53"/>
      <c r="D164" s="43"/>
      <c r="E164" s="43"/>
      <c r="F164" s="43"/>
      <c r="G164" s="43"/>
      <c r="H164" s="44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Z164" s="43"/>
      <c r="AA164" s="43"/>
      <c r="AB164" s="49"/>
      <c r="AC164" s="51"/>
      <c r="AD164" s="51"/>
      <c r="AE164" s="90"/>
      <c r="AF164" s="90"/>
      <c r="AG164" s="51"/>
      <c r="AH164" s="51"/>
      <c r="AI164" s="45"/>
    </row>
    <row r="165" spans="2:35" ht="14.25" customHeight="1" x14ac:dyDescent="0.2">
      <c r="B165" s="43"/>
      <c r="C165" s="53"/>
      <c r="D165" s="43"/>
      <c r="E165" s="43"/>
      <c r="F165" s="43"/>
      <c r="G165" s="43"/>
      <c r="H165" s="44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Z165" s="43"/>
      <c r="AA165" s="43"/>
      <c r="AB165" s="49"/>
      <c r="AC165" s="51"/>
      <c r="AD165" s="51"/>
      <c r="AE165" s="90"/>
      <c r="AF165" s="90"/>
      <c r="AG165" s="51"/>
      <c r="AH165" s="51"/>
      <c r="AI165" s="45"/>
    </row>
    <row r="166" spans="2:35" ht="14.25" customHeight="1" x14ac:dyDescent="0.2">
      <c r="B166" s="43"/>
      <c r="C166" s="53"/>
      <c r="D166" s="43"/>
      <c r="E166" s="43"/>
      <c r="F166" s="43"/>
      <c r="G166" s="43"/>
      <c r="H166" s="44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Z166" s="43"/>
      <c r="AA166" s="43"/>
      <c r="AB166" s="49"/>
      <c r="AC166" s="51"/>
      <c r="AD166" s="51"/>
      <c r="AE166" s="90"/>
      <c r="AF166" s="90"/>
      <c r="AG166" s="51"/>
      <c r="AH166" s="51"/>
      <c r="AI166" s="45"/>
    </row>
    <row r="167" spans="2:35" ht="14.25" customHeight="1" x14ac:dyDescent="0.2">
      <c r="B167" s="43"/>
      <c r="C167" s="53"/>
      <c r="D167" s="43"/>
      <c r="E167" s="43"/>
      <c r="F167" s="43"/>
      <c r="G167" s="43"/>
      <c r="H167" s="44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Z167" s="43"/>
      <c r="AA167" s="43"/>
      <c r="AB167" s="49"/>
      <c r="AC167" s="51"/>
      <c r="AD167" s="51"/>
      <c r="AE167" s="90"/>
      <c r="AF167" s="90"/>
      <c r="AG167" s="51"/>
      <c r="AH167" s="51"/>
      <c r="AI167" s="45"/>
    </row>
    <row r="168" spans="2:35" ht="14.25" customHeight="1" x14ac:dyDescent="0.2">
      <c r="B168" s="43"/>
      <c r="C168" s="53"/>
      <c r="D168" s="43"/>
      <c r="E168" s="43"/>
      <c r="F168" s="43"/>
      <c r="G168" s="43"/>
      <c r="H168" s="44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Z168" s="43"/>
      <c r="AA168" s="43"/>
      <c r="AB168" s="49"/>
      <c r="AC168" s="51"/>
      <c r="AD168" s="51"/>
      <c r="AE168" s="90"/>
      <c r="AF168" s="90"/>
      <c r="AG168" s="51"/>
      <c r="AH168" s="51"/>
      <c r="AI168" s="45"/>
    </row>
    <row r="169" spans="2:35" ht="14.25" customHeight="1" x14ac:dyDescent="0.2">
      <c r="B169" s="43"/>
      <c r="C169" s="53"/>
      <c r="D169" s="43"/>
      <c r="E169" s="43"/>
      <c r="F169" s="43"/>
      <c r="G169" s="43"/>
      <c r="H169" s="44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Z169" s="43"/>
      <c r="AA169" s="43"/>
      <c r="AB169" s="49"/>
      <c r="AC169" s="51"/>
      <c r="AD169" s="51"/>
      <c r="AE169" s="90"/>
      <c r="AF169" s="90"/>
      <c r="AG169" s="51"/>
      <c r="AH169" s="51"/>
      <c r="AI169" s="45"/>
    </row>
    <row r="170" spans="2:35" ht="14.25" customHeight="1" x14ac:dyDescent="0.2">
      <c r="B170" s="43"/>
      <c r="C170" s="53"/>
      <c r="D170" s="43"/>
      <c r="E170" s="43"/>
      <c r="F170" s="43"/>
      <c r="G170" s="43"/>
      <c r="H170" s="44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Z170" s="43"/>
      <c r="AA170" s="43"/>
      <c r="AB170" s="49"/>
      <c r="AC170" s="51"/>
      <c r="AD170" s="51"/>
      <c r="AE170" s="90"/>
      <c r="AF170" s="90"/>
      <c r="AG170" s="51"/>
      <c r="AH170" s="51"/>
      <c r="AI170" s="45"/>
    </row>
    <row r="171" spans="2:35" ht="14.25" customHeight="1" x14ac:dyDescent="0.2">
      <c r="B171" s="43"/>
      <c r="C171" s="53"/>
      <c r="D171" s="43"/>
      <c r="E171" s="43"/>
      <c r="F171" s="43"/>
      <c r="G171" s="43"/>
      <c r="H171" s="44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Z171" s="43"/>
      <c r="AA171" s="43"/>
      <c r="AB171" s="49"/>
      <c r="AC171" s="51"/>
      <c r="AD171" s="51"/>
      <c r="AE171" s="90"/>
      <c r="AF171" s="90"/>
      <c r="AG171" s="51"/>
      <c r="AH171" s="51"/>
      <c r="AI171" s="45"/>
    </row>
    <row r="172" spans="2:35" ht="14.25" customHeight="1" x14ac:dyDescent="0.2">
      <c r="B172" s="43"/>
      <c r="C172" s="53"/>
      <c r="D172" s="43"/>
      <c r="E172" s="43"/>
      <c r="F172" s="43"/>
      <c r="G172" s="43"/>
      <c r="H172" s="44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Z172" s="43"/>
      <c r="AA172" s="43"/>
      <c r="AB172" s="49"/>
      <c r="AC172" s="51"/>
      <c r="AD172" s="51"/>
      <c r="AE172" s="90"/>
      <c r="AF172" s="90"/>
      <c r="AG172" s="51"/>
      <c r="AH172" s="51"/>
      <c r="AI172" s="45"/>
    </row>
    <row r="173" spans="2:35" ht="14.25" customHeight="1" x14ac:dyDescent="0.2">
      <c r="B173" s="43"/>
      <c r="C173" s="53"/>
      <c r="D173" s="43"/>
      <c r="E173" s="43"/>
      <c r="F173" s="43"/>
      <c r="G173" s="43"/>
      <c r="H173" s="44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Z173" s="43"/>
      <c r="AA173" s="43"/>
      <c r="AB173" s="49"/>
      <c r="AC173" s="51"/>
      <c r="AD173" s="51"/>
      <c r="AE173" s="90"/>
      <c r="AF173" s="90"/>
      <c r="AG173" s="51"/>
      <c r="AH173" s="51"/>
      <c r="AI173" s="45"/>
    </row>
    <row r="174" spans="2:35" ht="14.25" customHeight="1" x14ac:dyDescent="0.2">
      <c r="B174" s="43"/>
      <c r="C174" s="53"/>
      <c r="D174" s="43"/>
      <c r="E174" s="43"/>
      <c r="F174" s="43"/>
      <c r="G174" s="43"/>
      <c r="H174" s="44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Z174" s="43"/>
      <c r="AA174" s="43"/>
      <c r="AB174" s="49"/>
      <c r="AC174" s="51"/>
      <c r="AD174" s="51"/>
      <c r="AE174" s="90"/>
      <c r="AF174" s="90"/>
      <c r="AG174" s="51"/>
      <c r="AH174" s="51"/>
      <c r="AI174" s="45"/>
    </row>
    <row r="175" spans="2:35" ht="14.25" customHeight="1" x14ac:dyDescent="0.2">
      <c r="B175" s="43"/>
      <c r="C175" s="53"/>
      <c r="D175" s="43"/>
      <c r="E175" s="43"/>
      <c r="F175" s="43"/>
      <c r="G175" s="43"/>
      <c r="H175" s="44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Z175" s="43"/>
      <c r="AA175" s="43"/>
      <c r="AB175" s="49"/>
      <c r="AC175" s="51"/>
      <c r="AD175" s="51"/>
      <c r="AE175" s="90"/>
      <c r="AF175" s="90"/>
      <c r="AG175" s="51"/>
      <c r="AH175" s="51"/>
      <c r="AI175" s="45"/>
    </row>
    <row r="176" spans="2:35" ht="14.25" customHeight="1" x14ac:dyDescent="0.2">
      <c r="B176" s="43"/>
      <c r="C176" s="53"/>
      <c r="D176" s="43"/>
      <c r="E176" s="43"/>
      <c r="F176" s="43"/>
      <c r="G176" s="43"/>
      <c r="H176" s="44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Z176" s="43"/>
      <c r="AA176" s="43"/>
      <c r="AB176" s="49"/>
      <c r="AC176" s="51"/>
      <c r="AD176" s="51"/>
      <c r="AE176" s="90"/>
      <c r="AF176" s="90"/>
      <c r="AG176" s="51"/>
      <c r="AH176" s="51"/>
      <c r="AI176" s="45"/>
    </row>
    <row r="177" spans="2:35" ht="14.25" customHeight="1" x14ac:dyDescent="0.2">
      <c r="B177" s="43"/>
      <c r="C177" s="53"/>
      <c r="D177" s="43"/>
      <c r="E177" s="43"/>
      <c r="F177" s="43"/>
      <c r="G177" s="43"/>
      <c r="H177" s="44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Z177" s="43"/>
      <c r="AA177" s="43"/>
      <c r="AB177" s="49"/>
      <c r="AC177" s="51"/>
      <c r="AD177" s="51"/>
      <c r="AE177" s="90"/>
      <c r="AF177" s="90"/>
      <c r="AG177" s="51"/>
      <c r="AH177" s="51"/>
      <c r="AI177" s="45"/>
    </row>
    <row r="178" spans="2:35" ht="14.25" customHeight="1" x14ac:dyDescent="0.2">
      <c r="B178" s="43"/>
      <c r="C178" s="53"/>
      <c r="D178" s="43"/>
      <c r="E178" s="43"/>
      <c r="F178" s="43"/>
      <c r="G178" s="43"/>
      <c r="H178" s="44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Z178" s="43"/>
      <c r="AA178" s="43"/>
      <c r="AB178" s="49"/>
      <c r="AC178" s="51"/>
      <c r="AD178" s="51"/>
      <c r="AE178" s="90"/>
      <c r="AF178" s="90"/>
      <c r="AG178" s="51"/>
      <c r="AH178" s="51"/>
      <c r="AI178" s="45"/>
    </row>
    <row r="179" spans="2:35" ht="14.25" customHeight="1" x14ac:dyDescent="0.2">
      <c r="B179" s="43"/>
      <c r="C179" s="53"/>
      <c r="D179" s="43"/>
      <c r="E179" s="43"/>
      <c r="F179" s="43"/>
      <c r="G179" s="43"/>
      <c r="H179" s="44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Z179" s="43"/>
      <c r="AA179" s="43"/>
      <c r="AB179" s="49"/>
      <c r="AC179" s="51"/>
      <c r="AD179" s="51"/>
      <c r="AE179" s="90"/>
      <c r="AF179" s="90"/>
      <c r="AG179" s="51"/>
      <c r="AH179" s="51"/>
      <c r="AI179" s="45"/>
    </row>
    <row r="180" spans="2:35" ht="14.25" customHeight="1" x14ac:dyDescent="0.2">
      <c r="B180" s="43"/>
      <c r="C180" s="53"/>
      <c r="D180" s="43"/>
      <c r="E180" s="43"/>
      <c r="F180" s="43"/>
      <c r="G180" s="43"/>
      <c r="H180" s="44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Z180" s="43"/>
      <c r="AA180" s="43"/>
      <c r="AB180" s="49"/>
      <c r="AC180" s="51"/>
      <c r="AD180" s="51"/>
      <c r="AE180" s="90"/>
      <c r="AF180" s="90"/>
      <c r="AG180" s="51"/>
      <c r="AH180" s="51"/>
      <c r="AI180" s="45"/>
    </row>
    <row r="181" spans="2:35" ht="14.25" customHeight="1" x14ac:dyDescent="0.2">
      <c r="B181" s="43"/>
      <c r="C181" s="53"/>
      <c r="D181" s="43"/>
      <c r="E181" s="43"/>
      <c r="F181" s="43"/>
      <c r="G181" s="43"/>
      <c r="H181" s="44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Z181" s="43"/>
      <c r="AA181" s="43"/>
      <c r="AB181" s="49"/>
      <c r="AC181" s="51"/>
      <c r="AD181" s="51"/>
      <c r="AE181" s="90"/>
      <c r="AF181" s="90"/>
      <c r="AG181" s="51"/>
      <c r="AH181" s="51"/>
      <c r="AI181" s="45"/>
    </row>
    <row r="182" spans="2:35" ht="14.25" customHeight="1" x14ac:dyDescent="0.2">
      <c r="B182" s="43"/>
      <c r="C182" s="53"/>
      <c r="D182" s="43"/>
      <c r="E182" s="43"/>
      <c r="F182" s="43"/>
      <c r="G182" s="43"/>
      <c r="H182" s="44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Z182" s="43"/>
      <c r="AA182" s="43"/>
      <c r="AB182" s="49"/>
      <c r="AC182" s="51"/>
      <c r="AD182" s="51"/>
      <c r="AE182" s="90"/>
      <c r="AF182" s="90"/>
      <c r="AG182" s="51"/>
      <c r="AH182" s="51"/>
      <c r="AI182" s="45"/>
    </row>
    <row r="183" spans="2:35" ht="14.25" customHeight="1" x14ac:dyDescent="0.2">
      <c r="B183" s="43"/>
      <c r="C183" s="53"/>
      <c r="D183" s="43"/>
      <c r="E183" s="43"/>
      <c r="F183" s="43"/>
      <c r="G183" s="43"/>
      <c r="H183" s="44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Z183" s="43"/>
      <c r="AA183" s="43"/>
      <c r="AB183" s="49"/>
      <c r="AC183" s="51"/>
      <c r="AD183" s="51"/>
      <c r="AE183" s="90"/>
      <c r="AF183" s="90"/>
      <c r="AG183" s="51"/>
      <c r="AH183" s="51"/>
      <c r="AI183" s="45"/>
    </row>
    <row r="184" spans="2:35" ht="14.25" customHeight="1" x14ac:dyDescent="0.2">
      <c r="B184" s="43"/>
      <c r="C184" s="53"/>
      <c r="D184" s="43"/>
      <c r="E184" s="43"/>
      <c r="F184" s="43"/>
      <c r="G184" s="43"/>
      <c r="H184" s="44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Z184" s="43"/>
      <c r="AA184" s="43"/>
      <c r="AB184" s="49"/>
      <c r="AC184" s="51"/>
      <c r="AD184" s="51"/>
      <c r="AE184" s="90"/>
      <c r="AF184" s="90"/>
      <c r="AG184" s="51"/>
      <c r="AH184" s="51"/>
      <c r="AI184" s="45"/>
    </row>
    <row r="185" spans="2:35" ht="14.25" customHeight="1" x14ac:dyDescent="0.2">
      <c r="B185" s="43"/>
      <c r="C185" s="53"/>
      <c r="D185" s="43"/>
      <c r="E185" s="43"/>
      <c r="F185" s="43"/>
      <c r="G185" s="43"/>
      <c r="H185" s="44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Z185" s="43"/>
      <c r="AA185" s="43"/>
      <c r="AB185" s="49"/>
      <c r="AC185" s="51"/>
      <c r="AD185" s="51"/>
      <c r="AE185" s="90"/>
      <c r="AF185" s="90"/>
      <c r="AG185" s="51"/>
      <c r="AH185" s="51"/>
      <c r="AI185" s="45"/>
    </row>
    <row r="186" spans="2:35" ht="14.25" customHeight="1" x14ac:dyDescent="0.2">
      <c r="B186" s="43"/>
      <c r="C186" s="53"/>
      <c r="D186" s="43"/>
      <c r="E186" s="43"/>
      <c r="F186" s="43"/>
      <c r="G186" s="43"/>
      <c r="H186" s="44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Z186" s="43"/>
      <c r="AA186" s="43"/>
      <c r="AB186" s="49"/>
      <c r="AC186" s="51"/>
      <c r="AD186" s="51"/>
      <c r="AE186" s="90"/>
      <c r="AF186" s="90"/>
      <c r="AG186" s="51"/>
      <c r="AH186" s="51"/>
      <c r="AI186" s="45"/>
    </row>
    <row r="187" spans="2:35" ht="14.25" customHeight="1" x14ac:dyDescent="0.2">
      <c r="B187" s="43"/>
      <c r="C187" s="53"/>
      <c r="D187" s="43"/>
      <c r="E187" s="43"/>
      <c r="F187" s="43"/>
      <c r="G187" s="43"/>
      <c r="H187" s="44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Z187" s="43"/>
      <c r="AA187" s="43"/>
      <c r="AB187" s="49"/>
      <c r="AC187" s="51"/>
      <c r="AD187" s="51"/>
      <c r="AE187" s="90"/>
      <c r="AF187" s="90"/>
      <c r="AG187" s="51"/>
      <c r="AH187" s="51"/>
      <c r="AI187" s="45"/>
    </row>
    <row r="188" spans="2:35" ht="14.25" customHeight="1" x14ac:dyDescent="0.2">
      <c r="B188" s="43"/>
      <c r="C188" s="53"/>
      <c r="D188" s="43"/>
      <c r="E188" s="43"/>
      <c r="F188" s="43"/>
      <c r="G188" s="43"/>
      <c r="H188" s="44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Z188" s="43"/>
      <c r="AA188" s="43"/>
      <c r="AB188" s="49"/>
      <c r="AC188" s="51"/>
      <c r="AD188" s="51"/>
      <c r="AE188" s="90"/>
      <c r="AF188" s="90"/>
      <c r="AG188" s="51"/>
      <c r="AH188" s="51"/>
      <c r="AI188" s="45"/>
    </row>
    <row r="189" spans="2:35" ht="14.25" customHeight="1" x14ac:dyDescent="0.2">
      <c r="B189" s="43"/>
      <c r="C189" s="53"/>
      <c r="D189" s="43"/>
      <c r="E189" s="43"/>
      <c r="F189" s="43"/>
      <c r="G189" s="43"/>
      <c r="H189" s="44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Z189" s="43"/>
      <c r="AA189" s="43"/>
      <c r="AB189" s="49"/>
      <c r="AC189" s="51"/>
      <c r="AD189" s="51"/>
      <c r="AE189" s="90"/>
      <c r="AF189" s="90"/>
      <c r="AG189" s="51"/>
      <c r="AH189" s="51"/>
      <c r="AI189" s="45"/>
    </row>
    <row r="190" spans="2:35" ht="14.25" customHeight="1" x14ac:dyDescent="0.2">
      <c r="B190" s="43"/>
      <c r="C190" s="53"/>
      <c r="D190" s="43"/>
      <c r="E190" s="43"/>
      <c r="F190" s="43"/>
      <c r="G190" s="43"/>
      <c r="H190" s="44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Z190" s="43"/>
      <c r="AA190" s="43"/>
      <c r="AB190" s="49"/>
      <c r="AC190" s="51"/>
      <c r="AD190" s="51"/>
      <c r="AE190" s="90"/>
      <c r="AF190" s="90"/>
      <c r="AG190" s="51"/>
      <c r="AH190" s="51"/>
      <c r="AI190" s="45"/>
    </row>
    <row r="191" spans="2:35" ht="14.25" customHeight="1" x14ac:dyDescent="0.2">
      <c r="B191" s="43"/>
      <c r="C191" s="53"/>
      <c r="D191" s="43"/>
      <c r="E191" s="43"/>
      <c r="F191" s="43"/>
      <c r="G191" s="43"/>
      <c r="H191" s="44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Z191" s="43"/>
      <c r="AA191" s="43"/>
      <c r="AB191" s="49"/>
      <c r="AC191" s="51"/>
      <c r="AD191" s="51"/>
      <c r="AE191" s="90"/>
      <c r="AF191" s="90"/>
      <c r="AG191" s="51"/>
      <c r="AH191" s="51"/>
      <c r="AI191" s="45"/>
    </row>
    <row r="192" spans="2:35" ht="14.25" customHeight="1" x14ac:dyDescent="0.2">
      <c r="B192" s="43"/>
      <c r="C192" s="53"/>
      <c r="D192" s="43"/>
      <c r="E192" s="43"/>
      <c r="F192" s="43"/>
      <c r="G192" s="43"/>
      <c r="H192" s="44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Z192" s="43"/>
      <c r="AA192" s="43"/>
      <c r="AB192" s="49"/>
      <c r="AC192" s="51"/>
      <c r="AD192" s="51"/>
      <c r="AE192" s="90"/>
      <c r="AF192" s="90"/>
      <c r="AG192" s="51"/>
      <c r="AH192" s="51"/>
      <c r="AI192" s="45"/>
    </row>
    <row r="193" spans="2:35" ht="14.25" customHeight="1" x14ac:dyDescent="0.2">
      <c r="B193" s="43"/>
      <c r="C193" s="53"/>
      <c r="D193" s="43"/>
      <c r="E193" s="43"/>
      <c r="F193" s="43"/>
      <c r="G193" s="43"/>
      <c r="H193" s="44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Z193" s="43"/>
      <c r="AA193" s="43"/>
      <c r="AB193" s="49"/>
      <c r="AC193" s="51"/>
      <c r="AD193" s="51"/>
      <c r="AE193" s="90"/>
      <c r="AF193" s="90"/>
      <c r="AG193" s="51"/>
      <c r="AH193" s="51"/>
      <c r="AI193" s="45"/>
    </row>
    <row r="194" spans="2:35" ht="14.25" customHeight="1" x14ac:dyDescent="0.2">
      <c r="B194" s="43"/>
      <c r="C194" s="53"/>
      <c r="D194" s="43"/>
      <c r="E194" s="43"/>
      <c r="F194" s="43"/>
      <c r="G194" s="43"/>
      <c r="H194" s="44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Z194" s="43"/>
      <c r="AA194" s="43"/>
      <c r="AB194" s="49"/>
      <c r="AC194" s="51"/>
      <c r="AD194" s="51"/>
      <c r="AE194" s="90"/>
      <c r="AF194" s="90"/>
      <c r="AG194" s="51"/>
      <c r="AH194" s="51"/>
      <c r="AI194" s="45"/>
    </row>
    <row r="195" spans="2:35" ht="14.25" customHeight="1" x14ac:dyDescent="0.2">
      <c r="B195" s="43"/>
      <c r="C195" s="53"/>
      <c r="D195" s="43"/>
      <c r="E195" s="43"/>
      <c r="F195" s="43"/>
      <c r="G195" s="43"/>
      <c r="H195" s="44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Z195" s="43"/>
      <c r="AA195" s="43"/>
      <c r="AB195" s="49"/>
      <c r="AC195" s="51"/>
      <c r="AD195" s="51"/>
      <c r="AE195" s="90"/>
      <c r="AF195" s="90"/>
      <c r="AG195" s="51"/>
      <c r="AH195" s="51"/>
      <c r="AI195" s="45"/>
    </row>
    <row r="196" spans="2:35" ht="14.25" customHeight="1" x14ac:dyDescent="0.2">
      <c r="B196" s="43"/>
      <c r="C196" s="53"/>
      <c r="D196" s="43"/>
      <c r="E196" s="43"/>
      <c r="F196" s="43"/>
      <c r="G196" s="43"/>
      <c r="H196" s="44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Z196" s="43"/>
      <c r="AA196" s="43"/>
      <c r="AB196" s="49"/>
      <c r="AC196" s="51"/>
      <c r="AD196" s="51"/>
      <c r="AE196" s="90"/>
      <c r="AF196" s="90"/>
      <c r="AG196" s="51"/>
      <c r="AH196" s="51"/>
      <c r="AI196" s="45"/>
    </row>
    <row r="197" spans="2:35" ht="14.25" customHeight="1" x14ac:dyDescent="0.2">
      <c r="B197" s="43"/>
      <c r="C197" s="53"/>
      <c r="D197" s="43"/>
      <c r="E197" s="43"/>
      <c r="F197" s="43"/>
      <c r="G197" s="43"/>
      <c r="H197" s="44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Z197" s="43"/>
      <c r="AA197" s="43"/>
      <c r="AB197" s="49"/>
      <c r="AC197" s="51"/>
      <c r="AD197" s="51"/>
      <c r="AE197" s="90"/>
      <c r="AF197" s="90"/>
      <c r="AG197" s="51"/>
      <c r="AH197" s="51"/>
      <c r="AI197" s="45"/>
    </row>
    <row r="198" spans="2:35" ht="14.25" customHeight="1" x14ac:dyDescent="0.2">
      <c r="B198" s="43"/>
      <c r="C198" s="53"/>
      <c r="D198" s="43"/>
      <c r="E198" s="43"/>
      <c r="F198" s="43"/>
      <c r="G198" s="43"/>
      <c r="H198" s="44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Z198" s="43"/>
      <c r="AA198" s="43"/>
      <c r="AB198" s="49"/>
      <c r="AC198" s="51"/>
      <c r="AD198" s="51"/>
      <c r="AE198" s="90"/>
      <c r="AF198" s="90"/>
      <c r="AG198" s="51"/>
      <c r="AH198" s="51"/>
      <c r="AI198" s="45"/>
    </row>
    <row r="199" spans="2:35" ht="14.25" customHeight="1" x14ac:dyDescent="0.2">
      <c r="B199" s="43"/>
      <c r="C199" s="53"/>
      <c r="D199" s="43"/>
      <c r="E199" s="43"/>
      <c r="F199" s="43"/>
      <c r="G199" s="43"/>
      <c r="H199" s="44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Z199" s="43"/>
      <c r="AA199" s="43"/>
      <c r="AB199" s="49"/>
      <c r="AC199" s="51"/>
      <c r="AD199" s="51"/>
      <c r="AE199" s="90"/>
      <c r="AF199" s="90"/>
      <c r="AG199" s="51"/>
      <c r="AH199" s="51"/>
      <c r="AI199" s="45"/>
    </row>
    <row r="200" spans="2:35" ht="14.25" customHeight="1" x14ac:dyDescent="0.2">
      <c r="B200" s="43"/>
      <c r="C200" s="53"/>
      <c r="D200" s="43"/>
      <c r="E200" s="43"/>
      <c r="F200" s="43"/>
      <c r="G200" s="43"/>
      <c r="H200" s="44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Z200" s="43"/>
      <c r="AA200" s="43"/>
      <c r="AB200" s="49"/>
      <c r="AC200" s="51"/>
      <c r="AD200" s="51"/>
      <c r="AE200" s="90"/>
      <c r="AF200" s="90"/>
      <c r="AG200" s="51"/>
      <c r="AH200" s="51"/>
      <c r="AI200" s="45"/>
    </row>
    <row r="201" spans="2:35" ht="14.25" customHeight="1" x14ac:dyDescent="0.2">
      <c r="B201" s="43"/>
      <c r="C201" s="53"/>
      <c r="D201" s="43"/>
      <c r="E201" s="43"/>
      <c r="F201" s="43"/>
      <c r="G201" s="43"/>
      <c r="H201" s="44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Z201" s="43"/>
      <c r="AA201" s="43"/>
      <c r="AB201" s="49"/>
      <c r="AC201" s="51"/>
      <c r="AD201" s="51"/>
      <c r="AE201" s="90"/>
      <c r="AF201" s="90"/>
      <c r="AG201" s="51"/>
      <c r="AH201" s="51"/>
      <c r="AI201" s="45"/>
    </row>
    <row r="202" spans="2:35" ht="14.25" customHeight="1" x14ac:dyDescent="0.2">
      <c r="B202" s="43"/>
      <c r="C202" s="53"/>
      <c r="D202" s="43"/>
      <c r="E202" s="43"/>
      <c r="F202" s="43"/>
      <c r="G202" s="43"/>
      <c r="H202" s="44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Z202" s="43"/>
      <c r="AA202" s="43"/>
      <c r="AB202" s="49"/>
      <c r="AC202" s="51"/>
      <c r="AD202" s="51"/>
      <c r="AE202" s="90"/>
      <c r="AF202" s="90"/>
      <c r="AG202" s="51"/>
      <c r="AH202" s="51"/>
      <c r="AI202" s="45"/>
    </row>
    <row r="203" spans="2:35" ht="14.25" customHeight="1" x14ac:dyDescent="0.2">
      <c r="B203" s="43"/>
      <c r="C203" s="53"/>
      <c r="D203" s="43"/>
      <c r="E203" s="43"/>
      <c r="F203" s="43"/>
      <c r="G203" s="43"/>
      <c r="H203" s="44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Z203" s="43"/>
      <c r="AA203" s="43"/>
      <c r="AB203" s="49"/>
      <c r="AC203" s="51"/>
      <c r="AD203" s="51"/>
      <c r="AE203" s="90"/>
      <c r="AF203" s="90"/>
      <c r="AG203" s="51"/>
      <c r="AH203" s="51"/>
      <c r="AI203" s="45"/>
    </row>
    <row r="204" spans="2:35" x14ac:dyDescent="0.2">
      <c r="Q204" s="43"/>
      <c r="R204" s="43"/>
      <c r="S204" s="43"/>
    </row>
    <row r="205" spans="2:35" x14ac:dyDescent="0.2">
      <c r="Q205" s="43"/>
      <c r="R205" s="43"/>
      <c r="S205" s="43"/>
    </row>
    <row r="206" spans="2:35" x14ac:dyDescent="0.2">
      <c r="Q206" s="43"/>
      <c r="R206" s="43"/>
      <c r="S206" s="43"/>
    </row>
    <row r="207" spans="2:35" x14ac:dyDescent="0.2">
      <c r="Q207" s="43"/>
      <c r="R207" s="43"/>
      <c r="S207" s="43"/>
    </row>
    <row r="208" spans="2:35" x14ac:dyDescent="0.2">
      <c r="Q208" s="43"/>
      <c r="R208" s="43"/>
      <c r="S208" s="43"/>
    </row>
    <row r="209" spans="17:19" x14ac:dyDescent="0.2">
      <c r="Q209" s="43"/>
      <c r="R209" s="43"/>
      <c r="S209" s="43"/>
    </row>
    <row r="210" spans="17:19" x14ac:dyDescent="0.2">
      <c r="Q210" s="43"/>
      <c r="R210" s="43"/>
      <c r="S210" s="43"/>
    </row>
    <row r="211" spans="17:19" x14ac:dyDescent="0.2">
      <c r="Q211" s="43"/>
      <c r="R211" s="43"/>
      <c r="S211" s="43"/>
    </row>
    <row r="212" spans="17:19" x14ac:dyDescent="0.2">
      <c r="Q212" s="43"/>
      <c r="R212" s="43"/>
      <c r="S212" s="43"/>
    </row>
    <row r="213" spans="17:19" x14ac:dyDescent="0.2">
      <c r="Q213" s="43"/>
      <c r="R213" s="43"/>
      <c r="S213" s="43"/>
    </row>
    <row r="214" spans="17:19" x14ac:dyDescent="0.2">
      <c r="Q214" s="43"/>
      <c r="R214" s="43"/>
      <c r="S214" s="43"/>
    </row>
    <row r="215" spans="17:19" x14ac:dyDescent="0.2">
      <c r="Q215" s="43"/>
      <c r="R215" s="43"/>
      <c r="S215" s="43"/>
    </row>
    <row r="216" spans="17:19" x14ac:dyDescent="0.2">
      <c r="Q216" s="43"/>
      <c r="R216" s="43"/>
      <c r="S216" s="43"/>
    </row>
    <row r="217" spans="17:19" x14ac:dyDescent="0.2">
      <c r="Q217" s="43"/>
      <c r="R217" s="43"/>
      <c r="S217" s="43"/>
    </row>
    <row r="218" spans="17:19" x14ac:dyDescent="0.2">
      <c r="Q218" s="43"/>
      <c r="R218" s="43"/>
      <c r="S218" s="43"/>
    </row>
    <row r="219" spans="17:19" x14ac:dyDescent="0.2">
      <c r="Q219" s="43"/>
      <c r="R219" s="43"/>
      <c r="S219" s="43"/>
    </row>
    <row r="220" spans="17:19" x14ac:dyDescent="0.2">
      <c r="Q220" s="43"/>
      <c r="R220" s="43"/>
      <c r="S220" s="43"/>
    </row>
    <row r="221" spans="17:19" x14ac:dyDescent="0.2">
      <c r="Q221" s="43"/>
      <c r="R221" s="43"/>
      <c r="S221" s="43"/>
    </row>
    <row r="222" spans="17:19" x14ac:dyDescent="0.2">
      <c r="Q222" s="43"/>
      <c r="R222" s="43"/>
      <c r="S222" s="43"/>
    </row>
    <row r="223" spans="17:19" x14ac:dyDescent="0.2">
      <c r="Q223" s="43"/>
      <c r="R223" s="43"/>
      <c r="S223" s="43"/>
    </row>
    <row r="224" spans="17:19" x14ac:dyDescent="0.2">
      <c r="Q224" s="43"/>
      <c r="R224" s="43"/>
      <c r="S224" s="43"/>
    </row>
    <row r="225" spans="17:19" x14ac:dyDescent="0.2">
      <c r="Q225" s="43"/>
      <c r="R225" s="43"/>
      <c r="S225" s="43"/>
    </row>
    <row r="226" spans="17:19" x14ac:dyDescent="0.2">
      <c r="Q226" s="43"/>
      <c r="R226" s="43"/>
      <c r="S226" s="43"/>
    </row>
    <row r="227" spans="17:19" x14ac:dyDescent="0.2">
      <c r="Q227" s="43"/>
      <c r="R227" s="43"/>
      <c r="S227" s="43"/>
    </row>
    <row r="228" spans="17:19" x14ac:dyDescent="0.2">
      <c r="Q228" s="43"/>
      <c r="R228" s="43"/>
      <c r="S228" s="43"/>
    </row>
    <row r="229" spans="17:19" x14ac:dyDescent="0.2">
      <c r="Q229" s="43"/>
      <c r="R229" s="43"/>
      <c r="S229" s="43"/>
    </row>
    <row r="230" spans="17:19" x14ac:dyDescent="0.2">
      <c r="Q230" s="43"/>
      <c r="R230" s="43"/>
      <c r="S230" s="43"/>
    </row>
    <row r="231" spans="17:19" x14ac:dyDescent="0.2">
      <c r="Q231" s="43"/>
      <c r="R231" s="43"/>
      <c r="S231" s="43"/>
    </row>
    <row r="232" spans="17:19" x14ac:dyDescent="0.2">
      <c r="Q232" s="43"/>
      <c r="R232" s="43"/>
      <c r="S232" s="43"/>
    </row>
    <row r="233" spans="17:19" x14ac:dyDescent="0.2">
      <c r="Q233" s="43"/>
      <c r="R233" s="43"/>
      <c r="S233" s="43"/>
    </row>
    <row r="234" spans="17:19" x14ac:dyDescent="0.2">
      <c r="Q234" s="43"/>
      <c r="R234" s="43"/>
      <c r="S234" s="43"/>
    </row>
    <row r="235" spans="17:19" x14ac:dyDescent="0.2">
      <c r="Q235" s="43"/>
      <c r="R235" s="43"/>
      <c r="S235" s="43"/>
    </row>
    <row r="236" spans="17:19" x14ac:dyDescent="0.2">
      <c r="Q236" s="43"/>
      <c r="R236" s="43"/>
      <c r="S236" s="43"/>
    </row>
    <row r="237" spans="17:19" x14ac:dyDescent="0.2">
      <c r="Q237" s="43"/>
      <c r="R237" s="43"/>
      <c r="S237" s="43"/>
    </row>
    <row r="238" spans="17:19" x14ac:dyDescent="0.2">
      <c r="Q238" s="43"/>
      <c r="R238" s="43"/>
      <c r="S238" s="43"/>
    </row>
    <row r="239" spans="17:19" x14ac:dyDescent="0.2">
      <c r="Q239" s="43"/>
      <c r="R239" s="43"/>
      <c r="S239" s="43"/>
    </row>
    <row r="240" spans="17:19" x14ac:dyDescent="0.2">
      <c r="Q240" s="43"/>
      <c r="R240" s="43"/>
      <c r="S240" s="43"/>
    </row>
    <row r="241" spans="17:19" x14ac:dyDescent="0.2">
      <c r="Q241" s="43"/>
      <c r="R241" s="43"/>
      <c r="S241" s="43"/>
    </row>
    <row r="242" spans="17:19" x14ac:dyDescent="0.2">
      <c r="Q242" s="43"/>
      <c r="R242" s="43"/>
      <c r="S242" s="43"/>
    </row>
    <row r="243" spans="17:19" x14ac:dyDescent="0.2">
      <c r="Q243" s="43"/>
      <c r="R243" s="43"/>
      <c r="S243" s="43"/>
    </row>
    <row r="244" spans="17:19" x14ac:dyDescent="0.2">
      <c r="Q244" s="43"/>
      <c r="R244" s="43"/>
      <c r="S244" s="43"/>
    </row>
    <row r="245" spans="17:19" x14ac:dyDescent="0.2">
      <c r="Q245" s="43"/>
      <c r="R245" s="43"/>
      <c r="S245" s="43"/>
    </row>
    <row r="246" spans="17:19" x14ac:dyDescent="0.2">
      <c r="Q246" s="43"/>
      <c r="R246" s="43"/>
      <c r="S246" s="43"/>
    </row>
    <row r="247" spans="17:19" x14ac:dyDescent="0.2">
      <c r="Q247" s="43"/>
      <c r="R247" s="43"/>
      <c r="S247" s="43"/>
    </row>
    <row r="248" spans="17:19" x14ac:dyDescent="0.2">
      <c r="Q248" s="43"/>
      <c r="R248" s="43"/>
      <c r="S248" s="43"/>
    </row>
    <row r="249" spans="17:19" x14ac:dyDescent="0.2">
      <c r="Q249" s="43"/>
      <c r="R249" s="43"/>
      <c r="S249" s="43"/>
    </row>
    <row r="250" spans="17:19" x14ac:dyDescent="0.2">
      <c r="Q250" s="43"/>
      <c r="R250" s="43"/>
      <c r="S250" s="43"/>
    </row>
    <row r="251" spans="17:19" x14ac:dyDescent="0.2">
      <c r="Q251" s="43"/>
      <c r="R251" s="43"/>
      <c r="S251" s="43"/>
    </row>
    <row r="252" spans="17:19" x14ac:dyDescent="0.2">
      <c r="Q252" s="43"/>
      <c r="R252" s="43"/>
      <c r="S252" s="43"/>
    </row>
    <row r="253" spans="17:19" x14ac:dyDescent="0.2">
      <c r="Q253" s="43"/>
      <c r="R253" s="43"/>
      <c r="S253" s="43"/>
    </row>
    <row r="254" spans="17:19" x14ac:dyDescent="0.2">
      <c r="Q254" s="43"/>
      <c r="R254" s="43"/>
      <c r="S254" s="43"/>
    </row>
    <row r="255" spans="17:19" x14ac:dyDescent="0.2">
      <c r="Q255" s="43"/>
      <c r="R255" s="43"/>
      <c r="S255" s="43"/>
    </row>
    <row r="256" spans="17:19" x14ac:dyDescent="0.2">
      <c r="Q256" s="43"/>
      <c r="R256" s="43"/>
      <c r="S256" s="43"/>
    </row>
    <row r="257" spans="17:19" x14ac:dyDescent="0.2">
      <c r="Q257" s="43"/>
      <c r="R257" s="43"/>
      <c r="S257" s="43"/>
    </row>
    <row r="258" spans="17:19" x14ac:dyDescent="0.2">
      <c r="Q258" s="43"/>
      <c r="R258" s="43"/>
      <c r="S258" s="43"/>
    </row>
    <row r="259" spans="17:19" x14ac:dyDescent="0.2">
      <c r="Q259" s="43"/>
      <c r="R259" s="43"/>
      <c r="S259" s="43"/>
    </row>
    <row r="260" spans="17:19" x14ac:dyDescent="0.2">
      <c r="Q260" s="43"/>
      <c r="R260" s="43"/>
      <c r="S260" s="43"/>
    </row>
    <row r="261" spans="17:19" x14ac:dyDescent="0.2">
      <c r="Q261" s="43"/>
      <c r="R261" s="43"/>
      <c r="S261" s="43"/>
    </row>
    <row r="262" spans="17:19" x14ac:dyDescent="0.2">
      <c r="Q262" s="43"/>
      <c r="R262" s="43"/>
      <c r="S262" s="43"/>
    </row>
    <row r="263" spans="17:19" x14ac:dyDescent="0.2">
      <c r="Q263" s="43"/>
      <c r="R263" s="43"/>
      <c r="S263" s="43"/>
    </row>
    <row r="264" spans="17:19" x14ac:dyDescent="0.2">
      <c r="Q264" s="43"/>
      <c r="R264" s="43"/>
      <c r="S264" s="43"/>
    </row>
    <row r="265" spans="17:19" x14ac:dyDescent="0.2">
      <c r="Q265" s="43"/>
      <c r="R265" s="43"/>
      <c r="S265" s="43"/>
    </row>
    <row r="266" spans="17:19" x14ac:dyDescent="0.2">
      <c r="Q266" s="43"/>
      <c r="R266" s="43"/>
      <c r="S266" s="43"/>
    </row>
    <row r="267" spans="17:19" x14ac:dyDescent="0.2">
      <c r="Q267" s="43"/>
      <c r="R267" s="43"/>
      <c r="S267" s="43"/>
    </row>
    <row r="268" spans="17:19" x14ac:dyDescent="0.2">
      <c r="Q268" s="43"/>
      <c r="R268" s="43"/>
      <c r="S268" s="43"/>
    </row>
    <row r="269" spans="17:19" x14ac:dyDescent="0.2">
      <c r="Q269" s="43"/>
      <c r="R269" s="43"/>
      <c r="S269" s="43"/>
    </row>
    <row r="270" spans="17:19" x14ac:dyDescent="0.2">
      <c r="Q270" s="43"/>
      <c r="R270" s="43"/>
      <c r="S270" s="43"/>
    </row>
    <row r="271" spans="17:19" x14ac:dyDescent="0.2">
      <c r="Q271" s="43"/>
      <c r="R271" s="43"/>
      <c r="S271" s="43"/>
    </row>
    <row r="272" spans="17:19" x14ac:dyDescent="0.2">
      <c r="Q272" s="43"/>
      <c r="R272" s="43"/>
      <c r="S272" s="43"/>
    </row>
    <row r="273" spans="17:19" x14ac:dyDescent="0.2">
      <c r="Q273" s="43"/>
      <c r="R273" s="43"/>
      <c r="S273" s="43"/>
    </row>
    <row r="274" spans="17:19" x14ac:dyDescent="0.2">
      <c r="Q274" s="43"/>
      <c r="R274" s="43"/>
      <c r="S274" s="43"/>
    </row>
    <row r="275" spans="17:19" x14ac:dyDescent="0.2">
      <c r="Q275" s="43"/>
      <c r="R275" s="43"/>
      <c r="S275" s="43"/>
    </row>
    <row r="276" spans="17:19" x14ac:dyDescent="0.2">
      <c r="Q276" s="43"/>
      <c r="R276" s="43"/>
      <c r="S276" s="43"/>
    </row>
    <row r="277" spans="17:19" x14ac:dyDescent="0.2">
      <c r="Q277" s="43"/>
      <c r="R277" s="43"/>
      <c r="S277" s="43"/>
    </row>
    <row r="278" spans="17:19" x14ac:dyDescent="0.2">
      <c r="Q278" s="43"/>
      <c r="R278" s="43"/>
      <c r="S278" s="43"/>
    </row>
    <row r="279" spans="17:19" x14ac:dyDescent="0.2">
      <c r="Q279" s="43"/>
      <c r="R279" s="43"/>
      <c r="S279" s="43"/>
    </row>
    <row r="280" spans="17:19" x14ac:dyDescent="0.2">
      <c r="Q280" s="43"/>
      <c r="R280" s="43"/>
      <c r="S280" s="43"/>
    </row>
    <row r="281" spans="17:19" x14ac:dyDescent="0.2">
      <c r="Q281" s="43"/>
      <c r="R281" s="43"/>
      <c r="S281" s="43"/>
    </row>
    <row r="282" spans="17:19" x14ac:dyDescent="0.2">
      <c r="Q282" s="43"/>
      <c r="R282" s="43"/>
      <c r="S282" s="43"/>
    </row>
    <row r="283" spans="17:19" x14ac:dyDescent="0.2">
      <c r="Q283" s="43"/>
      <c r="R283" s="43"/>
      <c r="S283" s="43"/>
    </row>
    <row r="284" spans="17:19" x14ac:dyDescent="0.2">
      <c r="Q284" s="43"/>
      <c r="R284" s="43"/>
      <c r="S284" s="43"/>
    </row>
    <row r="285" spans="17:19" x14ac:dyDescent="0.2">
      <c r="Q285" s="43"/>
      <c r="R285" s="43"/>
      <c r="S285" s="43"/>
    </row>
    <row r="286" spans="17:19" x14ac:dyDescent="0.2">
      <c r="Q286" s="43"/>
      <c r="R286" s="43"/>
      <c r="S286" s="43"/>
    </row>
    <row r="287" spans="17:19" x14ac:dyDescent="0.2">
      <c r="Q287" s="43"/>
      <c r="R287" s="43"/>
      <c r="S287" s="43"/>
    </row>
    <row r="288" spans="17:19" x14ac:dyDescent="0.2">
      <c r="Q288" s="43"/>
      <c r="R288" s="43"/>
      <c r="S288" s="43"/>
    </row>
    <row r="289" spans="17:19" x14ac:dyDescent="0.2">
      <c r="Q289" s="43"/>
      <c r="R289" s="43"/>
      <c r="S289" s="43"/>
    </row>
    <row r="290" spans="17:19" x14ac:dyDescent="0.2">
      <c r="Q290" s="43"/>
      <c r="R290" s="43"/>
      <c r="S290" s="43"/>
    </row>
    <row r="291" spans="17:19" x14ac:dyDescent="0.2">
      <c r="Q291" s="43"/>
      <c r="R291" s="43"/>
      <c r="S291" s="43"/>
    </row>
    <row r="292" spans="17:19" x14ac:dyDescent="0.2">
      <c r="Q292" s="43"/>
      <c r="R292" s="43"/>
      <c r="S292" s="43"/>
    </row>
    <row r="293" spans="17:19" x14ac:dyDescent="0.2">
      <c r="Q293" s="43"/>
      <c r="R293" s="43"/>
      <c r="S293" s="43"/>
    </row>
    <row r="294" spans="17:19" x14ac:dyDescent="0.2">
      <c r="Q294" s="43"/>
      <c r="R294" s="43"/>
      <c r="S294" s="43"/>
    </row>
    <row r="295" spans="17:19" x14ac:dyDescent="0.2">
      <c r="Q295" s="43"/>
      <c r="R295" s="43"/>
      <c r="S295" s="43"/>
    </row>
    <row r="296" spans="17:19" x14ac:dyDescent="0.2">
      <c r="Q296" s="43"/>
      <c r="R296" s="43"/>
      <c r="S296" s="43"/>
    </row>
    <row r="297" spans="17:19" x14ac:dyDescent="0.2">
      <c r="Q297" s="43"/>
      <c r="R297" s="43"/>
      <c r="S297" s="43"/>
    </row>
    <row r="298" spans="17:19" x14ac:dyDescent="0.2">
      <c r="Q298" s="43"/>
      <c r="R298" s="43"/>
      <c r="S298" s="43"/>
    </row>
    <row r="299" spans="17:19" x14ac:dyDescent="0.2">
      <c r="Q299" s="43"/>
      <c r="R299" s="43"/>
      <c r="S299" s="43"/>
    </row>
    <row r="300" spans="17:19" x14ac:dyDescent="0.2">
      <c r="Q300" s="43"/>
      <c r="R300" s="43"/>
      <c r="S300" s="43"/>
    </row>
    <row r="301" spans="17:19" x14ac:dyDescent="0.2">
      <c r="Q301" s="43"/>
      <c r="R301" s="43"/>
      <c r="S301" s="43"/>
    </row>
    <row r="302" spans="17:19" x14ac:dyDescent="0.2">
      <c r="Q302" s="43"/>
      <c r="R302" s="43"/>
      <c r="S302" s="43"/>
    </row>
    <row r="303" spans="17:19" x14ac:dyDescent="0.2">
      <c r="Q303" s="43"/>
      <c r="R303" s="43"/>
      <c r="S303" s="43"/>
    </row>
    <row r="304" spans="17:19" x14ac:dyDescent="0.2">
      <c r="Q304" s="43"/>
      <c r="R304" s="43"/>
      <c r="S304" s="43"/>
    </row>
    <row r="305" spans="17:19" x14ac:dyDescent="0.2">
      <c r="Q305" s="43"/>
      <c r="R305" s="43"/>
      <c r="S305" s="43"/>
    </row>
    <row r="306" spans="17:19" x14ac:dyDescent="0.2">
      <c r="Q306" s="43"/>
      <c r="R306" s="43"/>
      <c r="S306" s="43"/>
    </row>
    <row r="307" spans="17:19" x14ac:dyDescent="0.2">
      <c r="Q307" s="43"/>
      <c r="R307" s="43"/>
      <c r="S307" s="43"/>
    </row>
    <row r="308" spans="17:19" x14ac:dyDescent="0.2">
      <c r="Q308" s="43"/>
      <c r="R308" s="43"/>
      <c r="S308" s="43"/>
    </row>
    <row r="309" spans="17:19" x14ac:dyDescent="0.2">
      <c r="Q309" s="43"/>
      <c r="R309" s="43"/>
      <c r="S309" s="43"/>
    </row>
    <row r="310" spans="17:19" x14ac:dyDescent="0.2">
      <c r="Q310" s="43"/>
      <c r="R310" s="43"/>
      <c r="S310" s="43"/>
    </row>
    <row r="311" spans="17:19" x14ac:dyDescent="0.2">
      <c r="Q311" s="43"/>
      <c r="R311" s="43"/>
      <c r="S311" s="43"/>
    </row>
    <row r="312" spans="17:19" x14ac:dyDescent="0.2">
      <c r="Q312" s="43"/>
      <c r="R312" s="43"/>
      <c r="S312" s="43"/>
    </row>
    <row r="313" spans="17:19" x14ac:dyDescent="0.2">
      <c r="Q313" s="43"/>
      <c r="R313" s="43"/>
      <c r="S313" s="43"/>
    </row>
    <row r="314" spans="17:19" x14ac:dyDescent="0.2">
      <c r="Q314" s="43"/>
      <c r="R314" s="43"/>
      <c r="S314" s="43"/>
    </row>
    <row r="315" spans="17:19" x14ac:dyDescent="0.2">
      <c r="Q315" s="43"/>
      <c r="R315" s="43"/>
      <c r="S315" s="43"/>
    </row>
    <row r="316" spans="17:19" x14ac:dyDescent="0.2">
      <c r="Q316" s="43"/>
      <c r="R316" s="43"/>
      <c r="S316" s="43"/>
    </row>
    <row r="317" spans="17:19" x14ac:dyDescent="0.2">
      <c r="Q317" s="43"/>
      <c r="R317" s="43"/>
      <c r="S317" s="43"/>
    </row>
    <row r="318" spans="17:19" x14ac:dyDescent="0.2">
      <c r="Q318" s="43"/>
      <c r="R318" s="43"/>
      <c r="S318" s="43"/>
    </row>
    <row r="319" spans="17:19" x14ac:dyDescent="0.2">
      <c r="Q319" s="43"/>
      <c r="R319" s="43"/>
      <c r="S319" s="43"/>
    </row>
    <row r="320" spans="17:19" x14ac:dyDescent="0.2">
      <c r="Q320" s="43"/>
      <c r="R320" s="43"/>
      <c r="S320" s="43"/>
    </row>
    <row r="321" spans="17:19" x14ac:dyDescent="0.2">
      <c r="Q321" s="43"/>
      <c r="R321" s="43"/>
      <c r="S321" s="43"/>
    </row>
    <row r="322" spans="17:19" x14ac:dyDescent="0.2">
      <c r="Q322" s="43"/>
      <c r="R322" s="43"/>
      <c r="S322" s="43"/>
    </row>
    <row r="323" spans="17:19" x14ac:dyDescent="0.2">
      <c r="Q323" s="43"/>
      <c r="R323" s="43"/>
      <c r="S323" s="43"/>
    </row>
    <row r="324" spans="17:19" x14ac:dyDescent="0.2">
      <c r="Q324" s="43"/>
      <c r="R324" s="43"/>
      <c r="S324" s="43"/>
    </row>
    <row r="325" spans="17:19" x14ac:dyDescent="0.2">
      <c r="Q325" s="43"/>
      <c r="R325" s="43"/>
      <c r="S325" s="43"/>
    </row>
    <row r="326" spans="17:19" x14ac:dyDescent="0.2">
      <c r="Q326" s="43"/>
      <c r="R326" s="43"/>
      <c r="S326" s="43"/>
    </row>
    <row r="327" spans="17:19" x14ac:dyDescent="0.2">
      <c r="Q327" s="43"/>
      <c r="R327" s="43"/>
      <c r="S327" s="43"/>
    </row>
    <row r="328" spans="17:19" x14ac:dyDescent="0.2">
      <c r="Q328" s="43"/>
      <c r="R328" s="43"/>
      <c r="S328" s="43"/>
    </row>
    <row r="329" spans="17:19" x14ac:dyDescent="0.2">
      <c r="Q329" s="43"/>
      <c r="R329" s="43"/>
      <c r="S329" s="43"/>
    </row>
    <row r="330" spans="17:19" x14ac:dyDescent="0.2">
      <c r="Q330" s="43"/>
      <c r="R330" s="43"/>
      <c r="S330" s="43"/>
    </row>
    <row r="331" spans="17:19" x14ac:dyDescent="0.2">
      <c r="Q331" s="43"/>
      <c r="R331" s="43"/>
      <c r="S331" s="43"/>
    </row>
    <row r="332" spans="17:19" x14ac:dyDescent="0.2">
      <c r="Q332" s="43"/>
      <c r="R332" s="43"/>
      <c r="S332" s="43"/>
    </row>
    <row r="333" spans="17:19" x14ac:dyDescent="0.2">
      <c r="Q333" s="43"/>
      <c r="R333" s="43"/>
      <c r="S333" s="43"/>
    </row>
    <row r="334" spans="17:19" x14ac:dyDescent="0.2">
      <c r="Q334" s="43"/>
      <c r="R334" s="43"/>
      <c r="S334" s="43"/>
    </row>
    <row r="335" spans="17:19" x14ac:dyDescent="0.2">
      <c r="Q335" s="43"/>
      <c r="R335" s="43"/>
      <c r="S335" s="43"/>
    </row>
    <row r="336" spans="17:19" x14ac:dyDescent="0.2">
      <c r="Q336" s="43"/>
      <c r="R336" s="43"/>
      <c r="S336" s="43"/>
    </row>
    <row r="337" spans="17:19" x14ac:dyDescent="0.2">
      <c r="Q337" s="43"/>
      <c r="R337" s="43"/>
      <c r="S337" s="43"/>
    </row>
    <row r="338" spans="17:19" x14ac:dyDescent="0.2">
      <c r="Q338" s="43"/>
      <c r="R338" s="43"/>
      <c r="S338" s="43"/>
    </row>
    <row r="339" spans="17:19" x14ac:dyDescent="0.2">
      <c r="Q339" s="43"/>
      <c r="R339" s="43"/>
      <c r="S339" s="43"/>
    </row>
    <row r="340" spans="17:19" x14ac:dyDescent="0.2">
      <c r="Q340" s="43"/>
      <c r="R340" s="43"/>
      <c r="S340" s="43"/>
    </row>
    <row r="341" spans="17:19" x14ac:dyDescent="0.2">
      <c r="Q341" s="43"/>
      <c r="R341" s="43"/>
      <c r="S341" s="43"/>
    </row>
    <row r="342" spans="17:19" x14ac:dyDescent="0.2">
      <c r="Q342" s="43"/>
      <c r="R342" s="43"/>
      <c r="S342" s="43"/>
    </row>
    <row r="343" spans="17:19" x14ac:dyDescent="0.2">
      <c r="Q343" s="43"/>
      <c r="R343" s="43"/>
      <c r="S343" s="43"/>
    </row>
    <row r="344" spans="17:19" x14ac:dyDescent="0.2">
      <c r="Q344" s="43"/>
      <c r="R344" s="43"/>
      <c r="S344" s="43"/>
    </row>
    <row r="345" spans="17:19" x14ac:dyDescent="0.2">
      <c r="Q345" s="43"/>
      <c r="R345" s="43"/>
      <c r="S345" s="43"/>
    </row>
    <row r="346" spans="17:19" x14ac:dyDescent="0.2">
      <c r="Q346" s="43"/>
      <c r="R346" s="43"/>
      <c r="S346" s="43"/>
    </row>
    <row r="347" spans="17:19" x14ac:dyDescent="0.2">
      <c r="Q347" s="43"/>
      <c r="R347" s="43"/>
      <c r="S347" s="43"/>
    </row>
    <row r="348" spans="17:19" x14ac:dyDescent="0.2">
      <c r="Q348" s="43"/>
      <c r="R348" s="43"/>
      <c r="S348" s="43"/>
    </row>
    <row r="349" spans="17:19" x14ac:dyDescent="0.2">
      <c r="Q349" s="43"/>
      <c r="R349" s="43"/>
      <c r="S349" s="43"/>
    </row>
    <row r="350" spans="17:19" x14ac:dyDescent="0.2">
      <c r="Q350" s="43"/>
      <c r="R350" s="43"/>
      <c r="S350" s="43"/>
    </row>
    <row r="351" spans="17:19" x14ac:dyDescent="0.2">
      <c r="Q351" s="43"/>
      <c r="R351" s="43"/>
      <c r="S351" s="43"/>
    </row>
    <row r="352" spans="17:19" x14ac:dyDescent="0.2">
      <c r="Q352" s="43"/>
      <c r="R352" s="43"/>
      <c r="S352" s="43"/>
    </row>
    <row r="353" spans="17:19" x14ac:dyDescent="0.2">
      <c r="Q353" s="43"/>
      <c r="R353" s="43"/>
      <c r="S353" s="43"/>
    </row>
    <row r="354" spans="17:19" x14ac:dyDescent="0.2">
      <c r="Q354" s="43"/>
      <c r="R354" s="43"/>
      <c r="S354" s="43"/>
    </row>
    <row r="355" spans="17:19" x14ac:dyDescent="0.2">
      <c r="Q355" s="43"/>
      <c r="R355" s="43"/>
      <c r="S355" s="43"/>
    </row>
    <row r="356" spans="17:19" x14ac:dyDescent="0.2">
      <c r="Q356" s="43"/>
      <c r="R356" s="43"/>
      <c r="S356" s="43"/>
    </row>
    <row r="357" spans="17:19" x14ac:dyDescent="0.2">
      <c r="Q357" s="43"/>
      <c r="R357" s="43"/>
      <c r="S357" s="43"/>
    </row>
    <row r="358" spans="17:19" x14ac:dyDescent="0.2">
      <c r="Q358" s="43"/>
      <c r="R358" s="43"/>
      <c r="S358" s="43"/>
    </row>
    <row r="359" spans="17:19" x14ac:dyDescent="0.2">
      <c r="Q359" s="43"/>
      <c r="R359" s="43"/>
      <c r="S359" s="43"/>
    </row>
    <row r="360" spans="17:19" x14ac:dyDescent="0.2">
      <c r="Q360" s="43"/>
      <c r="R360" s="43"/>
      <c r="S360" s="43"/>
    </row>
    <row r="361" spans="17:19" x14ac:dyDescent="0.2">
      <c r="Q361" s="43"/>
      <c r="R361" s="43"/>
      <c r="S361" s="43"/>
    </row>
    <row r="362" spans="17:19" x14ac:dyDescent="0.2">
      <c r="Q362" s="43"/>
      <c r="R362" s="43"/>
      <c r="S362" s="43"/>
    </row>
    <row r="363" spans="17:19" x14ac:dyDescent="0.2">
      <c r="Q363" s="43"/>
      <c r="R363" s="43"/>
      <c r="S363" s="43"/>
    </row>
    <row r="364" spans="17:19" x14ac:dyDescent="0.2">
      <c r="Q364" s="43"/>
      <c r="R364" s="43"/>
      <c r="S364" s="43"/>
    </row>
    <row r="365" spans="17:19" x14ac:dyDescent="0.2">
      <c r="Q365" s="43"/>
      <c r="R365" s="43"/>
      <c r="S365" s="43"/>
    </row>
    <row r="366" spans="17:19" x14ac:dyDescent="0.2">
      <c r="Q366" s="43"/>
      <c r="R366" s="43"/>
      <c r="S366" s="43"/>
    </row>
    <row r="367" spans="17:19" x14ac:dyDescent="0.2">
      <c r="Q367" s="43"/>
      <c r="R367" s="43"/>
      <c r="S367" s="43"/>
    </row>
    <row r="368" spans="17:19" x14ac:dyDescent="0.2">
      <c r="Q368" s="43"/>
      <c r="R368" s="43"/>
      <c r="S368" s="43"/>
    </row>
    <row r="369" spans="17:19" x14ac:dyDescent="0.2">
      <c r="Q369" s="43"/>
      <c r="R369" s="43"/>
      <c r="S369" s="43"/>
    </row>
    <row r="370" spans="17:19" x14ac:dyDescent="0.2">
      <c r="Q370" s="43"/>
      <c r="R370" s="43"/>
      <c r="S370" s="43"/>
    </row>
    <row r="371" spans="17:19" x14ac:dyDescent="0.2">
      <c r="Q371" s="43"/>
      <c r="R371" s="43"/>
      <c r="S371" s="43"/>
    </row>
    <row r="372" spans="17:19" x14ac:dyDescent="0.2">
      <c r="Q372" s="43"/>
      <c r="R372" s="43"/>
      <c r="S372" s="43"/>
    </row>
    <row r="373" spans="17:19" x14ac:dyDescent="0.2">
      <c r="Q373" s="43"/>
      <c r="R373" s="43"/>
      <c r="S373" s="43"/>
    </row>
    <row r="374" spans="17:19" x14ac:dyDescent="0.2">
      <c r="Q374" s="43"/>
      <c r="R374" s="43"/>
      <c r="S374" s="43"/>
    </row>
    <row r="375" spans="17:19" x14ac:dyDescent="0.2">
      <c r="Q375" s="43"/>
      <c r="R375" s="43"/>
      <c r="S375" s="43"/>
    </row>
    <row r="376" spans="17:19" x14ac:dyDescent="0.2">
      <c r="Q376" s="43"/>
      <c r="R376" s="43"/>
      <c r="S376" s="43"/>
    </row>
    <row r="377" spans="17:19" x14ac:dyDescent="0.2">
      <c r="Q377" s="43"/>
      <c r="R377" s="43"/>
      <c r="S377" s="43"/>
    </row>
    <row r="378" spans="17:19" x14ac:dyDescent="0.2">
      <c r="Q378" s="43"/>
      <c r="R378" s="43"/>
      <c r="S378" s="43"/>
    </row>
    <row r="379" spans="17:19" x14ac:dyDescent="0.2">
      <c r="Q379" s="43"/>
      <c r="R379" s="43"/>
      <c r="S379" s="43"/>
    </row>
    <row r="380" spans="17:19" x14ac:dyDescent="0.2">
      <c r="Q380" s="43"/>
      <c r="R380" s="43"/>
      <c r="S380" s="43"/>
    </row>
    <row r="381" spans="17:19" x14ac:dyDescent="0.2">
      <c r="Q381" s="43"/>
      <c r="R381" s="43"/>
      <c r="S381" s="43"/>
    </row>
    <row r="382" spans="17:19" x14ac:dyDescent="0.2">
      <c r="Q382" s="43"/>
      <c r="R382" s="43"/>
      <c r="S382" s="43"/>
    </row>
    <row r="383" spans="17:19" x14ac:dyDescent="0.2">
      <c r="Q383" s="43"/>
      <c r="R383" s="43"/>
      <c r="S383" s="43"/>
    </row>
    <row r="384" spans="17:19" x14ac:dyDescent="0.2">
      <c r="Q384" s="43"/>
      <c r="R384" s="43"/>
      <c r="S384" s="43"/>
    </row>
    <row r="385" spans="17:19" x14ac:dyDescent="0.2">
      <c r="Q385" s="43"/>
      <c r="R385" s="43"/>
      <c r="S385" s="43"/>
    </row>
    <row r="386" spans="17:19" x14ac:dyDescent="0.2">
      <c r="Q386" s="43"/>
      <c r="R386" s="43"/>
      <c r="S386" s="43"/>
    </row>
    <row r="387" spans="17:19" x14ac:dyDescent="0.2">
      <c r="Q387" s="43"/>
      <c r="R387" s="43"/>
      <c r="S387" s="43"/>
    </row>
    <row r="388" spans="17:19" x14ac:dyDescent="0.2">
      <c r="Q388" s="43"/>
      <c r="R388" s="43"/>
      <c r="S388" s="43"/>
    </row>
    <row r="389" spans="17:19" x14ac:dyDescent="0.2">
      <c r="Q389" s="43"/>
      <c r="R389" s="43"/>
      <c r="S389" s="43"/>
    </row>
    <row r="390" spans="17:19" x14ac:dyDescent="0.2">
      <c r="Q390" s="43"/>
      <c r="R390" s="43"/>
      <c r="S390" s="43"/>
    </row>
    <row r="391" spans="17:19" x14ac:dyDescent="0.2">
      <c r="Q391" s="43"/>
      <c r="R391" s="43"/>
      <c r="S391" s="43"/>
    </row>
    <row r="392" spans="17:19" x14ac:dyDescent="0.2">
      <c r="Q392" s="43"/>
      <c r="R392" s="43"/>
      <c r="S392" s="43"/>
    </row>
    <row r="393" spans="17:19" x14ac:dyDescent="0.2">
      <c r="Q393" s="43"/>
      <c r="R393" s="43"/>
      <c r="S393" s="43"/>
    </row>
    <row r="394" spans="17:19" x14ac:dyDescent="0.2">
      <c r="Q394" s="43"/>
      <c r="R394" s="43"/>
      <c r="S394" s="43"/>
    </row>
    <row r="395" spans="17:19" x14ac:dyDescent="0.2">
      <c r="Q395" s="43"/>
      <c r="R395" s="43"/>
      <c r="S395" s="43"/>
    </row>
    <row r="396" spans="17:19" x14ac:dyDescent="0.2">
      <c r="Q396" s="43"/>
      <c r="R396" s="43"/>
      <c r="S396" s="43"/>
    </row>
    <row r="397" spans="17:19" x14ac:dyDescent="0.2">
      <c r="Q397" s="43"/>
      <c r="R397" s="43"/>
      <c r="S397" s="43"/>
    </row>
    <row r="398" spans="17:19" x14ac:dyDescent="0.2">
      <c r="Q398" s="43"/>
      <c r="R398" s="43"/>
      <c r="S398" s="43"/>
    </row>
    <row r="399" spans="17:19" x14ac:dyDescent="0.2">
      <c r="Q399" s="43"/>
      <c r="R399" s="43"/>
      <c r="S399" s="43"/>
    </row>
    <row r="400" spans="17:19" x14ac:dyDescent="0.2">
      <c r="Q400" s="43"/>
      <c r="R400" s="43"/>
      <c r="S400" s="43"/>
    </row>
    <row r="401" spans="17:19" x14ac:dyDescent="0.2">
      <c r="Q401" s="43"/>
      <c r="R401" s="43"/>
      <c r="S401" s="43"/>
    </row>
    <row r="402" spans="17:19" x14ac:dyDescent="0.2">
      <c r="Q402" s="43"/>
      <c r="R402" s="43"/>
      <c r="S402" s="43"/>
    </row>
    <row r="403" spans="17:19" x14ac:dyDescent="0.2">
      <c r="Q403" s="43"/>
      <c r="R403" s="43"/>
      <c r="S403" s="43"/>
    </row>
    <row r="404" spans="17:19" x14ac:dyDescent="0.2">
      <c r="Q404" s="43"/>
      <c r="R404" s="43"/>
      <c r="S404" s="43"/>
    </row>
    <row r="405" spans="17:19" x14ac:dyDescent="0.2">
      <c r="Q405" s="43"/>
      <c r="R405" s="43"/>
      <c r="S405" s="43"/>
    </row>
    <row r="406" spans="17:19" x14ac:dyDescent="0.2">
      <c r="Q406" s="43"/>
      <c r="R406" s="43"/>
      <c r="S406" s="43"/>
    </row>
    <row r="407" spans="17:19" x14ac:dyDescent="0.2">
      <c r="Q407" s="43"/>
      <c r="R407" s="43"/>
      <c r="S407" s="43"/>
    </row>
    <row r="408" spans="17:19" x14ac:dyDescent="0.2">
      <c r="Q408" s="43"/>
      <c r="R408" s="43"/>
      <c r="S408" s="43"/>
    </row>
    <row r="409" spans="17:19" x14ac:dyDescent="0.2">
      <c r="Q409" s="43"/>
      <c r="R409" s="43"/>
      <c r="S409" s="43"/>
    </row>
    <row r="410" spans="17:19" x14ac:dyDescent="0.2">
      <c r="Q410" s="43"/>
      <c r="R410" s="43"/>
      <c r="S410" s="43"/>
    </row>
    <row r="411" spans="17:19" x14ac:dyDescent="0.2">
      <c r="Q411" s="43"/>
      <c r="R411" s="43"/>
      <c r="S411" s="43"/>
    </row>
    <row r="412" spans="17:19" x14ac:dyDescent="0.2">
      <c r="Q412" s="43"/>
      <c r="R412" s="43"/>
      <c r="S412" s="43"/>
    </row>
    <row r="413" spans="17:19" x14ac:dyDescent="0.2">
      <c r="Q413" s="43"/>
      <c r="R413" s="43"/>
      <c r="S413" s="43"/>
    </row>
    <row r="414" spans="17:19" x14ac:dyDescent="0.2">
      <c r="Q414" s="43"/>
      <c r="R414" s="43"/>
      <c r="S414" s="43"/>
    </row>
    <row r="415" spans="17:19" x14ac:dyDescent="0.2">
      <c r="Q415" s="43"/>
      <c r="R415" s="43"/>
      <c r="S415" s="43"/>
    </row>
    <row r="416" spans="17:19" x14ac:dyDescent="0.2">
      <c r="Q416" s="43"/>
      <c r="R416" s="43"/>
      <c r="S416" s="43"/>
    </row>
    <row r="417" spans="17:19" x14ac:dyDescent="0.2">
      <c r="Q417" s="43"/>
      <c r="R417" s="43"/>
      <c r="S417" s="43"/>
    </row>
    <row r="418" spans="17:19" x14ac:dyDescent="0.2">
      <c r="Q418" s="43"/>
      <c r="R418" s="43"/>
      <c r="S418" s="43"/>
    </row>
    <row r="419" spans="17:19" x14ac:dyDescent="0.2">
      <c r="Q419" s="43"/>
      <c r="R419" s="43"/>
      <c r="S419" s="43"/>
    </row>
    <row r="420" spans="17:19" x14ac:dyDescent="0.2">
      <c r="Q420" s="43"/>
      <c r="R420" s="43"/>
      <c r="S420" s="43"/>
    </row>
    <row r="421" spans="17:19" x14ac:dyDescent="0.2">
      <c r="Q421" s="43"/>
      <c r="R421" s="43"/>
      <c r="S421" s="43"/>
    </row>
    <row r="422" spans="17:19" x14ac:dyDescent="0.2">
      <c r="Q422" s="43"/>
      <c r="R422" s="43"/>
      <c r="S422" s="43"/>
    </row>
    <row r="423" spans="17:19" x14ac:dyDescent="0.2">
      <c r="Q423" s="43"/>
      <c r="R423" s="43"/>
      <c r="S423" s="43"/>
    </row>
    <row r="424" spans="17:19" x14ac:dyDescent="0.2">
      <c r="Q424" s="43"/>
      <c r="R424" s="43"/>
      <c r="S424" s="43"/>
    </row>
    <row r="425" spans="17:19" x14ac:dyDescent="0.2">
      <c r="Q425" s="43"/>
      <c r="R425" s="43"/>
      <c r="S425" s="43"/>
    </row>
    <row r="426" spans="17:19" x14ac:dyDescent="0.2">
      <c r="Q426" s="43"/>
      <c r="R426" s="43"/>
      <c r="S426" s="43"/>
    </row>
    <row r="427" spans="17:19" x14ac:dyDescent="0.2">
      <c r="Q427" s="43"/>
      <c r="R427" s="43"/>
      <c r="S427" s="43"/>
    </row>
    <row r="428" spans="17:19" x14ac:dyDescent="0.2">
      <c r="Q428" s="43"/>
      <c r="R428" s="43"/>
      <c r="S428" s="43"/>
    </row>
    <row r="429" spans="17:19" x14ac:dyDescent="0.2">
      <c r="Q429" s="43"/>
      <c r="R429" s="43"/>
      <c r="S429" s="43"/>
    </row>
    <row r="430" spans="17:19" x14ac:dyDescent="0.2">
      <c r="Q430" s="43"/>
      <c r="R430" s="43"/>
      <c r="S430" s="43"/>
    </row>
    <row r="431" spans="17:19" x14ac:dyDescent="0.2">
      <c r="Q431" s="43"/>
      <c r="R431" s="43"/>
      <c r="S431" s="43"/>
    </row>
    <row r="432" spans="17:19" x14ac:dyDescent="0.2">
      <c r="Q432" s="43"/>
      <c r="R432" s="43"/>
      <c r="S432" s="43"/>
    </row>
    <row r="433" spans="17:19" x14ac:dyDescent="0.2">
      <c r="Q433" s="43"/>
      <c r="R433" s="43"/>
      <c r="S433" s="43"/>
    </row>
    <row r="434" spans="17:19" x14ac:dyDescent="0.2">
      <c r="Q434" s="43"/>
      <c r="R434" s="43"/>
      <c r="S434" s="43"/>
    </row>
    <row r="435" spans="17:19" x14ac:dyDescent="0.2">
      <c r="Q435" s="43"/>
      <c r="R435" s="43"/>
      <c r="S435" s="43"/>
    </row>
    <row r="436" spans="17:19" x14ac:dyDescent="0.2">
      <c r="Q436" s="43"/>
      <c r="R436" s="43"/>
      <c r="S436" s="43"/>
    </row>
    <row r="437" spans="17:19" x14ac:dyDescent="0.2">
      <c r="Q437" s="43"/>
      <c r="R437" s="43"/>
      <c r="S437" s="43"/>
    </row>
    <row r="438" spans="17:19" x14ac:dyDescent="0.2">
      <c r="Q438" s="43"/>
      <c r="R438" s="43"/>
      <c r="S438" s="43"/>
    </row>
    <row r="439" spans="17:19" x14ac:dyDescent="0.2">
      <c r="Q439" s="43"/>
      <c r="R439" s="43"/>
      <c r="S439" s="43"/>
    </row>
    <row r="440" spans="17:19" x14ac:dyDescent="0.2">
      <c r="Q440" s="43"/>
      <c r="R440" s="43"/>
      <c r="S440" s="43"/>
    </row>
    <row r="441" spans="17:19" x14ac:dyDescent="0.2">
      <c r="Q441" s="43"/>
      <c r="R441" s="43"/>
      <c r="S441" s="43"/>
    </row>
    <row r="442" spans="17:19" x14ac:dyDescent="0.2">
      <c r="Q442" s="43"/>
      <c r="R442" s="43"/>
      <c r="S442" s="43"/>
    </row>
    <row r="443" spans="17:19" x14ac:dyDescent="0.2">
      <c r="Q443" s="43"/>
      <c r="R443" s="43"/>
      <c r="S443" s="43"/>
    </row>
    <row r="444" spans="17:19" x14ac:dyDescent="0.2">
      <c r="Q444" s="43"/>
      <c r="R444" s="43"/>
      <c r="S444" s="43"/>
    </row>
    <row r="445" spans="17:19" x14ac:dyDescent="0.2">
      <c r="Q445" s="43"/>
      <c r="R445" s="43"/>
      <c r="S445" s="43"/>
    </row>
    <row r="446" spans="17:19" x14ac:dyDescent="0.2">
      <c r="Q446" s="43"/>
      <c r="R446" s="43"/>
      <c r="S446" s="43"/>
    </row>
    <row r="447" spans="17:19" x14ac:dyDescent="0.2">
      <c r="Q447" s="43"/>
      <c r="R447" s="43"/>
      <c r="S447" s="43"/>
    </row>
    <row r="448" spans="17:19" x14ac:dyDescent="0.2">
      <c r="Q448" s="43"/>
      <c r="R448" s="43"/>
      <c r="S448" s="43"/>
    </row>
    <row r="449" spans="17:19" x14ac:dyDescent="0.2">
      <c r="Q449" s="43"/>
      <c r="R449" s="43"/>
      <c r="S449" s="43"/>
    </row>
    <row r="450" spans="17:19" x14ac:dyDescent="0.2">
      <c r="Q450" s="43"/>
      <c r="R450" s="43"/>
      <c r="S450" s="43"/>
    </row>
    <row r="451" spans="17:19" x14ac:dyDescent="0.2">
      <c r="Q451" s="43"/>
      <c r="R451" s="43"/>
      <c r="S451" s="43"/>
    </row>
    <row r="452" spans="17:19" x14ac:dyDescent="0.2">
      <c r="Q452" s="43"/>
      <c r="R452" s="43"/>
      <c r="S452" s="43"/>
    </row>
    <row r="453" spans="17:19" x14ac:dyDescent="0.2">
      <c r="Q453" s="43"/>
      <c r="R453" s="43"/>
      <c r="S453" s="43"/>
    </row>
    <row r="454" spans="17:19" x14ac:dyDescent="0.2">
      <c r="Q454" s="43"/>
      <c r="R454" s="43"/>
      <c r="S454" s="43"/>
    </row>
    <row r="455" spans="17:19" x14ac:dyDescent="0.2">
      <c r="Q455" s="43"/>
      <c r="R455" s="43"/>
      <c r="S455" s="43"/>
    </row>
    <row r="456" spans="17:19" x14ac:dyDescent="0.2">
      <c r="Q456" s="43"/>
      <c r="R456" s="43"/>
      <c r="S456" s="43"/>
    </row>
    <row r="457" spans="17:19" x14ac:dyDescent="0.2">
      <c r="Q457" s="43"/>
      <c r="R457" s="43"/>
      <c r="S457" s="43"/>
    </row>
    <row r="458" spans="17:19" x14ac:dyDescent="0.2">
      <c r="Q458" s="43"/>
      <c r="R458" s="43"/>
      <c r="S458" s="43"/>
    </row>
    <row r="459" spans="17:19" x14ac:dyDescent="0.2">
      <c r="Q459" s="43"/>
      <c r="R459" s="43"/>
      <c r="S459" s="43"/>
    </row>
    <row r="460" spans="17:19" x14ac:dyDescent="0.2">
      <c r="Q460" s="43"/>
      <c r="R460" s="43"/>
      <c r="S460" s="43"/>
    </row>
    <row r="461" spans="17:19" x14ac:dyDescent="0.2">
      <c r="Q461" s="43"/>
      <c r="R461" s="43"/>
      <c r="S461" s="43"/>
    </row>
    <row r="462" spans="17:19" x14ac:dyDescent="0.2">
      <c r="Q462" s="43"/>
      <c r="R462" s="43"/>
      <c r="S462" s="43"/>
    </row>
    <row r="463" spans="17:19" x14ac:dyDescent="0.2">
      <c r="Q463" s="43"/>
      <c r="R463" s="43"/>
      <c r="S463" s="43"/>
    </row>
    <row r="464" spans="17:19" x14ac:dyDescent="0.2">
      <c r="Q464" s="43"/>
      <c r="R464" s="43"/>
      <c r="S464" s="43"/>
    </row>
  </sheetData>
  <mergeCells count="1">
    <mergeCell ref="D1:AI1"/>
  </mergeCells>
  <phoneticPr fontId="0" type="noConversion"/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5" stopIfTrue="1" operator="lessThan">
      <formula>0</formula>
    </cfRule>
    <cfRule type="expression" dxfId="8" priority="6" stopIfTrue="1">
      <formula>AND(Q3&gt;0,Q3&lt;=$U3)</formula>
    </cfRule>
  </conditionalFormatting>
  <conditionalFormatting sqref="M3:M203 K4:L203">
    <cfRule type="cellIs" dxfId="7" priority="7" stopIfTrue="1" operator="lessThan">
      <formula>0</formula>
    </cfRule>
    <cfRule type="expression" dxfId="6" priority="8" stopIfTrue="1">
      <formula>AND(K3&gt;0,K3&lt;=$O3)</formula>
    </cfRule>
  </conditionalFormatting>
  <conditionalFormatting sqref="K3:L3">
    <cfRule type="cellIs" dxfId="5" priority="9" stopIfTrue="1" operator="lessThan">
      <formula>0</formula>
    </cfRule>
    <cfRule type="expression" dxfId="4" priority="10" stopIfTrue="1">
      <formula>AND(K3&gt;0,K3&lt;=$O3)</formula>
    </cfRule>
  </conditionalFormatting>
  <conditionalFormatting sqref="Q3">
    <cfRule type="cellIs" dxfId="3" priority="11" stopIfTrue="1" operator="lessThan">
      <formula>0</formula>
    </cfRule>
    <cfRule type="expression" dxfId="2" priority="12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AH104"/>
  <sheetViews>
    <sheetView topLeftCell="G2" workbookViewId="0">
      <selection activeCell="N95" sqref="N95"/>
    </sheetView>
  </sheetViews>
  <sheetFormatPr defaultColWidth="9.109375" defaultRowHeight="13.2" x14ac:dyDescent="0.25"/>
  <cols>
    <col min="1" max="1" width="9.109375" style="113" hidden="1" customWidth="1"/>
    <col min="2" max="2" width="17.6640625" style="114" hidden="1" customWidth="1"/>
    <col min="3" max="6" width="5.109375" style="113" hidden="1" customWidth="1"/>
    <col min="7" max="9" width="5.109375" style="113" customWidth="1"/>
    <col min="10" max="10" width="9.44140625" style="114" customWidth="1"/>
    <col min="11" max="11" width="33.88671875" style="113" customWidth="1"/>
    <col min="12" max="15" width="11.109375" style="113" customWidth="1"/>
    <col min="16" max="16" width="13.44140625" style="113" customWidth="1"/>
    <col min="17" max="18" width="9.109375" style="113"/>
    <col min="19" max="24" width="9.109375" style="114"/>
    <col min="25" max="25" width="10.44140625" style="114" customWidth="1"/>
    <col min="26" max="26" width="15.6640625" style="114" customWidth="1"/>
    <col min="27" max="27" width="10.33203125" style="114" customWidth="1"/>
    <col min="28" max="28" width="15.109375" style="114" customWidth="1"/>
    <col min="29" max="16384" width="9.109375" style="113"/>
  </cols>
  <sheetData>
    <row r="1" spans="1:34" ht="7.5" customHeight="1" x14ac:dyDescent="0.25"/>
    <row r="2" spans="1:34" ht="45" customHeight="1" x14ac:dyDescent="0.25">
      <c r="J2" s="411" t="str">
        <f>Setup!C2</f>
        <v>MadMax Push/Pull</v>
      </c>
      <c r="K2" s="411"/>
      <c r="L2" s="411"/>
      <c r="M2" s="411"/>
      <c r="N2" s="411"/>
      <c r="O2" s="411"/>
      <c r="P2" s="411"/>
    </row>
    <row r="3" spans="1:34" ht="110.25" customHeight="1" x14ac:dyDescent="0.25">
      <c r="B3" s="115"/>
      <c r="L3" s="176" t="s">
        <v>125</v>
      </c>
    </row>
    <row r="5" spans="1:34" x14ac:dyDescent="0.25">
      <c r="A5" s="114" t="s">
        <v>87</v>
      </c>
      <c r="B5" s="114" t="s">
        <v>96</v>
      </c>
    </row>
    <row r="6" spans="1:34" s="118" customFormat="1" ht="36" customHeight="1" x14ac:dyDescent="0.25">
      <c r="A6" s="116" t="str">
        <f ca="1">OFFSET(Setup!O6,MATCH(J6,INDIRECT(B6),0),0)</f>
        <v>M_MR_2_APF</v>
      </c>
      <c r="B6" s="116" t="str">
        <f>CONCATENATE("Setup!P7:P",COUNTA(Setup!O:O)+4)</f>
        <v>Setup!P7:P247</v>
      </c>
      <c r="C6" s="113"/>
      <c r="D6" s="113"/>
      <c r="E6" s="113"/>
      <c r="F6" s="113"/>
      <c r="G6" s="113"/>
      <c r="H6" s="113"/>
      <c r="I6" s="113"/>
      <c r="J6" s="410" t="s">
        <v>421</v>
      </c>
      <c r="K6" s="410"/>
      <c r="L6" s="410"/>
      <c r="M6" s="410"/>
      <c r="N6" s="410"/>
      <c r="O6" s="410"/>
      <c r="P6" s="117"/>
      <c r="R6" s="113"/>
      <c r="S6" s="114"/>
      <c r="T6" s="114"/>
      <c r="U6" s="114"/>
      <c r="V6" s="114"/>
      <c r="W6" s="114"/>
      <c r="X6" s="114"/>
      <c r="Y6" s="119"/>
      <c r="Z6" s="119"/>
      <c r="AA6" s="114"/>
      <c r="AB6" s="114"/>
      <c r="AC6" s="113"/>
      <c r="AD6" s="113"/>
    </row>
    <row r="7" spans="1:34" s="118" customFormat="1" ht="36" customHeight="1" x14ac:dyDescent="0.25">
      <c r="A7" s="116" t="s">
        <v>97</v>
      </c>
      <c r="B7" s="116" t="str">
        <f ca="1">IF(LEFT(A6,1)="M","Setup!K9:K23","Setup!M9:M23")</f>
        <v>Setup!K9:K23</v>
      </c>
      <c r="C7" s="113"/>
      <c r="D7" s="113"/>
      <c r="E7" s="113"/>
      <c r="F7" s="113"/>
      <c r="G7" s="113"/>
      <c r="H7" s="113"/>
      <c r="I7" s="113"/>
      <c r="J7" s="155">
        <v>181</v>
      </c>
      <c r="K7" s="120" t="str">
        <f>IF(J7="SHW","Class",IF(Setup!K6="BWt (Kg)","Kilo Class","Pound Class"))</f>
        <v>Kilo Class</v>
      </c>
      <c r="L7" s="409" t="s">
        <v>68</v>
      </c>
      <c r="M7" s="409"/>
      <c r="N7" s="409"/>
      <c r="O7" s="409"/>
      <c r="P7" s="117"/>
      <c r="R7" s="113"/>
      <c r="S7" s="114"/>
      <c r="T7" s="114"/>
      <c r="U7" s="114"/>
      <c r="V7" s="114"/>
      <c r="W7" s="114"/>
      <c r="X7" s="114"/>
      <c r="Y7" s="119"/>
      <c r="Z7" s="119"/>
      <c r="AA7" s="114"/>
      <c r="AB7" s="114"/>
      <c r="AC7" s="113"/>
      <c r="AD7" s="113"/>
    </row>
    <row r="8" spans="1:34" ht="5.25" customHeight="1" x14ac:dyDescent="0.25">
      <c r="J8" s="121"/>
      <c r="K8" s="122"/>
      <c r="L8" s="122"/>
      <c r="M8" s="122"/>
      <c r="N8" s="122"/>
      <c r="O8" s="122"/>
      <c r="P8" s="122"/>
      <c r="Y8" s="119"/>
      <c r="Z8" s="119"/>
    </row>
    <row r="9" spans="1:34" s="118" customFormat="1" ht="36" customHeight="1" x14ac:dyDescent="0.25">
      <c r="B9" s="114">
        <f ca="1">OFFSET(Setup!Q6,MATCH(J6,INDIRECT(B6),0),0)</f>
        <v>1</v>
      </c>
      <c r="C9" s="113"/>
      <c r="D9" s="113"/>
      <c r="E9" s="113"/>
      <c r="F9" s="113"/>
      <c r="G9" s="113"/>
      <c r="H9" s="113"/>
      <c r="I9" s="113"/>
      <c r="J9" s="123" t="s">
        <v>76</v>
      </c>
      <c r="K9" s="124" t="s">
        <v>0</v>
      </c>
      <c r="L9" s="123" t="s">
        <v>11</v>
      </c>
      <c r="M9" s="123" t="s">
        <v>15</v>
      </c>
      <c r="N9" s="123" t="s">
        <v>21</v>
      </c>
      <c r="O9" s="123" t="s">
        <v>68</v>
      </c>
      <c r="P9" s="125" t="str">
        <f ca="1">IF(B9=1,"","Coeff-Score")</f>
        <v/>
      </c>
      <c r="R9" s="113"/>
      <c r="S9" s="114"/>
      <c r="T9" s="114"/>
      <c r="U9" s="114"/>
      <c r="V9" s="114"/>
      <c r="W9" s="114"/>
      <c r="X9" s="114"/>
      <c r="Y9" s="119"/>
      <c r="Z9" s="119"/>
      <c r="AA9" s="114"/>
      <c r="AB9" s="114"/>
      <c r="AC9" s="113"/>
      <c r="AD9" s="113"/>
      <c r="AH9" s="126"/>
    </row>
    <row r="10" spans="1:34" s="118" customFormat="1" ht="36" customHeight="1" x14ac:dyDescent="0.25">
      <c r="B10" s="114" t="str">
        <f ca="1">CONCATENATE(J10,"-",$A$6,IF($B$9=1,CONCATENATE("-",IF($J$7="SHW",$J$7,ROUND($J$7,1))),""))</f>
        <v>1-M_MR_2_APF-181</v>
      </c>
      <c r="C10" s="113"/>
      <c r="D10" s="113"/>
      <c r="E10" s="113"/>
      <c r="F10" s="113"/>
      <c r="G10" s="113"/>
      <c r="H10" s="113"/>
      <c r="I10" s="113"/>
      <c r="J10" s="123">
        <v>1</v>
      </c>
      <c r="K10" s="124" t="str">
        <f ca="1">IF(ISERROR(INDIRECT(CONCATENATE("Lifting!C",MATCH(B10,Lifting!$AF:$AF,0)))),"",INDIRECT(CONCATENATE("Lifting!C",MATCH(B10,Lifting!$AF:$AF,0))))</f>
        <v/>
      </c>
      <c r="L10" s="123" t="str">
        <f ca="1">IF(OR($L$7="Best Bench",$L$7="Best Deadlift",$L$7="Push Pull Total"),"",IF(K10="","",INDIRECT(CONCATENATE("Lifting!O",MATCH(B10,Lifting!$AF:$AF,0)))))</f>
        <v/>
      </c>
      <c r="M10" s="123" t="str">
        <f ca="1">IF(OR($L$7="Best Squat",$L$7="Best Deadlift"),"",IF(K10="","",INDIRECT(CONCATENATE("Lifting!U",MATCH(B10,Lifting!$AF:$AF,0)))))</f>
        <v/>
      </c>
      <c r="N10" s="123" t="str">
        <f ca="1">IF(OR($L$7="Best Bench",$L$7="Best Squat"),"",IF(K10="","",INDIRECT(CONCATENATE("Lifting!AA",MATCH(B10,Lifting!$AF:$AF,0)))))</f>
        <v/>
      </c>
      <c r="O10" s="123" t="str">
        <f ca="1">IF(OR($L$7="Best Bench",$L$7="Best Deadlift",$L$7="Best Deadlift"),"",IF(K10="","",INDIRECT(CONCATENATE("Lifting!AB",MATCH(B10,Lifting!$AF:$AF,0)))))</f>
        <v/>
      </c>
      <c r="P10" s="117" t="str">
        <f ca="1">IF(OR($B$9=1,K10=""),"",INDIRECT(CONCATENATE(CONCATENATE("Lifting!",IF($B$9=2,"AC","AD"),MATCH(B10,Lifting!$AF:$AF,0)))))</f>
        <v/>
      </c>
      <c r="R10" s="113"/>
      <c r="S10" s="114"/>
      <c r="T10" s="114"/>
      <c r="U10" s="114"/>
      <c r="V10" s="114"/>
      <c r="W10" s="114"/>
      <c r="X10" s="114"/>
      <c r="Y10" s="119"/>
      <c r="Z10" s="119"/>
      <c r="AA10" s="114"/>
      <c r="AB10" s="114"/>
      <c r="AC10" s="113"/>
      <c r="AD10" s="113"/>
      <c r="AH10" s="126"/>
    </row>
    <row r="11" spans="1:34" s="118" customFormat="1" ht="36" customHeight="1" x14ac:dyDescent="0.25">
      <c r="B11" s="114" t="str">
        <f ca="1">CONCATENATE(J11,"-",$A$6,IF($B$9=1,CONCATENATE("-",IF($J$7="SHW",$J$7,ROUND($J$7,1))),""))</f>
        <v>2-M_MR_2_APF-181</v>
      </c>
      <c r="C11" s="113"/>
      <c r="D11" s="113"/>
      <c r="E11" s="113"/>
      <c r="F11" s="113"/>
      <c r="G11" s="113"/>
      <c r="H11" s="113"/>
      <c r="I11" s="113"/>
      <c r="J11" s="123">
        <v>2</v>
      </c>
      <c r="K11" s="124" t="str">
        <f ca="1">IF(ISERROR(INDIRECT(CONCATENATE("Lifting!C",MATCH(B11,Lifting!$AF:$AF,0)))),"",INDIRECT(CONCATENATE("Lifting!C",MATCH(B11,Lifting!$AF:$AF,0))))</f>
        <v/>
      </c>
      <c r="L11" s="123" t="str">
        <f ca="1">IF(OR($L$7="Best Bench",$L$7="Best Deadlift",$L$7="Push Pull Total"),"",IF(K11="","",INDIRECT(CONCATENATE("Lifting!O",MATCH(B11,Lifting!$AF:$AF,0)))))</f>
        <v/>
      </c>
      <c r="M11" s="123" t="str">
        <f ca="1">IF(OR($L$7="Best Squat",$L$7="Best Deadlift"),"",IF(K11="","",INDIRECT(CONCATENATE("Lifting!U",MATCH(B11,Lifting!$AF:$AF,0)))))</f>
        <v/>
      </c>
      <c r="N11" s="123" t="str">
        <f ca="1">IF(OR($L$7="Best Bench",$L$7="Best Squat"),"",IF(K11="","",INDIRECT(CONCATENATE("Lifting!AA",MATCH(B11,Lifting!$AF:$AF,0)))))</f>
        <v/>
      </c>
      <c r="O11" s="123" t="str">
        <f ca="1">IF(OR($L$7="Best Bench",$L$7="Best Deadlift",$L$7="Best Deadlift"),"",IF(K11="","",INDIRECT(CONCATENATE("Lifting!AB",MATCH(B11,Lifting!$AF:$AF,0)))))</f>
        <v/>
      </c>
      <c r="P11" s="117" t="str">
        <f ca="1">IF(OR($B$9=1,K11=""),"",INDIRECT(CONCATENATE(CONCATENATE("Lifting!",IF($B$9=2,"AC","AD"),MATCH(B11,Lifting!$AF:$AF,0)))))</f>
        <v/>
      </c>
      <c r="R11" s="113"/>
      <c r="S11" s="114"/>
      <c r="T11" s="114"/>
      <c r="U11" s="114"/>
      <c r="V11" s="114"/>
      <c r="W11" s="114"/>
      <c r="X11" s="114"/>
      <c r="Y11" s="119"/>
      <c r="Z11" s="119"/>
      <c r="AA11" s="114"/>
      <c r="AB11" s="114"/>
      <c r="AC11" s="113"/>
      <c r="AD11" s="113"/>
      <c r="AH11" s="126"/>
    </row>
    <row r="12" spans="1:34" s="118" customFormat="1" ht="36" customHeight="1" x14ac:dyDescent="0.25">
      <c r="B12" s="114" t="str">
        <f ca="1">CONCATENATE(J12,"-",$A$6,IF($B$9=1,CONCATENATE("-",IF($J$7="SHW",$J$7,ROUND($J$7,1))),""))</f>
        <v>3-M_MR_2_APF-181</v>
      </c>
      <c r="C12" s="113"/>
      <c r="D12" s="113"/>
      <c r="E12" s="113"/>
      <c r="F12" s="113"/>
      <c r="G12" s="113"/>
      <c r="H12" s="113"/>
      <c r="I12" s="113"/>
      <c r="J12" s="123">
        <v>3</v>
      </c>
      <c r="K12" s="124" t="str">
        <f ca="1">IF(ISERROR(INDIRECT(CONCATENATE("Lifting!C",MATCH(B12,Lifting!$AF:$AF,0)))),"",INDIRECT(CONCATENATE("Lifting!C",MATCH(B12,Lifting!$AF:$AF,0))))</f>
        <v/>
      </c>
      <c r="L12" s="123" t="str">
        <f ca="1">IF(OR($L$7="Best Bench",$L$7="Best Deadlift",$L$7="Push Pull Total"),"",IF(K12="","",INDIRECT(CONCATENATE("Lifting!O",MATCH(B12,Lifting!$AF:$AF,0)))))</f>
        <v/>
      </c>
      <c r="M12" s="123" t="str">
        <f ca="1">IF(OR($L$7="Best Squat",$L$7="Best Deadlift"),"",IF(K12="","",INDIRECT(CONCATENATE("Lifting!U",MATCH(B12,Lifting!$AF:$AF,0)))))</f>
        <v/>
      </c>
      <c r="N12" s="123" t="str">
        <f ca="1">IF(OR($L$7="Best Bench",$L$7="Best Squat"),"",IF(K12="","",INDIRECT(CONCATENATE("Lifting!AA",MATCH(B12,Lifting!$AF:$AF,0)))))</f>
        <v/>
      </c>
      <c r="O12" s="123" t="str">
        <f ca="1">IF(OR($L$7="Best Bench",$L$7="Best Deadlift",$L$7="Best Deadlift"),"",IF(K12="","",INDIRECT(CONCATENATE("Lifting!AB",MATCH(B12,Lifting!$AF:$AF,0)))))</f>
        <v/>
      </c>
      <c r="P12" s="117" t="str">
        <f ca="1">IF(OR($B$9=1,K12=""),"",INDIRECT(CONCATENATE(CONCATENATE("Lifting!",IF($B$9=2,"AC","AD"),MATCH(B12,Lifting!$AF:$AF,0)))))</f>
        <v/>
      </c>
      <c r="R12" s="113"/>
      <c r="S12" s="114"/>
      <c r="T12" s="114"/>
      <c r="U12" s="114"/>
      <c r="V12" s="114"/>
      <c r="W12" s="114"/>
      <c r="X12" s="114"/>
      <c r="Y12" s="119"/>
      <c r="Z12" s="119"/>
      <c r="AA12" s="114"/>
      <c r="AB12" s="114"/>
      <c r="AC12" s="113"/>
      <c r="AD12" s="113"/>
      <c r="AH12" s="126"/>
    </row>
    <row r="13" spans="1:34" s="118" customFormat="1" ht="36" customHeight="1" x14ac:dyDescent="0.25">
      <c r="B13" s="114" t="str">
        <f ca="1">CONCATENATE(J13,"-",$A$6,IF($B$9=1,CONCATENATE("-",IF($J$7="SHW",$J$7,ROUND($J$7,1))),""))</f>
        <v>4-M_MR_2_APF-181</v>
      </c>
      <c r="C13" s="113"/>
      <c r="D13" s="113"/>
      <c r="E13" s="113"/>
      <c r="F13" s="113"/>
      <c r="G13" s="113"/>
      <c r="H13" s="113"/>
      <c r="I13" s="113"/>
      <c r="J13" s="123">
        <v>4</v>
      </c>
      <c r="K13" s="124" t="str">
        <f ca="1">IF(ISERROR(INDIRECT(CONCATENATE("Lifting!C",MATCH(B13,Lifting!$AF:$AF,0)))),"",INDIRECT(CONCATENATE("Lifting!C",MATCH(B13,Lifting!$AF:$AF,0))))</f>
        <v/>
      </c>
      <c r="L13" s="123" t="str">
        <f ca="1">IF(OR($L$7="Best Bench",$L$7="Best Deadlift",$L$7="Push Pull Total"),"",IF(K13="","",INDIRECT(CONCATENATE("Lifting!O",MATCH(B13,Lifting!$AF:$AF,0)))))</f>
        <v/>
      </c>
      <c r="M13" s="123" t="str">
        <f ca="1">IF(OR($L$7="Best Squat",$L$7="Best Deadlift"),"",IF(K13="","",INDIRECT(CONCATENATE("Lifting!U",MATCH(B13,Lifting!$AF:$AF,0)))))</f>
        <v/>
      </c>
      <c r="N13" s="123" t="str">
        <f ca="1">IF(OR($L$7="Best Bench",$L$7="Best Squat"),"",IF(K13="","",INDIRECT(CONCATENATE("Lifting!AA",MATCH(B13,Lifting!$AF:$AF,0)))))</f>
        <v/>
      </c>
      <c r="O13" s="123" t="str">
        <f ca="1">IF(OR($L$7="Best Bench",$L$7="Best Deadlift",$L$7="Best Deadlift"),"",IF(K13="","",INDIRECT(CONCATENATE("Lifting!AB",MATCH(B13,Lifting!$AF:$AF,0)))))</f>
        <v/>
      </c>
      <c r="P13" s="117" t="str">
        <f ca="1">IF(OR($B$9=1,K13=""),"",INDIRECT(CONCATENATE(CONCATENATE("Lifting!",IF($B$9=2,"AC","AD"),MATCH(B13,Lifting!$AF:$AF,0)))))</f>
        <v/>
      </c>
      <c r="R13" s="113"/>
      <c r="S13" s="114"/>
      <c r="T13" s="114"/>
      <c r="U13" s="114"/>
      <c r="V13" s="114"/>
      <c r="W13" s="114"/>
      <c r="X13" s="114"/>
      <c r="Y13" s="119"/>
      <c r="Z13" s="119"/>
      <c r="AA13" s="114"/>
      <c r="AB13" s="114"/>
      <c r="AC13" s="113"/>
      <c r="AD13" s="113"/>
      <c r="AH13" s="126"/>
    </row>
    <row r="14" spans="1:34" s="118" customFormat="1" ht="36" customHeight="1" x14ac:dyDescent="0.25">
      <c r="B14" s="114" t="str">
        <f ca="1">CONCATENATE(J14,"-",$A$6,IF($B$9=1,CONCATENATE("-",IF($J$7="SHW",$J$7,ROUND($J$7,1))),""))</f>
        <v>5-M_MR_2_APF-181</v>
      </c>
      <c r="C14" s="113"/>
      <c r="D14" s="113"/>
      <c r="E14" s="113"/>
      <c r="F14" s="113"/>
      <c r="G14" s="113"/>
      <c r="H14" s="113"/>
      <c r="I14" s="113"/>
      <c r="J14" s="123">
        <v>5</v>
      </c>
      <c r="K14" s="124" t="str">
        <f ca="1">IF(ISERROR(INDIRECT(CONCATENATE("Lifting!C",MATCH(B14,Lifting!$AF:$AF,0)))),"",INDIRECT(CONCATENATE("Lifting!C",MATCH(B14,Lifting!$AF:$AF,0))))</f>
        <v/>
      </c>
      <c r="L14" s="123" t="str">
        <f ca="1">IF(OR($L$7="Best Bench",$L$7="Best Deadlift",$L$7="Push Pull Total"),"",IF(K14="","",INDIRECT(CONCATENATE("Lifting!O",MATCH(B14,Lifting!$AF:$AF,0)))))</f>
        <v/>
      </c>
      <c r="M14" s="123" t="str">
        <f ca="1">IF(OR($L$7="Best Squat",$L$7="Best Deadlift"),"",IF(K14="","",INDIRECT(CONCATENATE("Lifting!U",MATCH(B14,Lifting!$AF:$AF,0)))))</f>
        <v/>
      </c>
      <c r="N14" s="123" t="str">
        <f ca="1">IF(OR($L$7="Best Bench",$L$7="Best Squat"),"",IF(K14="","",INDIRECT(CONCATENATE("Lifting!AA",MATCH(B14,Lifting!$AF:$AF,0)))))</f>
        <v/>
      </c>
      <c r="O14" s="123" t="str">
        <f ca="1">IF(OR($L$7="Best Bench",$L$7="Best Deadlift",$L$7="Best Deadlift"),"",IF(K14="","",INDIRECT(CONCATENATE("Lifting!AB",MATCH(B14,Lifting!$AF:$AF,0)))))</f>
        <v/>
      </c>
      <c r="P14" s="117" t="str">
        <f ca="1">IF(OR($B$9=1,K14=""),"",INDIRECT(CONCATENATE(CONCATENATE("Lifting!",IF($B$9=2,"AC","AD"),MATCH(B14,Lifting!$AF:$AF,0)))))</f>
        <v/>
      </c>
      <c r="R14" s="113"/>
      <c r="S14" s="114"/>
      <c r="T14" s="114"/>
      <c r="U14" s="114"/>
      <c r="V14" s="114"/>
      <c r="W14" s="114"/>
      <c r="X14" s="114"/>
      <c r="Y14" s="119"/>
      <c r="Z14" s="119"/>
      <c r="AA14" s="114"/>
      <c r="AB14" s="114"/>
      <c r="AC14" s="113"/>
      <c r="AD14" s="113"/>
      <c r="AH14" s="126"/>
    </row>
    <row r="15" spans="1:34" s="118" customFormat="1" ht="36" customHeight="1" x14ac:dyDescent="0.25">
      <c r="B15" s="114"/>
      <c r="C15" s="113"/>
      <c r="D15" s="113"/>
      <c r="E15" s="113"/>
      <c r="F15" s="113"/>
      <c r="G15" s="113"/>
      <c r="H15" s="113"/>
      <c r="I15" s="113"/>
      <c r="J15" s="127"/>
      <c r="K15" s="128"/>
      <c r="L15" s="127"/>
      <c r="M15" s="127"/>
      <c r="N15" s="127"/>
      <c r="O15" s="127"/>
      <c r="P15" s="129"/>
      <c r="R15" s="113"/>
      <c r="S15" s="114"/>
      <c r="T15" s="114"/>
      <c r="U15" s="114"/>
      <c r="V15" s="114"/>
      <c r="W15" s="114"/>
      <c r="X15" s="114"/>
      <c r="Y15" s="119"/>
      <c r="Z15" s="119"/>
      <c r="AA15" s="114"/>
      <c r="AB15" s="114"/>
      <c r="AC15" s="113"/>
      <c r="AD15" s="113"/>
      <c r="AH15" s="126"/>
    </row>
    <row r="16" spans="1:34" s="118" customFormat="1" ht="36" customHeight="1" x14ac:dyDescent="0.25">
      <c r="B16" s="114"/>
      <c r="C16" s="113"/>
      <c r="D16" s="113"/>
      <c r="E16" s="113"/>
      <c r="F16" s="113"/>
      <c r="G16" s="113"/>
      <c r="H16" s="113"/>
      <c r="I16" s="113"/>
      <c r="J16" s="127"/>
      <c r="K16" s="128"/>
      <c r="L16" s="127"/>
      <c r="M16" s="127"/>
      <c r="N16" s="127"/>
      <c r="O16" s="127"/>
      <c r="P16" s="129"/>
      <c r="R16" s="113"/>
      <c r="S16" s="114"/>
      <c r="T16" s="114"/>
      <c r="U16" s="114"/>
      <c r="V16" s="114"/>
      <c r="W16" s="114"/>
      <c r="X16" s="114"/>
      <c r="Y16" s="119"/>
      <c r="Z16" s="119"/>
      <c r="AA16" s="114"/>
      <c r="AB16" s="114"/>
      <c r="AC16" s="113"/>
      <c r="AD16" s="113"/>
    </row>
    <row r="17" spans="2:30" s="118" customFormat="1" ht="36" customHeight="1" x14ac:dyDescent="0.25">
      <c r="B17" s="114"/>
      <c r="C17" s="113"/>
      <c r="D17" s="113"/>
      <c r="E17" s="113"/>
      <c r="F17" s="113"/>
      <c r="G17" s="113"/>
      <c r="H17" s="113"/>
      <c r="I17" s="113"/>
      <c r="J17" s="127"/>
      <c r="K17" s="128"/>
      <c r="L17" s="127"/>
      <c r="M17" s="127"/>
      <c r="N17" s="127"/>
      <c r="O17" s="127"/>
      <c r="P17" s="129"/>
      <c r="R17" s="113"/>
      <c r="S17" s="114"/>
      <c r="T17" s="114"/>
      <c r="U17" s="114"/>
      <c r="V17" s="114"/>
      <c r="W17" s="114"/>
      <c r="X17" s="114"/>
      <c r="Y17" s="119"/>
      <c r="Z17" s="119"/>
      <c r="AA17" s="114"/>
      <c r="AB17" s="114"/>
      <c r="AC17" s="113"/>
      <c r="AD17" s="113"/>
    </row>
    <row r="18" spans="2:30" s="118" customFormat="1" ht="36" customHeight="1" x14ac:dyDescent="0.25">
      <c r="B18" s="114"/>
      <c r="C18" s="113"/>
      <c r="D18" s="113"/>
      <c r="E18" s="113"/>
      <c r="F18" s="113"/>
      <c r="G18" s="113"/>
      <c r="H18" s="113"/>
      <c r="I18" s="113"/>
      <c r="J18" s="127"/>
      <c r="K18" s="128"/>
      <c r="L18" s="127"/>
      <c r="M18" s="127"/>
      <c r="N18" s="127"/>
      <c r="O18" s="127"/>
      <c r="P18" s="129"/>
      <c r="R18" s="113"/>
      <c r="S18" s="114"/>
      <c r="T18" s="114"/>
      <c r="U18" s="114"/>
      <c r="V18" s="114"/>
      <c r="W18" s="114"/>
      <c r="X18" s="114"/>
      <c r="Y18" s="119"/>
      <c r="Z18" s="119"/>
      <c r="AA18" s="114"/>
      <c r="AB18" s="114"/>
      <c r="AC18" s="113"/>
      <c r="AD18" s="113"/>
    </row>
    <row r="19" spans="2:30" s="118" customFormat="1" ht="36" customHeight="1" x14ac:dyDescent="0.25">
      <c r="B19" s="114"/>
      <c r="C19" s="113"/>
      <c r="D19" s="113"/>
      <c r="E19" s="113"/>
      <c r="F19" s="113"/>
      <c r="G19" s="113"/>
      <c r="H19" s="113"/>
      <c r="I19" s="113"/>
      <c r="J19" s="127"/>
      <c r="K19" s="128"/>
      <c r="L19" s="127"/>
      <c r="M19" s="127"/>
      <c r="N19" s="127"/>
      <c r="O19" s="127"/>
      <c r="P19" s="129"/>
      <c r="R19" s="113"/>
      <c r="S19" s="114"/>
      <c r="T19" s="114"/>
      <c r="U19" s="114"/>
      <c r="V19" s="114"/>
      <c r="W19" s="114"/>
      <c r="X19" s="114"/>
      <c r="Y19" s="119"/>
      <c r="Z19" s="119"/>
      <c r="AA19" s="114"/>
      <c r="AB19" s="114"/>
      <c r="AC19" s="113"/>
      <c r="AD19" s="113"/>
    </row>
    <row r="20" spans="2:30" s="118" customFormat="1" ht="36" customHeight="1" x14ac:dyDescent="0.25">
      <c r="B20" s="114"/>
      <c r="C20" s="113"/>
      <c r="D20" s="113"/>
      <c r="E20" s="113"/>
      <c r="F20" s="113"/>
      <c r="G20" s="113"/>
      <c r="H20" s="113"/>
      <c r="I20" s="113"/>
      <c r="J20" s="127"/>
      <c r="K20" s="128"/>
      <c r="L20" s="127"/>
      <c r="M20" s="127"/>
      <c r="N20" s="127"/>
      <c r="O20" s="127"/>
      <c r="P20" s="129"/>
      <c r="R20" s="113"/>
      <c r="S20" s="114"/>
      <c r="T20" s="114"/>
      <c r="U20" s="114"/>
      <c r="V20" s="114"/>
      <c r="W20" s="114"/>
      <c r="X20" s="114"/>
      <c r="Y20" s="119"/>
      <c r="Z20" s="119"/>
      <c r="AA20" s="114"/>
      <c r="AB20" s="114"/>
      <c r="AC20" s="113"/>
      <c r="AD20" s="113"/>
    </row>
    <row r="21" spans="2:30" s="118" customFormat="1" ht="36" customHeight="1" x14ac:dyDescent="0.25">
      <c r="B21" s="114"/>
      <c r="C21" s="113"/>
      <c r="D21" s="113"/>
      <c r="E21" s="113"/>
      <c r="F21" s="113"/>
      <c r="G21" s="113"/>
      <c r="H21" s="113"/>
      <c r="I21" s="113"/>
      <c r="J21" s="127"/>
      <c r="K21" s="128"/>
      <c r="L21" s="127"/>
      <c r="M21" s="127"/>
      <c r="N21" s="127"/>
      <c r="O21" s="127"/>
      <c r="P21" s="129"/>
      <c r="R21" s="113"/>
      <c r="S21" s="114"/>
      <c r="T21" s="114"/>
      <c r="U21" s="114"/>
      <c r="V21" s="114"/>
      <c r="W21" s="114"/>
      <c r="X21" s="114"/>
      <c r="Y21" s="119"/>
      <c r="Z21" s="119"/>
      <c r="AA21" s="114"/>
      <c r="AB21" s="114"/>
      <c r="AC21" s="113"/>
      <c r="AD21" s="113"/>
    </row>
    <row r="22" spans="2:30" s="118" customFormat="1" ht="36" customHeight="1" x14ac:dyDescent="0.25">
      <c r="B22" s="114"/>
      <c r="C22" s="116"/>
      <c r="D22" s="116"/>
      <c r="E22" s="116"/>
      <c r="F22" s="116"/>
      <c r="G22" s="116"/>
      <c r="H22" s="116"/>
      <c r="I22" s="116"/>
      <c r="J22" s="127"/>
      <c r="K22" s="128"/>
      <c r="L22" s="127"/>
      <c r="M22" s="127"/>
      <c r="N22" s="127"/>
      <c r="O22" s="127"/>
      <c r="P22" s="129"/>
      <c r="R22" s="113"/>
      <c r="S22" s="114"/>
      <c r="T22" s="114"/>
      <c r="U22" s="114"/>
      <c r="V22" s="114"/>
      <c r="W22" s="114"/>
      <c r="X22" s="114"/>
      <c r="Y22" s="119"/>
      <c r="Z22" s="119"/>
      <c r="AA22" s="114"/>
      <c r="AB22" s="114"/>
      <c r="AC22" s="113"/>
      <c r="AD22" s="113"/>
    </row>
    <row r="23" spans="2:30" s="118" customFormat="1" ht="36" customHeight="1" x14ac:dyDescent="0.25">
      <c r="B23" s="114"/>
      <c r="C23" s="116"/>
      <c r="D23" s="116"/>
      <c r="E23" s="116"/>
      <c r="F23" s="116"/>
      <c r="G23" s="116"/>
      <c r="H23" s="116"/>
      <c r="I23" s="116"/>
      <c r="J23" s="127"/>
      <c r="K23" s="128"/>
      <c r="L23" s="127"/>
      <c r="M23" s="127"/>
      <c r="N23" s="127"/>
      <c r="O23" s="127"/>
      <c r="P23" s="129"/>
      <c r="R23" s="113"/>
      <c r="S23" s="114"/>
      <c r="T23" s="114"/>
      <c r="U23" s="114"/>
      <c r="V23" s="114"/>
      <c r="W23" s="114"/>
      <c r="X23" s="114"/>
      <c r="Y23" s="119"/>
      <c r="Z23" s="119"/>
      <c r="AA23" s="114"/>
      <c r="AB23" s="114"/>
      <c r="AC23" s="113"/>
      <c r="AD23" s="113"/>
    </row>
    <row r="24" spans="2:30" s="118" customFormat="1" ht="36" customHeight="1" x14ac:dyDescent="0.25">
      <c r="B24" s="114"/>
      <c r="C24" s="116"/>
      <c r="D24" s="116"/>
      <c r="E24" s="116"/>
      <c r="F24" s="116"/>
      <c r="G24" s="116"/>
      <c r="H24" s="116"/>
      <c r="I24" s="116"/>
      <c r="J24" s="127"/>
      <c r="K24" s="128"/>
      <c r="L24" s="127"/>
      <c r="M24" s="127"/>
      <c r="N24" s="127"/>
      <c r="O24" s="127"/>
      <c r="P24" s="129"/>
      <c r="R24" s="113"/>
      <c r="S24" s="114"/>
      <c r="T24" s="114"/>
      <c r="U24" s="114"/>
      <c r="V24" s="114"/>
      <c r="W24" s="114"/>
      <c r="X24" s="114"/>
      <c r="Y24" s="119"/>
      <c r="Z24" s="119"/>
      <c r="AA24" s="114"/>
      <c r="AB24" s="114"/>
      <c r="AC24" s="113"/>
      <c r="AD24" s="113"/>
    </row>
    <row r="25" spans="2:30" s="118" customFormat="1" ht="36" customHeight="1" x14ac:dyDescent="0.25">
      <c r="B25" s="114"/>
      <c r="C25" s="116"/>
      <c r="D25" s="116"/>
      <c r="E25" s="116"/>
      <c r="F25" s="116"/>
      <c r="G25" s="116"/>
      <c r="H25" s="116"/>
      <c r="I25" s="116"/>
      <c r="J25" s="127"/>
      <c r="K25" s="128"/>
      <c r="L25" s="127"/>
      <c r="M25" s="127"/>
      <c r="N25" s="127"/>
      <c r="O25" s="127"/>
      <c r="P25" s="129"/>
      <c r="R25" s="113"/>
      <c r="S25" s="114"/>
      <c r="T25" s="114"/>
      <c r="U25" s="114"/>
      <c r="V25" s="114"/>
      <c r="W25" s="114"/>
      <c r="X25" s="114"/>
      <c r="Y25" s="119"/>
      <c r="Z25" s="119"/>
      <c r="AA25" s="114"/>
      <c r="AB25" s="114"/>
      <c r="AC25" s="113"/>
      <c r="AD25" s="113"/>
    </row>
    <row r="26" spans="2:30" s="118" customFormat="1" ht="36" customHeight="1" x14ac:dyDescent="0.25">
      <c r="B26" s="114"/>
      <c r="C26" s="116"/>
      <c r="D26" s="116"/>
      <c r="E26" s="116"/>
      <c r="F26" s="116"/>
      <c r="G26" s="116"/>
      <c r="H26" s="116"/>
      <c r="I26" s="116"/>
      <c r="J26" s="127"/>
      <c r="K26" s="128"/>
      <c r="L26" s="127"/>
      <c r="M26" s="127"/>
      <c r="N26" s="127"/>
      <c r="O26" s="127"/>
      <c r="P26" s="129"/>
      <c r="R26" s="113"/>
      <c r="S26" s="114"/>
      <c r="T26" s="114"/>
      <c r="U26" s="114"/>
      <c r="V26" s="114"/>
      <c r="W26" s="114"/>
      <c r="X26" s="114"/>
      <c r="Y26" s="119"/>
      <c r="Z26" s="119"/>
      <c r="AA26" s="114"/>
      <c r="AB26" s="114"/>
      <c r="AC26" s="113"/>
      <c r="AD26" s="113"/>
    </row>
    <row r="27" spans="2:30" s="118" customFormat="1" ht="36" customHeight="1" x14ac:dyDescent="0.25">
      <c r="B27" s="114"/>
      <c r="C27" s="116"/>
      <c r="D27" s="116"/>
      <c r="E27" s="116"/>
      <c r="F27" s="116"/>
      <c r="G27" s="116"/>
      <c r="H27" s="116"/>
      <c r="I27" s="116"/>
      <c r="J27" s="127"/>
      <c r="K27" s="128"/>
      <c r="L27" s="127"/>
      <c r="M27" s="127"/>
      <c r="N27" s="127"/>
      <c r="O27" s="127"/>
      <c r="P27" s="129"/>
      <c r="R27" s="113"/>
      <c r="S27" s="114"/>
      <c r="T27" s="114"/>
      <c r="U27" s="114"/>
      <c r="V27" s="114"/>
      <c r="W27" s="114"/>
      <c r="X27" s="114"/>
      <c r="Y27" s="119"/>
      <c r="Z27" s="119"/>
      <c r="AA27" s="114"/>
      <c r="AB27" s="114"/>
      <c r="AC27" s="113"/>
      <c r="AD27" s="113"/>
    </row>
    <row r="28" spans="2:30" s="118" customFormat="1" ht="36" customHeight="1" x14ac:dyDescent="0.25">
      <c r="B28" s="114"/>
      <c r="C28" s="116"/>
      <c r="D28" s="116"/>
      <c r="E28" s="116"/>
      <c r="F28" s="116"/>
      <c r="G28" s="116"/>
      <c r="H28" s="116"/>
      <c r="I28" s="116"/>
      <c r="J28" s="127"/>
      <c r="K28" s="128"/>
      <c r="L28" s="127"/>
      <c r="M28" s="127"/>
      <c r="N28" s="127"/>
      <c r="O28" s="127"/>
      <c r="P28" s="129"/>
      <c r="R28" s="113"/>
      <c r="S28" s="114"/>
      <c r="T28" s="114"/>
      <c r="U28" s="114"/>
      <c r="V28" s="114"/>
      <c r="W28" s="114"/>
      <c r="X28" s="114"/>
      <c r="Y28" s="119"/>
      <c r="Z28" s="119"/>
      <c r="AA28" s="114"/>
      <c r="AB28" s="114"/>
      <c r="AC28" s="113"/>
      <c r="AD28" s="113"/>
    </row>
    <row r="29" spans="2:30" s="118" customFormat="1" ht="36" customHeight="1" x14ac:dyDescent="0.25">
      <c r="B29" s="114"/>
      <c r="C29" s="116"/>
      <c r="D29" s="116"/>
      <c r="E29" s="116"/>
      <c r="F29" s="116"/>
      <c r="G29" s="116"/>
      <c r="H29" s="116"/>
      <c r="I29" s="116"/>
      <c r="J29" s="127"/>
      <c r="K29" s="128"/>
      <c r="L29" s="127"/>
      <c r="M29" s="127"/>
      <c r="N29" s="127"/>
      <c r="O29" s="127"/>
      <c r="P29" s="129"/>
      <c r="R29" s="113"/>
      <c r="S29" s="114"/>
      <c r="T29" s="114"/>
      <c r="U29" s="114"/>
      <c r="V29" s="114"/>
      <c r="W29" s="114"/>
      <c r="X29" s="114"/>
      <c r="Y29" s="119"/>
      <c r="Z29" s="119"/>
      <c r="AA29" s="114"/>
      <c r="AB29" s="114"/>
      <c r="AC29" s="113"/>
      <c r="AD29" s="113"/>
    </row>
    <row r="30" spans="2:30" x14ac:dyDescent="0.25">
      <c r="Y30" s="119"/>
      <c r="Z30" s="119"/>
    </row>
    <row r="31" spans="2:30" x14ac:dyDescent="0.25">
      <c r="Y31" s="119"/>
      <c r="Z31" s="119"/>
    </row>
    <row r="32" spans="2:30" x14ac:dyDescent="0.25">
      <c r="Y32" s="119"/>
      <c r="Z32" s="119"/>
    </row>
    <row r="33" spans="25:26" x14ac:dyDescent="0.25">
      <c r="Y33" s="119"/>
      <c r="Z33" s="119"/>
    </row>
    <row r="34" spans="25:26" x14ac:dyDescent="0.25">
      <c r="Y34" s="119"/>
      <c r="Z34" s="119"/>
    </row>
    <row r="35" spans="25:26" x14ac:dyDescent="0.25">
      <c r="Y35" s="119"/>
      <c r="Z35" s="119"/>
    </row>
    <row r="36" spans="25:26" x14ac:dyDescent="0.25">
      <c r="Y36" s="119"/>
      <c r="Z36" s="119"/>
    </row>
    <row r="37" spans="25:26" x14ac:dyDescent="0.25">
      <c r="Y37" s="119"/>
      <c r="Z37" s="119"/>
    </row>
    <row r="38" spans="25:26" x14ac:dyDescent="0.25">
      <c r="Y38" s="119"/>
      <c r="Z38" s="119"/>
    </row>
    <row r="39" spans="25:26" x14ac:dyDescent="0.25">
      <c r="Y39" s="119"/>
      <c r="Z39" s="119"/>
    </row>
    <row r="40" spans="25:26" x14ac:dyDescent="0.25">
      <c r="Y40" s="119"/>
      <c r="Z40" s="119"/>
    </row>
    <row r="41" spans="25:26" x14ac:dyDescent="0.25">
      <c r="Y41" s="119"/>
      <c r="Z41" s="119"/>
    </row>
    <row r="42" spans="25:26" x14ac:dyDescent="0.25">
      <c r="Y42" s="119"/>
      <c r="Z42" s="119"/>
    </row>
    <row r="43" spans="25:26" x14ac:dyDescent="0.25">
      <c r="Y43" s="119"/>
      <c r="Z43" s="119"/>
    </row>
    <row r="44" spans="25:26" x14ac:dyDescent="0.25">
      <c r="Y44" s="119"/>
      <c r="Z44" s="119"/>
    </row>
    <row r="45" spans="25:26" x14ac:dyDescent="0.25">
      <c r="Y45" s="119"/>
      <c r="Z45" s="119"/>
    </row>
    <row r="46" spans="25:26" x14ac:dyDescent="0.25">
      <c r="Y46" s="119"/>
      <c r="Z46" s="119"/>
    </row>
    <row r="47" spans="25:26" x14ac:dyDescent="0.25">
      <c r="Y47" s="119"/>
      <c r="Z47" s="119"/>
    </row>
    <row r="48" spans="25:26" x14ac:dyDescent="0.25">
      <c r="Y48" s="119"/>
      <c r="Z48" s="119"/>
    </row>
    <row r="49" spans="25:26" x14ac:dyDescent="0.25">
      <c r="Y49" s="119"/>
      <c r="Z49" s="119"/>
    </row>
    <row r="50" spans="25:26" x14ac:dyDescent="0.25">
      <c r="Y50" s="119"/>
      <c r="Z50" s="119"/>
    </row>
    <row r="51" spans="25:26" x14ac:dyDescent="0.25">
      <c r="Y51" s="119"/>
      <c r="Z51" s="119"/>
    </row>
    <row r="52" spans="25:26" x14ac:dyDescent="0.25">
      <c r="Y52" s="119"/>
      <c r="Z52" s="119"/>
    </row>
    <row r="53" spans="25:26" x14ac:dyDescent="0.25">
      <c r="Y53" s="119"/>
      <c r="Z53" s="119"/>
    </row>
    <row r="54" spans="25:26" x14ac:dyDescent="0.25">
      <c r="Y54" s="119"/>
      <c r="Z54" s="119"/>
    </row>
    <row r="55" spans="25:26" x14ac:dyDescent="0.25">
      <c r="Y55" s="119"/>
      <c r="Z55" s="119"/>
    </row>
    <row r="56" spans="25:26" x14ac:dyDescent="0.25">
      <c r="Y56" s="119"/>
      <c r="Z56" s="119"/>
    </row>
    <row r="57" spans="25:26" x14ac:dyDescent="0.25">
      <c r="Y57" s="119"/>
      <c r="Z57" s="119"/>
    </row>
    <row r="58" spans="25:26" x14ac:dyDescent="0.25">
      <c r="Y58" s="119"/>
      <c r="Z58" s="119"/>
    </row>
    <row r="59" spans="25:26" x14ac:dyDescent="0.25">
      <c r="Y59" s="119"/>
      <c r="Z59" s="119"/>
    </row>
    <row r="60" spans="25:26" x14ac:dyDescent="0.25">
      <c r="Y60" s="119"/>
      <c r="Z60" s="119"/>
    </row>
    <row r="61" spans="25:26" x14ac:dyDescent="0.25">
      <c r="Y61" s="119"/>
      <c r="Z61" s="119"/>
    </row>
    <row r="62" spans="25:26" x14ac:dyDescent="0.25">
      <c r="Y62" s="119"/>
      <c r="Z62" s="119"/>
    </row>
    <row r="63" spans="25:26" x14ac:dyDescent="0.25">
      <c r="Y63" s="119"/>
      <c r="Z63" s="119"/>
    </row>
    <row r="64" spans="25:26" x14ac:dyDescent="0.25">
      <c r="Y64" s="119"/>
      <c r="Z64" s="119"/>
    </row>
    <row r="65" spans="25:26" x14ac:dyDescent="0.25">
      <c r="Y65" s="119"/>
      <c r="Z65" s="119"/>
    </row>
    <row r="66" spans="25:26" x14ac:dyDescent="0.25">
      <c r="Y66" s="119"/>
      <c r="Z66" s="119"/>
    </row>
    <row r="67" spans="25:26" x14ac:dyDescent="0.25">
      <c r="Y67" s="119"/>
      <c r="Z67" s="119"/>
    </row>
    <row r="68" spans="25:26" x14ac:dyDescent="0.25">
      <c r="Y68" s="119"/>
      <c r="Z68" s="119"/>
    </row>
    <row r="69" spans="25:26" x14ac:dyDescent="0.25">
      <c r="Y69" s="119"/>
      <c r="Z69" s="119"/>
    </row>
    <row r="70" spans="25:26" x14ac:dyDescent="0.25">
      <c r="Y70" s="119"/>
      <c r="Z70" s="119"/>
    </row>
    <row r="71" spans="25:26" x14ac:dyDescent="0.25">
      <c r="Y71" s="119"/>
      <c r="Z71" s="119"/>
    </row>
    <row r="72" spans="25:26" x14ac:dyDescent="0.25">
      <c r="Y72" s="119"/>
      <c r="Z72" s="119"/>
    </row>
    <row r="73" spans="25:26" x14ac:dyDescent="0.25">
      <c r="Y73" s="119"/>
      <c r="Z73" s="119"/>
    </row>
    <row r="74" spans="25:26" x14ac:dyDescent="0.25">
      <c r="Y74" s="119"/>
      <c r="Z74" s="119"/>
    </row>
    <row r="75" spans="25:26" x14ac:dyDescent="0.25">
      <c r="Y75" s="119"/>
      <c r="Z75" s="119"/>
    </row>
    <row r="76" spans="25:26" x14ac:dyDescent="0.25">
      <c r="Y76" s="119"/>
      <c r="Z76" s="119"/>
    </row>
    <row r="77" spans="25:26" x14ac:dyDescent="0.25">
      <c r="Y77" s="119"/>
      <c r="Z77" s="119"/>
    </row>
    <row r="78" spans="25:26" x14ac:dyDescent="0.25">
      <c r="Y78" s="119"/>
      <c r="Z78" s="119"/>
    </row>
    <row r="79" spans="25:26" x14ac:dyDescent="0.25">
      <c r="Y79" s="119"/>
      <c r="Z79" s="119"/>
    </row>
    <row r="80" spans="25:26" x14ac:dyDescent="0.25">
      <c r="Y80" s="119"/>
      <c r="Z80" s="119"/>
    </row>
    <row r="81" spans="25:26" x14ac:dyDescent="0.25">
      <c r="Y81" s="119"/>
      <c r="Z81" s="119"/>
    </row>
    <row r="82" spans="25:26" x14ac:dyDescent="0.25">
      <c r="Y82" s="119"/>
      <c r="Z82" s="119"/>
    </row>
    <row r="83" spans="25:26" x14ac:dyDescent="0.25">
      <c r="Y83" s="119"/>
      <c r="Z83" s="119"/>
    </row>
    <row r="84" spans="25:26" x14ac:dyDescent="0.25">
      <c r="Y84" s="119"/>
      <c r="Z84" s="119"/>
    </row>
    <row r="85" spans="25:26" x14ac:dyDescent="0.25">
      <c r="Y85" s="119"/>
      <c r="Z85" s="119"/>
    </row>
    <row r="86" spans="25:26" x14ac:dyDescent="0.25">
      <c r="Y86" s="119"/>
      <c r="Z86" s="119"/>
    </row>
    <row r="87" spans="25:26" x14ac:dyDescent="0.25">
      <c r="Y87" s="119"/>
      <c r="Z87" s="119"/>
    </row>
    <row r="88" spans="25:26" x14ac:dyDescent="0.25">
      <c r="Y88" s="119"/>
      <c r="Z88" s="119"/>
    </row>
    <row r="89" spans="25:26" x14ac:dyDescent="0.25">
      <c r="Y89" s="119"/>
      <c r="Z89" s="119"/>
    </row>
    <row r="90" spans="25:26" x14ac:dyDescent="0.25">
      <c r="Y90" s="119"/>
      <c r="Z90" s="119"/>
    </row>
    <row r="91" spans="25:26" x14ac:dyDescent="0.25">
      <c r="Y91" s="119"/>
      <c r="Z91" s="119"/>
    </row>
    <row r="92" spans="25:26" x14ac:dyDescent="0.25">
      <c r="Y92" s="119"/>
      <c r="Z92" s="119"/>
    </row>
    <row r="93" spans="25:26" x14ac:dyDescent="0.25">
      <c r="Y93" s="119"/>
      <c r="Z93" s="119"/>
    </row>
    <row r="94" spans="25:26" x14ac:dyDescent="0.25">
      <c r="Y94" s="119"/>
      <c r="Z94" s="119"/>
    </row>
    <row r="95" spans="25:26" x14ac:dyDescent="0.25">
      <c r="Y95" s="119"/>
      <c r="Z95" s="119"/>
    </row>
    <row r="96" spans="25:26" x14ac:dyDescent="0.25">
      <c r="Y96" s="119"/>
      <c r="Z96" s="119"/>
    </row>
    <row r="97" spans="25:26" x14ac:dyDescent="0.25">
      <c r="Y97" s="119"/>
      <c r="Z97" s="119"/>
    </row>
    <row r="98" spans="25:26" x14ac:dyDescent="0.25">
      <c r="Y98" s="119"/>
      <c r="Z98" s="119"/>
    </row>
    <row r="99" spans="25:26" x14ac:dyDescent="0.25">
      <c r="Y99" s="119"/>
      <c r="Z99" s="119"/>
    </row>
    <row r="100" spans="25:26" x14ac:dyDescent="0.25">
      <c r="Y100" s="119"/>
      <c r="Z100" s="119"/>
    </row>
    <row r="101" spans="25:26" x14ac:dyDescent="0.25">
      <c r="Y101" s="119"/>
      <c r="Z101" s="119"/>
    </row>
    <row r="102" spans="25:26" x14ac:dyDescent="0.25">
      <c r="Y102" s="119"/>
      <c r="Z102" s="119"/>
    </row>
    <row r="103" spans="25:26" x14ac:dyDescent="0.25">
      <c r="Y103" s="119"/>
      <c r="Z103" s="119"/>
    </row>
    <row r="104" spans="25:26" x14ac:dyDescent="0.25">
      <c r="Y104" s="119"/>
      <c r="Z104" s="119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 xr:uid="{00000000-0002-0000-0D00-000000000000}"/>
    <dataValidation type="list" allowBlank="1" showInputMessage="1" showErrorMessage="1" promptTitle="Mens/Womens Weight Classes" prompt="Make a selection from the Division menu first so the program can choose the Men's or Women's weight classes." sqref="J7" xr:uid="{00000000-0002-0000-0D00-000001000000}">
      <formula1>INDIRECT($B$7)</formula1>
    </dataValidation>
    <dataValidation type="list" allowBlank="1" showInputMessage="1" showErrorMessage="1" sqref="J6" xr:uid="{00000000-0002-0000-0D00-000002000000}">
      <formula1>INDIRECT($B$6)</formula1>
    </dataValidation>
    <dataValidation type="list" allowBlank="1" showInputMessage="1" showErrorMessage="1" sqref="L7:O7" xr:uid="{00000000-0002-0000-0D00-000003000000}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/>
  <dimension ref="B2:N28"/>
  <sheetViews>
    <sheetView workbookViewId="0"/>
  </sheetViews>
  <sheetFormatPr defaultColWidth="8.88671875" defaultRowHeight="13.2" x14ac:dyDescent="0.25"/>
  <sheetData>
    <row r="2" spans="2:14" x14ac:dyDescent="0.25">
      <c r="B2" s="412" t="s">
        <v>126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2:14" x14ac:dyDescent="0.25">
      <c r="B3" s="412" t="s">
        <v>127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2:14" x14ac:dyDescent="0.25">
      <c r="B4" s="412" t="s">
        <v>45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2:14" x14ac:dyDescent="0.25"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2:14" x14ac:dyDescent="0.25">
      <c r="B6" s="412" t="s">
        <v>129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</row>
    <row r="7" spans="2:14" x14ac:dyDescent="0.25">
      <c r="B7" s="412" t="s">
        <v>128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</row>
    <row r="8" spans="2:14" x14ac:dyDescent="0.25"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</row>
    <row r="9" spans="2:14" x14ac:dyDescent="0.25">
      <c r="B9" s="412" t="s">
        <v>46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</row>
    <row r="10" spans="2:14" x14ac:dyDescent="0.25">
      <c r="B10" s="412" t="s">
        <v>131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</row>
    <row r="11" spans="2:14" x14ac:dyDescent="0.25">
      <c r="B11" s="412" t="s">
        <v>47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</row>
    <row r="12" spans="2:14" x14ac:dyDescent="0.25">
      <c r="B12" s="412" t="s">
        <v>130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</row>
    <row r="13" spans="2:14" x14ac:dyDescent="0.25">
      <c r="B13" s="412" t="s">
        <v>48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</row>
    <row r="14" spans="2:14" x14ac:dyDescent="0.25">
      <c r="B14" s="11"/>
    </row>
    <row r="15" spans="2:14" x14ac:dyDescent="0.25">
      <c r="B15" s="11" t="s">
        <v>49</v>
      </c>
    </row>
    <row r="16" spans="2:14" x14ac:dyDescent="0.25">
      <c r="B16" s="11"/>
    </row>
    <row r="17" spans="2:7" x14ac:dyDescent="0.25">
      <c r="B17" s="11" t="s">
        <v>50</v>
      </c>
    </row>
    <row r="18" spans="2:7" x14ac:dyDescent="0.25">
      <c r="B18" t="s">
        <v>51</v>
      </c>
    </row>
    <row r="20" spans="2:7" x14ac:dyDescent="0.25">
      <c r="B20" t="s">
        <v>52</v>
      </c>
    </row>
    <row r="21" spans="2:7" x14ac:dyDescent="0.25">
      <c r="B21" t="s">
        <v>53</v>
      </c>
      <c r="C21" s="12" t="s">
        <v>54</v>
      </c>
    </row>
    <row r="22" spans="2:7" x14ac:dyDescent="0.25">
      <c r="B22" t="s">
        <v>55</v>
      </c>
      <c r="C22" s="12" t="s">
        <v>56</v>
      </c>
    </row>
    <row r="24" spans="2:7" x14ac:dyDescent="0.25">
      <c r="B24" t="s">
        <v>57</v>
      </c>
    </row>
    <row r="25" spans="2:7" x14ac:dyDescent="0.25">
      <c r="B25" t="s">
        <v>53</v>
      </c>
      <c r="C25" t="s">
        <v>58</v>
      </c>
    </row>
    <row r="26" spans="2:7" x14ac:dyDescent="0.25">
      <c r="B26" t="s">
        <v>55</v>
      </c>
      <c r="C26" t="s">
        <v>59</v>
      </c>
    </row>
    <row r="27" spans="2:7" x14ac:dyDescent="0.25">
      <c r="B27" t="s">
        <v>60</v>
      </c>
      <c r="C27" t="s">
        <v>74</v>
      </c>
    </row>
    <row r="28" spans="2:7" x14ac:dyDescent="0.25">
      <c r="G28" s="11"/>
    </row>
  </sheetData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phoneticPr fontId="0" type="noConversion"/>
  <hyperlinks>
    <hyperlink ref="C21" r:id="rId1" xr:uid="{00000000-0004-0000-0E00-000000000000}"/>
    <hyperlink ref="C22" r:id="rId2" xr:uid="{00000000-0004-0000-0E00-000001000000}"/>
  </hyperlinks>
  <pageMargins left="0.75" right="0.75" top="1" bottom="1" header="0.5" footer="0.5"/>
  <pageSetup orientation="portrait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R260"/>
  <sheetViews>
    <sheetView workbookViewId="0">
      <selection activeCell="K2" sqref="K2"/>
    </sheetView>
  </sheetViews>
  <sheetFormatPr defaultColWidth="9.109375" defaultRowHeight="12.75" customHeight="1" x14ac:dyDescent="0.25"/>
  <cols>
    <col min="1" max="1" width="9.6640625" style="167" customWidth="1"/>
    <col min="2" max="2" width="4.6640625" style="170" customWidth="1"/>
    <col min="3" max="3" width="4.6640625" style="171" customWidth="1"/>
    <col min="4" max="4" width="4.6640625" style="170" customWidth="1"/>
    <col min="5" max="5" width="4.6640625" style="171" customWidth="1"/>
    <col min="6" max="6" width="4.6640625" style="170" customWidth="1"/>
    <col min="7" max="7" width="4.6640625" style="171" customWidth="1"/>
    <col min="8" max="8" width="4.6640625" style="170" customWidth="1"/>
    <col min="9" max="9" width="4.6640625" style="171" customWidth="1"/>
    <col min="10" max="10" width="4.6640625" style="170" customWidth="1"/>
    <col min="11" max="11" width="7.33203125" style="171" customWidth="1"/>
    <col min="12" max="18" width="9.109375" style="167" hidden="1" customWidth="1"/>
    <col min="19" max="16384" width="9.109375" style="167"/>
  </cols>
  <sheetData>
    <row r="1" spans="1:17" s="161" customFormat="1" ht="25.5" customHeight="1" x14ac:dyDescent="0.25">
      <c r="A1" s="157" t="s">
        <v>139</v>
      </c>
      <c r="B1" s="158">
        <v>4</v>
      </c>
      <c r="C1" s="159">
        <v>0</v>
      </c>
      <c r="D1" s="158">
        <v>0</v>
      </c>
      <c r="E1" s="159">
        <v>16</v>
      </c>
      <c r="F1" s="158">
        <v>2</v>
      </c>
      <c r="G1" s="159">
        <v>2</v>
      </c>
      <c r="H1" s="158">
        <v>4</v>
      </c>
      <c r="I1" s="159">
        <v>2</v>
      </c>
      <c r="J1" s="158">
        <v>2</v>
      </c>
      <c r="K1" s="159" t="s">
        <v>140</v>
      </c>
      <c r="L1" s="160">
        <f>K2+B2*B1+C2*C1+D2*D1+E2*E1+F2*F1+G2*G1+H2*H1+I2*I1+J2*J1</f>
        <v>632.5</v>
      </c>
      <c r="M1" s="160"/>
    </row>
    <row r="2" spans="1:17" ht="12.75" customHeight="1" x14ac:dyDescent="0.25">
      <c r="A2" s="162" t="s">
        <v>75</v>
      </c>
      <c r="B2" s="163">
        <f>IF($A$2="Kilos",50,110)</f>
        <v>50</v>
      </c>
      <c r="C2" s="164">
        <f>IF($A$2="Kilos",45,100)</f>
        <v>45</v>
      </c>
      <c r="D2" s="163">
        <f>IF($A$2="Kilos",25,55)</f>
        <v>25</v>
      </c>
      <c r="E2" s="164">
        <f>IF($A$2="Kilos",20,45)</f>
        <v>20</v>
      </c>
      <c r="F2" s="163">
        <f>IF($A$2="Kilos",15,35)</f>
        <v>15</v>
      </c>
      <c r="G2" s="164">
        <f>IF($A$2="Kilos",10,25)</f>
        <v>10</v>
      </c>
      <c r="H2" s="163">
        <f>IF($A$2="Kilos",5,10)</f>
        <v>5</v>
      </c>
      <c r="I2" s="164">
        <f>IF($A$2="Kilos",2.5,5)</f>
        <v>2.5</v>
      </c>
      <c r="J2" s="163">
        <f>IF($A$2="Kilos",1.25,2.5)</f>
        <v>1.25</v>
      </c>
      <c r="K2" s="165">
        <v>35</v>
      </c>
      <c r="L2" s="166" t="s">
        <v>141</v>
      </c>
      <c r="M2" s="166"/>
      <c r="O2" s="167">
        <f>IF($A$2="Pounds",P2,Q2)</f>
        <v>20</v>
      </c>
      <c r="P2" s="167">
        <v>45</v>
      </c>
      <c r="Q2" s="167">
        <v>20</v>
      </c>
    </row>
    <row r="3" spans="1:17" ht="12.75" customHeight="1" x14ac:dyDescent="0.25">
      <c r="A3" s="168" t="s">
        <v>142</v>
      </c>
      <c r="B3" s="163"/>
      <c r="C3" s="164"/>
      <c r="D3" s="163"/>
      <c r="E3" s="164"/>
      <c r="F3" s="163"/>
      <c r="G3" s="164"/>
      <c r="H3" s="163"/>
      <c r="I3" s="164"/>
      <c r="J3" s="163"/>
      <c r="K3" s="164"/>
      <c r="L3" s="166"/>
      <c r="M3" s="166" t="s">
        <v>143</v>
      </c>
      <c r="O3" s="167">
        <f>IF($A$2="Pounds",P3,Q3)</f>
        <v>22.5</v>
      </c>
      <c r="P3" s="167">
        <v>50</v>
      </c>
      <c r="Q3" s="167">
        <v>22.5</v>
      </c>
    </row>
    <row r="4" spans="1:17" ht="12.75" customHeight="1" x14ac:dyDescent="0.25">
      <c r="A4" s="168">
        <f>IF(M4+$K$2&gt;$L$1,0,M4+$K$2)</f>
        <v>35</v>
      </c>
      <c r="B4" s="163">
        <f>IF(A4=0,0,MIN($B$1/2,INT(M4/(2*$B$2))))</f>
        <v>0</v>
      </c>
      <c r="C4" s="164">
        <f>IF(A4=0,0,MIN($C$1/2,INT(($M4-2*$B4*$B$2)/(2*$C$2))))</f>
        <v>0</v>
      </c>
      <c r="D4" s="163">
        <f>IF(A4=0,0,MIN($D$1/2,INT(($M4-2*$B4*$B$2-2*$C4*$C$2)/(2*$D$2))))</f>
        <v>0</v>
      </c>
      <c r="E4" s="164">
        <f>IF(A4=0,0,MIN($E$1/2,INT(($M4-2*$B4*$B$2-2*$C4*$C$2-2*$D4*$D$2)/(2*$E$2))))</f>
        <v>0</v>
      </c>
      <c r="F4" s="163">
        <f>IF(A4=0,0,MIN($F$1/2,INT(($M4-2*$B4*$B$2-2*$C4*$C$2-2*$D4*$D$2-2*$E4*$E$2)/(2*$F$2))))</f>
        <v>0</v>
      </c>
      <c r="G4" s="164">
        <f>IF(A4=0,0,MIN($G$1/2,INT(($M4-2*$B4*$B$2-2*$C4*$C$2-2*$D4*$D$2-2*$E4*$E$2-2*$F4*$F$2)/(2*$G$2))))</f>
        <v>0</v>
      </c>
      <c r="H4" s="163">
        <f>IF(A4=0,0,MIN($H$1/2,INT(($M4-2*$B4*$B$2-2*$C4*$C$2-2*$D4*$D$2-2*$E4*$E$2-2*$F4*$F$2-2*$G4*$G$2)/(2*$H$2))))</f>
        <v>0</v>
      </c>
      <c r="I4" s="164">
        <f>IF(A4=0,0,MIN($I$1/2,INT(($M4-2*$B4*$B$2-2*$C4*$C$2-2*$D4*$D$2-2*$E4*$E$2-2*$F4*$F$2-2*$G4*$G$2-2*$H4*$H$2)/(2*$I$2))))</f>
        <v>0</v>
      </c>
      <c r="J4" s="163">
        <f>IF(A4=0,0,MIN($J$1/2,INT(($M4-2*$B4*$B$2-2*$C4*$C$2-2*$D4*$D$2-2*$E4*$E$2-2*$F4*$F$2-2*$G4*$G$2-2*$H4*$H$2-2*$I4*$I$2)/(2*$J$2))))</f>
        <v>0</v>
      </c>
      <c r="K4" s="164"/>
      <c r="L4" s="166">
        <v>0</v>
      </c>
      <c r="M4" s="169">
        <v>0</v>
      </c>
      <c r="N4" s="167" t="str">
        <f>IF($K$2+2*(B4*$B$2+C4*$C$2+D4*$D$2+E4*$E$2+F4*$F$2+G4*$G$2+H4*$H$2+I4*$I$2+J4*$J$2)=A4,"","Not enough weight for this load")</f>
        <v/>
      </c>
      <c r="O4" s="167">
        <f>IF($A$2="Pounds",P4,Q4)</f>
        <v>25</v>
      </c>
      <c r="P4" s="167">
        <v>55</v>
      </c>
      <c r="Q4" s="167">
        <v>25</v>
      </c>
    </row>
    <row r="5" spans="1:17" ht="12.75" customHeight="1" x14ac:dyDescent="0.25">
      <c r="A5" s="168">
        <f t="shared" ref="A5:A68" si="0">IF(M5+$K$2&gt;$L$1,0,M5+$K$2)</f>
        <v>37.5</v>
      </c>
      <c r="B5" s="163">
        <f t="shared" ref="B5:B68" si="1">IF(A5=0,0,MIN($B$1/2,INT(M5/(2*$B$2))))</f>
        <v>0</v>
      </c>
      <c r="C5" s="164">
        <f t="shared" ref="C5:C68" si="2">IF(A5=0,0,MIN($C$1/2,INT(($M5-2*$B5*$B$2)/(2*$C$2))))</f>
        <v>0</v>
      </c>
      <c r="D5" s="163">
        <f t="shared" ref="D5:D68" si="3">IF(A5=0,0,MIN($D$1/2,INT(($M5-2*$B5*$B$2-2*$C5*$C$2)/(2*$D$2))))</f>
        <v>0</v>
      </c>
      <c r="E5" s="164">
        <f t="shared" ref="E5:E68" si="4">IF(A5=0,0,MIN($E$1/2,INT(($M5-2*$B5*$B$2-2*$C5*$C$2-2*$D5*$D$2)/(2*$E$2))))</f>
        <v>0</v>
      </c>
      <c r="F5" s="163">
        <f t="shared" ref="F5:F68" si="5">IF(A5=0,0,MIN($F$1/2,INT(($M5-2*$B5*$B$2-2*$C5*$C$2-2*$D5*$D$2-2*$E5*$E$2)/(2*$F$2))))</f>
        <v>0</v>
      </c>
      <c r="G5" s="164">
        <f t="shared" ref="G5:G68" si="6">IF(A5=0,0,MIN($G$1/2,INT(($M5-2*$B5*$B$2-2*$C5*$C$2-2*$D5*$D$2-2*$E5*$E$2-2*$F5*$F$2)/(2*$G$2))))</f>
        <v>0</v>
      </c>
      <c r="H5" s="163">
        <f t="shared" ref="H5:H68" si="7">IF(A5=0,0,MIN($H$1/2,INT(($M5-2*$B5*$B$2-2*$C5*$C$2-2*$D5*$D$2-2*$E5*$E$2-2*$F5*$F$2-2*$G5*$G$2)/(2*$H$2))))</f>
        <v>0</v>
      </c>
      <c r="I5" s="164">
        <f t="shared" ref="I5:I68" si="8">IF(A5=0,0,MIN($I$1/2,INT(($M5-2*$B5*$B$2-2*$C5*$C$2-2*$D5*$D$2-2*$E5*$E$2-2*$F5*$F$2-2*$G5*$G$2-2*$H5*$H$2)/(2*$I$2))))</f>
        <v>0</v>
      </c>
      <c r="J5" s="163">
        <f t="shared" ref="J5:J68" si="9">IF(A5=0,0,MIN($J$1/2,INT(($M5-2*$B5*$B$2-2*$C5*$C$2-2*$D5*$D$2-2*$E5*$E$2-2*$F5*$F$2-2*$G5*$G$2-2*$H5*$H$2-2*$I5*$I$2)/(2*$J$2))))</f>
        <v>1</v>
      </c>
      <c r="K5" s="164"/>
      <c r="L5" s="166">
        <v>1</v>
      </c>
      <c r="M5" s="166">
        <f t="shared" ref="M5:M68" si="10">IF($A$2="Pounds",5*L5,2.5*L5)</f>
        <v>2.5</v>
      </c>
      <c r="O5" s="167">
        <f>IF($A$2="Pounds",P5,Q5)</f>
        <v>30</v>
      </c>
      <c r="P5" s="167">
        <v>65</v>
      </c>
      <c r="Q5" s="167">
        <v>30</v>
      </c>
    </row>
    <row r="6" spans="1:17" ht="12.75" customHeight="1" x14ac:dyDescent="0.25">
      <c r="A6" s="168">
        <f t="shared" si="0"/>
        <v>40</v>
      </c>
      <c r="B6" s="163">
        <f t="shared" si="1"/>
        <v>0</v>
      </c>
      <c r="C6" s="164">
        <f t="shared" si="2"/>
        <v>0</v>
      </c>
      <c r="D6" s="163">
        <f t="shared" si="3"/>
        <v>0</v>
      </c>
      <c r="E6" s="164">
        <f t="shared" si="4"/>
        <v>0</v>
      </c>
      <c r="F6" s="163">
        <f t="shared" si="5"/>
        <v>0</v>
      </c>
      <c r="G6" s="164">
        <f t="shared" si="6"/>
        <v>0</v>
      </c>
      <c r="H6" s="163">
        <f t="shared" si="7"/>
        <v>0</v>
      </c>
      <c r="I6" s="164">
        <f t="shared" si="8"/>
        <v>1</v>
      </c>
      <c r="J6" s="163">
        <f t="shared" si="9"/>
        <v>0</v>
      </c>
      <c r="K6" s="164"/>
      <c r="L6" s="166">
        <v>2</v>
      </c>
      <c r="M6" s="166">
        <f t="shared" si="10"/>
        <v>5</v>
      </c>
      <c r="O6" s="167">
        <f>IF($A$2="Pounds",P6,Q6)</f>
        <v>32.5</v>
      </c>
      <c r="P6" s="167">
        <v>70</v>
      </c>
      <c r="Q6" s="167">
        <v>32.5</v>
      </c>
    </row>
    <row r="7" spans="1:17" ht="12.75" customHeight="1" x14ac:dyDescent="0.25">
      <c r="A7" s="168">
        <f t="shared" si="0"/>
        <v>42.5</v>
      </c>
      <c r="B7" s="163">
        <f t="shared" si="1"/>
        <v>0</v>
      </c>
      <c r="C7" s="164">
        <f t="shared" si="2"/>
        <v>0</v>
      </c>
      <c r="D7" s="163">
        <f t="shared" si="3"/>
        <v>0</v>
      </c>
      <c r="E7" s="164">
        <f t="shared" si="4"/>
        <v>0</v>
      </c>
      <c r="F7" s="163">
        <f t="shared" si="5"/>
        <v>0</v>
      </c>
      <c r="G7" s="164">
        <f t="shared" si="6"/>
        <v>0</v>
      </c>
      <c r="H7" s="163">
        <f t="shared" si="7"/>
        <v>0</v>
      </c>
      <c r="I7" s="164">
        <f t="shared" si="8"/>
        <v>1</v>
      </c>
      <c r="J7" s="163">
        <f t="shared" si="9"/>
        <v>1</v>
      </c>
      <c r="K7" s="164"/>
      <c r="L7" s="166">
        <v>3</v>
      </c>
      <c r="M7" s="166">
        <f t="shared" si="10"/>
        <v>7.5</v>
      </c>
      <c r="O7" s="167">
        <v>35</v>
      </c>
      <c r="P7" s="167">
        <v>75</v>
      </c>
      <c r="Q7" s="167">
        <v>35</v>
      </c>
    </row>
    <row r="8" spans="1:17" ht="12.75" customHeight="1" x14ac:dyDescent="0.25">
      <c r="A8" s="168">
        <f t="shared" si="0"/>
        <v>45</v>
      </c>
      <c r="B8" s="163">
        <f t="shared" si="1"/>
        <v>0</v>
      </c>
      <c r="C8" s="164">
        <f t="shared" si="2"/>
        <v>0</v>
      </c>
      <c r="D8" s="163">
        <f t="shared" si="3"/>
        <v>0</v>
      </c>
      <c r="E8" s="164">
        <f t="shared" si="4"/>
        <v>0</v>
      </c>
      <c r="F8" s="163">
        <f t="shared" si="5"/>
        <v>0</v>
      </c>
      <c r="G8" s="164">
        <f t="shared" si="6"/>
        <v>0</v>
      </c>
      <c r="H8" s="163">
        <f t="shared" si="7"/>
        <v>1</v>
      </c>
      <c r="I8" s="164">
        <f t="shared" si="8"/>
        <v>0</v>
      </c>
      <c r="J8" s="163">
        <f t="shared" si="9"/>
        <v>0</v>
      </c>
      <c r="K8" s="164"/>
      <c r="L8" s="166">
        <v>4</v>
      </c>
      <c r="M8" s="166">
        <f t="shared" si="10"/>
        <v>10</v>
      </c>
    </row>
    <row r="9" spans="1:17" ht="12.75" customHeight="1" x14ac:dyDescent="0.25">
      <c r="A9" s="168">
        <f t="shared" si="0"/>
        <v>47.5</v>
      </c>
      <c r="B9" s="163">
        <f t="shared" si="1"/>
        <v>0</v>
      </c>
      <c r="C9" s="164">
        <f t="shared" si="2"/>
        <v>0</v>
      </c>
      <c r="D9" s="163">
        <f t="shared" si="3"/>
        <v>0</v>
      </c>
      <c r="E9" s="164">
        <f t="shared" si="4"/>
        <v>0</v>
      </c>
      <c r="F9" s="163">
        <f t="shared" si="5"/>
        <v>0</v>
      </c>
      <c r="G9" s="164">
        <f t="shared" si="6"/>
        <v>0</v>
      </c>
      <c r="H9" s="163">
        <f t="shared" si="7"/>
        <v>1</v>
      </c>
      <c r="I9" s="164">
        <f t="shared" si="8"/>
        <v>0</v>
      </c>
      <c r="J9" s="163">
        <f t="shared" si="9"/>
        <v>1</v>
      </c>
      <c r="K9" s="164"/>
      <c r="L9" s="166">
        <v>5</v>
      </c>
      <c r="M9" s="166">
        <f t="shared" si="10"/>
        <v>12.5</v>
      </c>
    </row>
    <row r="10" spans="1:17" ht="12.75" customHeight="1" x14ac:dyDescent="0.25">
      <c r="A10" s="168">
        <f t="shared" si="0"/>
        <v>50</v>
      </c>
      <c r="B10" s="163">
        <f t="shared" si="1"/>
        <v>0</v>
      </c>
      <c r="C10" s="164">
        <f t="shared" si="2"/>
        <v>0</v>
      </c>
      <c r="D10" s="163">
        <f t="shared" si="3"/>
        <v>0</v>
      </c>
      <c r="E10" s="164">
        <f t="shared" si="4"/>
        <v>0</v>
      </c>
      <c r="F10" s="163">
        <f t="shared" si="5"/>
        <v>0</v>
      </c>
      <c r="G10" s="164">
        <f t="shared" si="6"/>
        <v>0</v>
      </c>
      <c r="H10" s="163">
        <f t="shared" si="7"/>
        <v>1</v>
      </c>
      <c r="I10" s="164">
        <f t="shared" si="8"/>
        <v>1</v>
      </c>
      <c r="J10" s="163">
        <f t="shared" si="9"/>
        <v>0</v>
      </c>
      <c r="K10" s="164"/>
      <c r="L10" s="166">
        <v>6</v>
      </c>
      <c r="M10" s="166">
        <f t="shared" si="10"/>
        <v>15</v>
      </c>
    </row>
    <row r="11" spans="1:17" ht="12.75" customHeight="1" x14ac:dyDescent="0.25">
      <c r="A11" s="168">
        <f t="shared" si="0"/>
        <v>52.5</v>
      </c>
      <c r="B11" s="163">
        <f t="shared" si="1"/>
        <v>0</v>
      </c>
      <c r="C11" s="164">
        <f t="shared" si="2"/>
        <v>0</v>
      </c>
      <c r="D11" s="163">
        <f t="shared" si="3"/>
        <v>0</v>
      </c>
      <c r="E11" s="164">
        <f t="shared" si="4"/>
        <v>0</v>
      </c>
      <c r="F11" s="163">
        <f t="shared" si="5"/>
        <v>0</v>
      </c>
      <c r="G11" s="164">
        <f t="shared" si="6"/>
        <v>0</v>
      </c>
      <c r="H11" s="163">
        <f t="shared" si="7"/>
        <v>1</v>
      </c>
      <c r="I11" s="164">
        <f t="shared" si="8"/>
        <v>1</v>
      </c>
      <c r="J11" s="163">
        <f t="shared" si="9"/>
        <v>1</v>
      </c>
      <c r="K11" s="164"/>
      <c r="L11" s="166">
        <v>7</v>
      </c>
      <c r="M11" s="166">
        <f t="shared" si="10"/>
        <v>17.5</v>
      </c>
    </row>
    <row r="12" spans="1:17" ht="12.75" customHeight="1" x14ac:dyDescent="0.25">
      <c r="A12" s="168">
        <f t="shared" si="0"/>
        <v>55</v>
      </c>
      <c r="B12" s="163">
        <f t="shared" si="1"/>
        <v>0</v>
      </c>
      <c r="C12" s="164">
        <f t="shared" si="2"/>
        <v>0</v>
      </c>
      <c r="D12" s="163">
        <f t="shared" si="3"/>
        <v>0</v>
      </c>
      <c r="E12" s="164">
        <f t="shared" si="4"/>
        <v>0</v>
      </c>
      <c r="F12" s="163">
        <f t="shared" si="5"/>
        <v>0</v>
      </c>
      <c r="G12" s="164">
        <f t="shared" si="6"/>
        <v>1</v>
      </c>
      <c r="H12" s="163">
        <f t="shared" si="7"/>
        <v>0</v>
      </c>
      <c r="I12" s="164">
        <f t="shared" si="8"/>
        <v>0</v>
      </c>
      <c r="J12" s="163">
        <f t="shared" si="9"/>
        <v>0</v>
      </c>
      <c r="K12" s="164"/>
      <c r="L12" s="166">
        <v>8</v>
      </c>
      <c r="M12" s="166">
        <f t="shared" si="10"/>
        <v>20</v>
      </c>
    </row>
    <row r="13" spans="1:17" ht="12.75" customHeight="1" x14ac:dyDescent="0.25">
      <c r="A13" s="168">
        <f t="shared" si="0"/>
        <v>57.5</v>
      </c>
      <c r="B13" s="163">
        <f t="shared" si="1"/>
        <v>0</v>
      </c>
      <c r="C13" s="164">
        <f t="shared" si="2"/>
        <v>0</v>
      </c>
      <c r="D13" s="163">
        <f t="shared" si="3"/>
        <v>0</v>
      </c>
      <c r="E13" s="164">
        <f t="shared" si="4"/>
        <v>0</v>
      </c>
      <c r="F13" s="163">
        <f t="shared" si="5"/>
        <v>0</v>
      </c>
      <c r="G13" s="164">
        <f t="shared" si="6"/>
        <v>1</v>
      </c>
      <c r="H13" s="163">
        <f t="shared" si="7"/>
        <v>0</v>
      </c>
      <c r="I13" s="164">
        <f t="shared" si="8"/>
        <v>0</v>
      </c>
      <c r="J13" s="163">
        <f t="shared" si="9"/>
        <v>1</v>
      </c>
      <c r="K13" s="164"/>
      <c r="L13" s="166">
        <f t="shared" ref="L13:L76" si="11">L12+1</f>
        <v>9</v>
      </c>
      <c r="M13" s="166">
        <f t="shared" si="10"/>
        <v>22.5</v>
      </c>
    </row>
    <row r="14" spans="1:17" ht="12.75" customHeight="1" x14ac:dyDescent="0.25">
      <c r="A14" s="168">
        <f t="shared" si="0"/>
        <v>60</v>
      </c>
      <c r="B14" s="163">
        <f t="shared" si="1"/>
        <v>0</v>
      </c>
      <c r="C14" s="164">
        <f t="shared" si="2"/>
        <v>0</v>
      </c>
      <c r="D14" s="163">
        <f t="shared" si="3"/>
        <v>0</v>
      </c>
      <c r="E14" s="164">
        <f t="shared" si="4"/>
        <v>0</v>
      </c>
      <c r="F14" s="163">
        <f t="shared" si="5"/>
        <v>0</v>
      </c>
      <c r="G14" s="164">
        <f t="shared" si="6"/>
        <v>1</v>
      </c>
      <c r="H14" s="163">
        <f t="shared" si="7"/>
        <v>0</v>
      </c>
      <c r="I14" s="164">
        <f t="shared" si="8"/>
        <v>1</v>
      </c>
      <c r="J14" s="163">
        <f t="shared" si="9"/>
        <v>0</v>
      </c>
      <c r="K14" s="164"/>
      <c r="L14" s="166">
        <f t="shared" si="11"/>
        <v>10</v>
      </c>
      <c r="M14" s="166">
        <f t="shared" si="10"/>
        <v>25</v>
      </c>
    </row>
    <row r="15" spans="1:17" ht="12.75" customHeight="1" x14ac:dyDescent="0.25">
      <c r="A15" s="168">
        <f t="shared" si="0"/>
        <v>62.5</v>
      </c>
      <c r="B15" s="163">
        <f t="shared" si="1"/>
        <v>0</v>
      </c>
      <c r="C15" s="164">
        <f t="shared" si="2"/>
        <v>0</v>
      </c>
      <c r="D15" s="163">
        <f t="shared" si="3"/>
        <v>0</v>
      </c>
      <c r="E15" s="164">
        <f t="shared" si="4"/>
        <v>0</v>
      </c>
      <c r="F15" s="163">
        <f t="shared" si="5"/>
        <v>0</v>
      </c>
      <c r="G15" s="164">
        <f t="shared" si="6"/>
        <v>1</v>
      </c>
      <c r="H15" s="163">
        <f t="shared" si="7"/>
        <v>0</v>
      </c>
      <c r="I15" s="164">
        <f t="shared" si="8"/>
        <v>1</v>
      </c>
      <c r="J15" s="163">
        <f t="shared" si="9"/>
        <v>1</v>
      </c>
      <c r="K15" s="164"/>
      <c r="L15" s="166">
        <f t="shared" si="11"/>
        <v>11</v>
      </c>
      <c r="M15" s="166">
        <f t="shared" si="10"/>
        <v>27.5</v>
      </c>
    </row>
    <row r="16" spans="1:17" ht="12.75" customHeight="1" x14ac:dyDescent="0.25">
      <c r="A16" s="168">
        <f t="shared" si="0"/>
        <v>65</v>
      </c>
      <c r="B16" s="163">
        <f t="shared" si="1"/>
        <v>0</v>
      </c>
      <c r="C16" s="164">
        <f t="shared" si="2"/>
        <v>0</v>
      </c>
      <c r="D16" s="163">
        <f t="shared" si="3"/>
        <v>0</v>
      </c>
      <c r="E16" s="164">
        <f t="shared" si="4"/>
        <v>0</v>
      </c>
      <c r="F16" s="163">
        <f t="shared" si="5"/>
        <v>1</v>
      </c>
      <c r="G16" s="164">
        <f t="shared" si="6"/>
        <v>0</v>
      </c>
      <c r="H16" s="163">
        <f t="shared" si="7"/>
        <v>0</v>
      </c>
      <c r="I16" s="164">
        <f t="shared" si="8"/>
        <v>0</v>
      </c>
      <c r="J16" s="163">
        <f t="shared" si="9"/>
        <v>0</v>
      </c>
      <c r="K16" s="164"/>
      <c r="L16" s="166">
        <f t="shared" si="11"/>
        <v>12</v>
      </c>
      <c r="M16" s="166">
        <f t="shared" si="10"/>
        <v>30</v>
      </c>
    </row>
    <row r="17" spans="1:13" ht="12.75" customHeight="1" x14ac:dyDescent="0.25">
      <c r="A17" s="168">
        <f t="shared" si="0"/>
        <v>67.5</v>
      </c>
      <c r="B17" s="163">
        <f t="shared" si="1"/>
        <v>0</v>
      </c>
      <c r="C17" s="164">
        <f t="shared" si="2"/>
        <v>0</v>
      </c>
      <c r="D17" s="163">
        <f t="shared" si="3"/>
        <v>0</v>
      </c>
      <c r="E17" s="164">
        <f t="shared" si="4"/>
        <v>0</v>
      </c>
      <c r="F17" s="163">
        <f t="shared" si="5"/>
        <v>1</v>
      </c>
      <c r="G17" s="164">
        <f t="shared" si="6"/>
        <v>0</v>
      </c>
      <c r="H17" s="163">
        <f t="shared" si="7"/>
        <v>0</v>
      </c>
      <c r="I17" s="164">
        <f t="shared" si="8"/>
        <v>0</v>
      </c>
      <c r="J17" s="163">
        <f t="shared" si="9"/>
        <v>1</v>
      </c>
      <c r="K17" s="164"/>
      <c r="L17" s="166">
        <f t="shared" si="11"/>
        <v>13</v>
      </c>
      <c r="M17" s="166">
        <f t="shared" si="10"/>
        <v>32.5</v>
      </c>
    </row>
    <row r="18" spans="1:13" ht="12.75" customHeight="1" x14ac:dyDescent="0.25">
      <c r="A18" s="168">
        <f t="shared" si="0"/>
        <v>70</v>
      </c>
      <c r="B18" s="163">
        <f t="shared" si="1"/>
        <v>0</v>
      </c>
      <c r="C18" s="164">
        <f t="shared" si="2"/>
        <v>0</v>
      </c>
      <c r="D18" s="163">
        <f t="shared" si="3"/>
        <v>0</v>
      </c>
      <c r="E18" s="164">
        <f t="shared" si="4"/>
        <v>0</v>
      </c>
      <c r="F18" s="163">
        <f t="shared" si="5"/>
        <v>1</v>
      </c>
      <c r="G18" s="164">
        <f t="shared" si="6"/>
        <v>0</v>
      </c>
      <c r="H18" s="163">
        <f t="shared" si="7"/>
        <v>0</v>
      </c>
      <c r="I18" s="164">
        <f t="shared" si="8"/>
        <v>1</v>
      </c>
      <c r="J18" s="163">
        <f t="shared" si="9"/>
        <v>0</v>
      </c>
      <c r="K18" s="164"/>
      <c r="L18" s="166">
        <f t="shared" si="11"/>
        <v>14</v>
      </c>
      <c r="M18" s="166">
        <f t="shared" si="10"/>
        <v>35</v>
      </c>
    </row>
    <row r="19" spans="1:13" ht="12.75" customHeight="1" x14ac:dyDescent="0.25">
      <c r="A19" s="168">
        <f t="shared" si="0"/>
        <v>72.5</v>
      </c>
      <c r="B19" s="163">
        <f t="shared" si="1"/>
        <v>0</v>
      </c>
      <c r="C19" s="164">
        <f t="shared" si="2"/>
        <v>0</v>
      </c>
      <c r="D19" s="163">
        <f t="shared" si="3"/>
        <v>0</v>
      </c>
      <c r="E19" s="164">
        <f t="shared" si="4"/>
        <v>0</v>
      </c>
      <c r="F19" s="163">
        <f t="shared" si="5"/>
        <v>1</v>
      </c>
      <c r="G19" s="164">
        <f t="shared" si="6"/>
        <v>0</v>
      </c>
      <c r="H19" s="163">
        <f t="shared" si="7"/>
        <v>0</v>
      </c>
      <c r="I19" s="164">
        <f t="shared" si="8"/>
        <v>1</v>
      </c>
      <c r="J19" s="163">
        <f t="shared" si="9"/>
        <v>1</v>
      </c>
      <c r="K19" s="164"/>
      <c r="L19" s="166">
        <f t="shared" si="11"/>
        <v>15</v>
      </c>
      <c r="M19" s="166">
        <f t="shared" si="10"/>
        <v>37.5</v>
      </c>
    </row>
    <row r="20" spans="1:13" ht="12.75" customHeight="1" x14ac:dyDescent="0.25">
      <c r="A20" s="168">
        <f t="shared" si="0"/>
        <v>75</v>
      </c>
      <c r="B20" s="163">
        <f t="shared" si="1"/>
        <v>0</v>
      </c>
      <c r="C20" s="164">
        <f t="shared" si="2"/>
        <v>0</v>
      </c>
      <c r="D20" s="163">
        <f t="shared" si="3"/>
        <v>0</v>
      </c>
      <c r="E20" s="164">
        <f t="shared" si="4"/>
        <v>1</v>
      </c>
      <c r="F20" s="163">
        <f t="shared" si="5"/>
        <v>0</v>
      </c>
      <c r="G20" s="164">
        <f t="shared" si="6"/>
        <v>0</v>
      </c>
      <c r="H20" s="163">
        <f t="shared" si="7"/>
        <v>0</v>
      </c>
      <c r="I20" s="164">
        <f t="shared" si="8"/>
        <v>0</v>
      </c>
      <c r="J20" s="163">
        <f t="shared" si="9"/>
        <v>0</v>
      </c>
      <c r="K20" s="164"/>
      <c r="L20" s="166">
        <f t="shared" si="11"/>
        <v>16</v>
      </c>
      <c r="M20" s="166">
        <f t="shared" si="10"/>
        <v>40</v>
      </c>
    </row>
    <row r="21" spans="1:13" ht="12.75" customHeight="1" x14ac:dyDescent="0.25">
      <c r="A21" s="168">
        <f t="shared" si="0"/>
        <v>77.5</v>
      </c>
      <c r="B21" s="163">
        <f t="shared" si="1"/>
        <v>0</v>
      </c>
      <c r="C21" s="164">
        <f t="shared" si="2"/>
        <v>0</v>
      </c>
      <c r="D21" s="163">
        <f t="shared" si="3"/>
        <v>0</v>
      </c>
      <c r="E21" s="164">
        <f t="shared" si="4"/>
        <v>1</v>
      </c>
      <c r="F21" s="163">
        <f t="shared" si="5"/>
        <v>0</v>
      </c>
      <c r="G21" s="164">
        <f t="shared" si="6"/>
        <v>0</v>
      </c>
      <c r="H21" s="163">
        <f t="shared" si="7"/>
        <v>0</v>
      </c>
      <c r="I21" s="164">
        <f t="shared" si="8"/>
        <v>0</v>
      </c>
      <c r="J21" s="163">
        <f t="shared" si="9"/>
        <v>1</v>
      </c>
      <c r="K21" s="164"/>
      <c r="L21" s="166">
        <f t="shared" si="11"/>
        <v>17</v>
      </c>
      <c r="M21" s="166">
        <f t="shared" si="10"/>
        <v>42.5</v>
      </c>
    </row>
    <row r="22" spans="1:13" ht="12.75" customHeight="1" x14ac:dyDescent="0.25">
      <c r="A22" s="168">
        <f t="shared" si="0"/>
        <v>80</v>
      </c>
      <c r="B22" s="163">
        <f t="shared" si="1"/>
        <v>0</v>
      </c>
      <c r="C22" s="164">
        <f t="shared" si="2"/>
        <v>0</v>
      </c>
      <c r="D22" s="163">
        <f t="shared" si="3"/>
        <v>0</v>
      </c>
      <c r="E22" s="164">
        <f t="shared" si="4"/>
        <v>1</v>
      </c>
      <c r="F22" s="163">
        <f t="shared" si="5"/>
        <v>0</v>
      </c>
      <c r="G22" s="164">
        <f t="shared" si="6"/>
        <v>0</v>
      </c>
      <c r="H22" s="163">
        <f t="shared" si="7"/>
        <v>0</v>
      </c>
      <c r="I22" s="164">
        <f t="shared" si="8"/>
        <v>1</v>
      </c>
      <c r="J22" s="163">
        <f t="shared" si="9"/>
        <v>0</v>
      </c>
      <c r="K22" s="164"/>
      <c r="L22" s="166">
        <f t="shared" si="11"/>
        <v>18</v>
      </c>
      <c r="M22" s="166">
        <f t="shared" si="10"/>
        <v>45</v>
      </c>
    </row>
    <row r="23" spans="1:13" ht="12.75" customHeight="1" x14ac:dyDescent="0.25">
      <c r="A23" s="168">
        <f t="shared" si="0"/>
        <v>82.5</v>
      </c>
      <c r="B23" s="163">
        <f t="shared" si="1"/>
        <v>0</v>
      </c>
      <c r="C23" s="164">
        <f t="shared" si="2"/>
        <v>0</v>
      </c>
      <c r="D23" s="163">
        <f t="shared" si="3"/>
        <v>0</v>
      </c>
      <c r="E23" s="164">
        <f t="shared" si="4"/>
        <v>1</v>
      </c>
      <c r="F23" s="163">
        <f t="shared" si="5"/>
        <v>0</v>
      </c>
      <c r="G23" s="164">
        <f t="shared" si="6"/>
        <v>0</v>
      </c>
      <c r="H23" s="163">
        <f t="shared" si="7"/>
        <v>0</v>
      </c>
      <c r="I23" s="164">
        <f t="shared" si="8"/>
        <v>1</v>
      </c>
      <c r="J23" s="163">
        <f t="shared" si="9"/>
        <v>1</v>
      </c>
      <c r="K23" s="164"/>
      <c r="L23" s="166">
        <f t="shared" si="11"/>
        <v>19</v>
      </c>
      <c r="M23" s="166">
        <f t="shared" si="10"/>
        <v>47.5</v>
      </c>
    </row>
    <row r="24" spans="1:13" ht="12.75" customHeight="1" x14ac:dyDescent="0.25">
      <c r="A24" s="168">
        <f t="shared" si="0"/>
        <v>85</v>
      </c>
      <c r="B24" s="163">
        <f t="shared" si="1"/>
        <v>0</v>
      </c>
      <c r="C24" s="164">
        <f t="shared" si="2"/>
        <v>0</v>
      </c>
      <c r="D24" s="163">
        <f t="shared" si="3"/>
        <v>0</v>
      </c>
      <c r="E24" s="164">
        <f t="shared" si="4"/>
        <v>1</v>
      </c>
      <c r="F24" s="163">
        <f t="shared" si="5"/>
        <v>0</v>
      </c>
      <c r="G24" s="164">
        <f t="shared" si="6"/>
        <v>0</v>
      </c>
      <c r="H24" s="163">
        <f t="shared" si="7"/>
        <v>1</v>
      </c>
      <c r="I24" s="164">
        <f t="shared" si="8"/>
        <v>0</v>
      </c>
      <c r="J24" s="163">
        <f t="shared" si="9"/>
        <v>0</v>
      </c>
      <c r="K24" s="164"/>
      <c r="L24" s="166">
        <f t="shared" si="11"/>
        <v>20</v>
      </c>
      <c r="M24" s="166">
        <f t="shared" si="10"/>
        <v>50</v>
      </c>
    </row>
    <row r="25" spans="1:13" ht="12.75" customHeight="1" x14ac:dyDescent="0.25">
      <c r="A25" s="168">
        <f t="shared" si="0"/>
        <v>87.5</v>
      </c>
      <c r="B25" s="163">
        <f t="shared" si="1"/>
        <v>0</v>
      </c>
      <c r="C25" s="164">
        <f t="shared" si="2"/>
        <v>0</v>
      </c>
      <c r="D25" s="163">
        <f t="shared" si="3"/>
        <v>0</v>
      </c>
      <c r="E25" s="164">
        <f t="shared" si="4"/>
        <v>1</v>
      </c>
      <c r="F25" s="163">
        <f t="shared" si="5"/>
        <v>0</v>
      </c>
      <c r="G25" s="164">
        <f t="shared" si="6"/>
        <v>0</v>
      </c>
      <c r="H25" s="163">
        <f t="shared" si="7"/>
        <v>1</v>
      </c>
      <c r="I25" s="164">
        <f t="shared" si="8"/>
        <v>0</v>
      </c>
      <c r="J25" s="163">
        <f t="shared" si="9"/>
        <v>1</v>
      </c>
      <c r="K25" s="164"/>
      <c r="L25" s="166">
        <f t="shared" si="11"/>
        <v>21</v>
      </c>
      <c r="M25" s="166">
        <f t="shared" si="10"/>
        <v>52.5</v>
      </c>
    </row>
    <row r="26" spans="1:13" ht="12.75" customHeight="1" x14ac:dyDescent="0.25">
      <c r="A26" s="168">
        <f t="shared" si="0"/>
        <v>90</v>
      </c>
      <c r="B26" s="163">
        <f t="shared" si="1"/>
        <v>0</v>
      </c>
      <c r="C26" s="164">
        <f t="shared" si="2"/>
        <v>0</v>
      </c>
      <c r="D26" s="163">
        <f t="shared" si="3"/>
        <v>0</v>
      </c>
      <c r="E26" s="164">
        <f t="shared" si="4"/>
        <v>1</v>
      </c>
      <c r="F26" s="163">
        <f t="shared" si="5"/>
        <v>0</v>
      </c>
      <c r="G26" s="164">
        <f t="shared" si="6"/>
        <v>0</v>
      </c>
      <c r="H26" s="163">
        <f t="shared" si="7"/>
        <v>1</v>
      </c>
      <c r="I26" s="164">
        <f t="shared" si="8"/>
        <v>1</v>
      </c>
      <c r="J26" s="163">
        <f t="shared" si="9"/>
        <v>0</v>
      </c>
      <c r="K26" s="164"/>
      <c r="L26" s="166">
        <f t="shared" si="11"/>
        <v>22</v>
      </c>
      <c r="M26" s="166">
        <f t="shared" si="10"/>
        <v>55</v>
      </c>
    </row>
    <row r="27" spans="1:13" ht="12.75" customHeight="1" x14ac:dyDescent="0.25">
      <c r="A27" s="168">
        <f t="shared" si="0"/>
        <v>92.5</v>
      </c>
      <c r="B27" s="163">
        <f t="shared" si="1"/>
        <v>0</v>
      </c>
      <c r="C27" s="164">
        <f t="shared" si="2"/>
        <v>0</v>
      </c>
      <c r="D27" s="163">
        <f t="shared" si="3"/>
        <v>0</v>
      </c>
      <c r="E27" s="164">
        <f t="shared" si="4"/>
        <v>1</v>
      </c>
      <c r="F27" s="163">
        <f t="shared" si="5"/>
        <v>0</v>
      </c>
      <c r="G27" s="164">
        <f t="shared" si="6"/>
        <v>0</v>
      </c>
      <c r="H27" s="163">
        <f t="shared" si="7"/>
        <v>1</v>
      </c>
      <c r="I27" s="164">
        <f t="shared" si="8"/>
        <v>1</v>
      </c>
      <c r="J27" s="163">
        <f t="shared" si="9"/>
        <v>1</v>
      </c>
      <c r="K27" s="164"/>
      <c r="L27" s="166">
        <f t="shared" si="11"/>
        <v>23</v>
      </c>
      <c r="M27" s="166">
        <f t="shared" si="10"/>
        <v>57.5</v>
      </c>
    </row>
    <row r="28" spans="1:13" ht="12.75" customHeight="1" x14ac:dyDescent="0.25">
      <c r="A28" s="168">
        <f t="shared" si="0"/>
        <v>95</v>
      </c>
      <c r="B28" s="163">
        <f t="shared" si="1"/>
        <v>0</v>
      </c>
      <c r="C28" s="164">
        <f t="shared" si="2"/>
        <v>0</v>
      </c>
      <c r="D28" s="163">
        <f t="shared" si="3"/>
        <v>0</v>
      </c>
      <c r="E28" s="164">
        <f t="shared" si="4"/>
        <v>1</v>
      </c>
      <c r="F28" s="163">
        <f t="shared" si="5"/>
        <v>0</v>
      </c>
      <c r="G28" s="164">
        <f t="shared" si="6"/>
        <v>1</v>
      </c>
      <c r="H28" s="163">
        <f t="shared" si="7"/>
        <v>0</v>
      </c>
      <c r="I28" s="164">
        <f t="shared" si="8"/>
        <v>0</v>
      </c>
      <c r="J28" s="163">
        <f t="shared" si="9"/>
        <v>0</v>
      </c>
      <c r="K28" s="164"/>
      <c r="L28" s="166">
        <f t="shared" si="11"/>
        <v>24</v>
      </c>
      <c r="M28" s="166">
        <f t="shared" si="10"/>
        <v>60</v>
      </c>
    </row>
    <row r="29" spans="1:13" ht="12.75" customHeight="1" x14ac:dyDescent="0.25">
      <c r="A29" s="168">
        <f t="shared" si="0"/>
        <v>97.5</v>
      </c>
      <c r="B29" s="163">
        <f t="shared" si="1"/>
        <v>0</v>
      </c>
      <c r="C29" s="164">
        <f t="shared" si="2"/>
        <v>0</v>
      </c>
      <c r="D29" s="163">
        <f t="shared" si="3"/>
        <v>0</v>
      </c>
      <c r="E29" s="164">
        <f t="shared" si="4"/>
        <v>1</v>
      </c>
      <c r="F29" s="163">
        <f t="shared" si="5"/>
        <v>0</v>
      </c>
      <c r="G29" s="164">
        <f t="shared" si="6"/>
        <v>1</v>
      </c>
      <c r="H29" s="163">
        <f t="shared" si="7"/>
        <v>0</v>
      </c>
      <c r="I29" s="164">
        <f t="shared" si="8"/>
        <v>0</v>
      </c>
      <c r="J29" s="163">
        <f t="shared" si="9"/>
        <v>1</v>
      </c>
      <c r="K29" s="164"/>
      <c r="L29" s="166">
        <f t="shared" si="11"/>
        <v>25</v>
      </c>
      <c r="M29" s="166">
        <f t="shared" si="10"/>
        <v>62.5</v>
      </c>
    </row>
    <row r="30" spans="1:13" ht="12.75" customHeight="1" x14ac:dyDescent="0.25">
      <c r="A30" s="168">
        <f t="shared" si="0"/>
        <v>100</v>
      </c>
      <c r="B30" s="163">
        <f t="shared" si="1"/>
        <v>0</v>
      </c>
      <c r="C30" s="164">
        <f t="shared" si="2"/>
        <v>0</v>
      </c>
      <c r="D30" s="163">
        <f t="shared" si="3"/>
        <v>0</v>
      </c>
      <c r="E30" s="164">
        <f t="shared" si="4"/>
        <v>1</v>
      </c>
      <c r="F30" s="163">
        <f t="shared" si="5"/>
        <v>0</v>
      </c>
      <c r="G30" s="164">
        <f t="shared" si="6"/>
        <v>1</v>
      </c>
      <c r="H30" s="163">
        <f t="shared" si="7"/>
        <v>0</v>
      </c>
      <c r="I30" s="164">
        <f t="shared" si="8"/>
        <v>1</v>
      </c>
      <c r="J30" s="163">
        <f t="shared" si="9"/>
        <v>0</v>
      </c>
      <c r="K30" s="164"/>
      <c r="L30" s="166">
        <f t="shared" si="11"/>
        <v>26</v>
      </c>
      <c r="M30" s="166">
        <f t="shared" si="10"/>
        <v>65</v>
      </c>
    </row>
    <row r="31" spans="1:13" ht="12.75" customHeight="1" x14ac:dyDescent="0.25">
      <c r="A31" s="168">
        <f t="shared" si="0"/>
        <v>102.5</v>
      </c>
      <c r="B31" s="163">
        <f t="shared" si="1"/>
        <v>0</v>
      </c>
      <c r="C31" s="164">
        <f t="shared" si="2"/>
        <v>0</v>
      </c>
      <c r="D31" s="163">
        <f t="shared" si="3"/>
        <v>0</v>
      </c>
      <c r="E31" s="164">
        <f t="shared" si="4"/>
        <v>1</v>
      </c>
      <c r="F31" s="163">
        <f t="shared" si="5"/>
        <v>0</v>
      </c>
      <c r="G31" s="164">
        <f t="shared" si="6"/>
        <v>1</v>
      </c>
      <c r="H31" s="163">
        <f t="shared" si="7"/>
        <v>0</v>
      </c>
      <c r="I31" s="164">
        <f t="shared" si="8"/>
        <v>1</v>
      </c>
      <c r="J31" s="163">
        <f t="shared" si="9"/>
        <v>1</v>
      </c>
      <c r="K31" s="164"/>
      <c r="L31" s="166">
        <f t="shared" si="11"/>
        <v>27</v>
      </c>
      <c r="M31" s="166">
        <f t="shared" si="10"/>
        <v>67.5</v>
      </c>
    </row>
    <row r="32" spans="1:13" ht="12.75" customHeight="1" x14ac:dyDescent="0.25">
      <c r="A32" s="168">
        <f t="shared" si="0"/>
        <v>105</v>
      </c>
      <c r="B32" s="163">
        <f t="shared" si="1"/>
        <v>0</v>
      </c>
      <c r="C32" s="164">
        <f t="shared" si="2"/>
        <v>0</v>
      </c>
      <c r="D32" s="163">
        <f t="shared" si="3"/>
        <v>0</v>
      </c>
      <c r="E32" s="164">
        <f t="shared" si="4"/>
        <v>1</v>
      </c>
      <c r="F32" s="163">
        <f t="shared" si="5"/>
        <v>1</v>
      </c>
      <c r="G32" s="164">
        <f t="shared" si="6"/>
        <v>0</v>
      </c>
      <c r="H32" s="163">
        <f t="shared" si="7"/>
        <v>0</v>
      </c>
      <c r="I32" s="164">
        <f t="shared" si="8"/>
        <v>0</v>
      </c>
      <c r="J32" s="163">
        <f t="shared" si="9"/>
        <v>0</v>
      </c>
      <c r="K32" s="164"/>
      <c r="L32" s="166">
        <f t="shared" si="11"/>
        <v>28</v>
      </c>
      <c r="M32" s="166">
        <f t="shared" si="10"/>
        <v>70</v>
      </c>
    </row>
    <row r="33" spans="1:13" ht="12.75" customHeight="1" x14ac:dyDescent="0.25">
      <c r="A33" s="168">
        <f t="shared" si="0"/>
        <v>107.5</v>
      </c>
      <c r="B33" s="163">
        <f t="shared" si="1"/>
        <v>0</v>
      </c>
      <c r="C33" s="164">
        <f t="shared" si="2"/>
        <v>0</v>
      </c>
      <c r="D33" s="163">
        <f t="shared" si="3"/>
        <v>0</v>
      </c>
      <c r="E33" s="164">
        <f t="shared" si="4"/>
        <v>1</v>
      </c>
      <c r="F33" s="163">
        <f t="shared" si="5"/>
        <v>1</v>
      </c>
      <c r="G33" s="164">
        <f t="shared" si="6"/>
        <v>0</v>
      </c>
      <c r="H33" s="163">
        <f t="shared" si="7"/>
        <v>0</v>
      </c>
      <c r="I33" s="164">
        <f t="shared" si="8"/>
        <v>0</v>
      </c>
      <c r="J33" s="163">
        <f t="shared" si="9"/>
        <v>1</v>
      </c>
      <c r="K33" s="164"/>
      <c r="L33" s="166">
        <f t="shared" si="11"/>
        <v>29</v>
      </c>
      <c r="M33" s="166">
        <f t="shared" si="10"/>
        <v>72.5</v>
      </c>
    </row>
    <row r="34" spans="1:13" ht="12.75" customHeight="1" x14ac:dyDescent="0.25">
      <c r="A34" s="168">
        <f t="shared" si="0"/>
        <v>110</v>
      </c>
      <c r="B34" s="163">
        <f t="shared" si="1"/>
        <v>0</v>
      </c>
      <c r="C34" s="164">
        <f t="shared" si="2"/>
        <v>0</v>
      </c>
      <c r="D34" s="163">
        <f t="shared" si="3"/>
        <v>0</v>
      </c>
      <c r="E34" s="164">
        <f t="shared" si="4"/>
        <v>1</v>
      </c>
      <c r="F34" s="163">
        <f t="shared" si="5"/>
        <v>1</v>
      </c>
      <c r="G34" s="164">
        <f t="shared" si="6"/>
        <v>0</v>
      </c>
      <c r="H34" s="163">
        <f t="shared" si="7"/>
        <v>0</v>
      </c>
      <c r="I34" s="164">
        <f t="shared" si="8"/>
        <v>1</v>
      </c>
      <c r="J34" s="163">
        <f t="shared" si="9"/>
        <v>0</v>
      </c>
      <c r="K34" s="164"/>
      <c r="L34" s="166">
        <f t="shared" si="11"/>
        <v>30</v>
      </c>
      <c r="M34" s="166">
        <f t="shared" si="10"/>
        <v>75</v>
      </c>
    </row>
    <row r="35" spans="1:13" ht="12.75" customHeight="1" x14ac:dyDescent="0.25">
      <c r="A35" s="168">
        <f t="shared" si="0"/>
        <v>112.5</v>
      </c>
      <c r="B35" s="163">
        <f t="shared" si="1"/>
        <v>0</v>
      </c>
      <c r="C35" s="164">
        <f t="shared" si="2"/>
        <v>0</v>
      </c>
      <c r="D35" s="163">
        <f t="shared" si="3"/>
        <v>0</v>
      </c>
      <c r="E35" s="164">
        <f t="shared" si="4"/>
        <v>1</v>
      </c>
      <c r="F35" s="163">
        <f t="shared" si="5"/>
        <v>1</v>
      </c>
      <c r="G35" s="164">
        <f t="shared" si="6"/>
        <v>0</v>
      </c>
      <c r="H35" s="163">
        <f t="shared" si="7"/>
        <v>0</v>
      </c>
      <c r="I35" s="164">
        <f t="shared" si="8"/>
        <v>1</v>
      </c>
      <c r="J35" s="163">
        <f t="shared" si="9"/>
        <v>1</v>
      </c>
      <c r="K35" s="164"/>
      <c r="L35" s="166">
        <f t="shared" si="11"/>
        <v>31</v>
      </c>
      <c r="M35" s="166">
        <f t="shared" si="10"/>
        <v>77.5</v>
      </c>
    </row>
    <row r="36" spans="1:13" ht="12.75" customHeight="1" x14ac:dyDescent="0.25">
      <c r="A36" s="168">
        <f t="shared" si="0"/>
        <v>115</v>
      </c>
      <c r="B36" s="163">
        <f t="shared" si="1"/>
        <v>0</v>
      </c>
      <c r="C36" s="164">
        <f t="shared" si="2"/>
        <v>0</v>
      </c>
      <c r="D36" s="163">
        <f t="shared" si="3"/>
        <v>0</v>
      </c>
      <c r="E36" s="164">
        <f t="shared" si="4"/>
        <v>2</v>
      </c>
      <c r="F36" s="163">
        <f t="shared" si="5"/>
        <v>0</v>
      </c>
      <c r="G36" s="164">
        <f t="shared" si="6"/>
        <v>0</v>
      </c>
      <c r="H36" s="163">
        <f t="shared" si="7"/>
        <v>0</v>
      </c>
      <c r="I36" s="164">
        <f t="shared" si="8"/>
        <v>0</v>
      </c>
      <c r="J36" s="163">
        <f t="shared" si="9"/>
        <v>0</v>
      </c>
      <c r="K36" s="164"/>
      <c r="L36" s="166">
        <f t="shared" si="11"/>
        <v>32</v>
      </c>
      <c r="M36" s="166">
        <f t="shared" si="10"/>
        <v>80</v>
      </c>
    </row>
    <row r="37" spans="1:13" ht="12.75" customHeight="1" x14ac:dyDescent="0.25">
      <c r="A37" s="168">
        <f t="shared" si="0"/>
        <v>117.5</v>
      </c>
      <c r="B37" s="163">
        <f t="shared" si="1"/>
        <v>0</v>
      </c>
      <c r="C37" s="164">
        <f t="shared" si="2"/>
        <v>0</v>
      </c>
      <c r="D37" s="163">
        <f t="shared" si="3"/>
        <v>0</v>
      </c>
      <c r="E37" s="164">
        <f t="shared" si="4"/>
        <v>2</v>
      </c>
      <c r="F37" s="163">
        <f t="shared" si="5"/>
        <v>0</v>
      </c>
      <c r="G37" s="164">
        <f t="shared" si="6"/>
        <v>0</v>
      </c>
      <c r="H37" s="163">
        <f t="shared" si="7"/>
        <v>0</v>
      </c>
      <c r="I37" s="164">
        <f t="shared" si="8"/>
        <v>0</v>
      </c>
      <c r="J37" s="163">
        <f t="shared" si="9"/>
        <v>1</v>
      </c>
      <c r="K37" s="164"/>
      <c r="L37" s="166">
        <f t="shared" si="11"/>
        <v>33</v>
      </c>
      <c r="M37" s="166">
        <f t="shared" si="10"/>
        <v>82.5</v>
      </c>
    </row>
    <row r="38" spans="1:13" ht="12.75" customHeight="1" x14ac:dyDescent="0.25">
      <c r="A38" s="168">
        <f t="shared" si="0"/>
        <v>120</v>
      </c>
      <c r="B38" s="163">
        <f t="shared" si="1"/>
        <v>0</v>
      </c>
      <c r="C38" s="164">
        <f t="shared" si="2"/>
        <v>0</v>
      </c>
      <c r="D38" s="163">
        <f t="shared" si="3"/>
        <v>0</v>
      </c>
      <c r="E38" s="164">
        <f t="shared" si="4"/>
        <v>2</v>
      </c>
      <c r="F38" s="163">
        <f t="shared" si="5"/>
        <v>0</v>
      </c>
      <c r="G38" s="164">
        <f t="shared" si="6"/>
        <v>0</v>
      </c>
      <c r="H38" s="163">
        <f t="shared" si="7"/>
        <v>0</v>
      </c>
      <c r="I38" s="164">
        <f t="shared" si="8"/>
        <v>1</v>
      </c>
      <c r="J38" s="163">
        <f t="shared" si="9"/>
        <v>0</v>
      </c>
      <c r="K38" s="164"/>
      <c r="L38" s="166">
        <f t="shared" si="11"/>
        <v>34</v>
      </c>
      <c r="M38" s="166">
        <f t="shared" si="10"/>
        <v>85</v>
      </c>
    </row>
    <row r="39" spans="1:13" ht="12.75" customHeight="1" x14ac:dyDescent="0.25">
      <c r="A39" s="168">
        <f t="shared" si="0"/>
        <v>122.5</v>
      </c>
      <c r="B39" s="163">
        <f t="shared" si="1"/>
        <v>0</v>
      </c>
      <c r="C39" s="164">
        <f t="shared" si="2"/>
        <v>0</v>
      </c>
      <c r="D39" s="163">
        <f t="shared" si="3"/>
        <v>0</v>
      </c>
      <c r="E39" s="164">
        <f t="shared" si="4"/>
        <v>2</v>
      </c>
      <c r="F39" s="163">
        <f t="shared" si="5"/>
        <v>0</v>
      </c>
      <c r="G39" s="164">
        <f t="shared" si="6"/>
        <v>0</v>
      </c>
      <c r="H39" s="163">
        <f t="shared" si="7"/>
        <v>0</v>
      </c>
      <c r="I39" s="164">
        <f t="shared" si="8"/>
        <v>1</v>
      </c>
      <c r="J39" s="163">
        <f t="shared" si="9"/>
        <v>1</v>
      </c>
      <c r="K39" s="164"/>
      <c r="L39" s="166">
        <f t="shared" si="11"/>
        <v>35</v>
      </c>
      <c r="M39" s="166">
        <f t="shared" si="10"/>
        <v>87.5</v>
      </c>
    </row>
    <row r="40" spans="1:13" ht="12.75" customHeight="1" x14ac:dyDescent="0.25">
      <c r="A40" s="168">
        <f t="shared" si="0"/>
        <v>125</v>
      </c>
      <c r="B40" s="163">
        <f t="shared" si="1"/>
        <v>0</v>
      </c>
      <c r="C40" s="164">
        <f t="shared" si="2"/>
        <v>0</v>
      </c>
      <c r="D40" s="163">
        <f t="shared" si="3"/>
        <v>0</v>
      </c>
      <c r="E40" s="164">
        <f t="shared" si="4"/>
        <v>2</v>
      </c>
      <c r="F40" s="163">
        <f t="shared" si="5"/>
        <v>0</v>
      </c>
      <c r="G40" s="164">
        <f t="shared" si="6"/>
        <v>0</v>
      </c>
      <c r="H40" s="163">
        <f t="shared" si="7"/>
        <v>1</v>
      </c>
      <c r="I40" s="164">
        <f t="shared" si="8"/>
        <v>0</v>
      </c>
      <c r="J40" s="163">
        <f t="shared" si="9"/>
        <v>0</v>
      </c>
      <c r="K40" s="164"/>
      <c r="L40" s="166">
        <f t="shared" si="11"/>
        <v>36</v>
      </c>
      <c r="M40" s="166">
        <f t="shared" si="10"/>
        <v>90</v>
      </c>
    </row>
    <row r="41" spans="1:13" ht="12.75" customHeight="1" x14ac:dyDescent="0.25">
      <c r="A41" s="168">
        <f t="shared" si="0"/>
        <v>127.5</v>
      </c>
      <c r="B41" s="163">
        <f t="shared" si="1"/>
        <v>0</v>
      </c>
      <c r="C41" s="164">
        <f t="shared" si="2"/>
        <v>0</v>
      </c>
      <c r="D41" s="163">
        <f t="shared" si="3"/>
        <v>0</v>
      </c>
      <c r="E41" s="164">
        <f t="shared" si="4"/>
        <v>2</v>
      </c>
      <c r="F41" s="163">
        <f t="shared" si="5"/>
        <v>0</v>
      </c>
      <c r="G41" s="164">
        <f t="shared" si="6"/>
        <v>0</v>
      </c>
      <c r="H41" s="163">
        <f t="shared" si="7"/>
        <v>1</v>
      </c>
      <c r="I41" s="164">
        <f t="shared" si="8"/>
        <v>0</v>
      </c>
      <c r="J41" s="163">
        <f t="shared" si="9"/>
        <v>1</v>
      </c>
      <c r="K41" s="164"/>
      <c r="L41" s="166">
        <f t="shared" si="11"/>
        <v>37</v>
      </c>
      <c r="M41" s="166">
        <f t="shared" si="10"/>
        <v>92.5</v>
      </c>
    </row>
    <row r="42" spans="1:13" ht="12.75" customHeight="1" x14ac:dyDescent="0.25">
      <c r="A42" s="168">
        <f t="shared" si="0"/>
        <v>130</v>
      </c>
      <c r="B42" s="163">
        <f t="shared" si="1"/>
        <v>0</v>
      </c>
      <c r="C42" s="164">
        <f t="shared" si="2"/>
        <v>0</v>
      </c>
      <c r="D42" s="163">
        <f t="shared" si="3"/>
        <v>0</v>
      </c>
      <c r="E42" s="164">
        <f t="shared" si="4"/>
        <v>2</v>
      </c>
      <c r="F42" s="163">
        <f t="shared" si="5"/>
        <v>0</v>
      </c>
      <c r="G42" s="164">
        <f t="shared" si="6"/>
        <v>0</v>
      </c>
      <c r="H42" s="163">
        <f t="shared" si="7"/>
        <v>1</v>
      </c>
      <c r="I42" s="164">
        <f t="shared" si="8"/>
        <v>1</v>
      </c>
      <c r="J42" s="163">
        <f t="shared" si="9"/>
        <v>0</v>
      </c>
      <c r="K42" s="164"/>
      <c r="L42" s="166">
        <f t="shared" si="11"/>
        <v>38</v>
      </c>
      <c r="M42" s="166">
        <f t="shared" si="10"/>
        <v>95</v>
      </c>
    </row>
    <row r="43" spans="1:13" ht="12.75" customHeight="1" x14ac:dyDescent="0.25">
      <c r="A43" s="168">
        <f t="shared" si="0"/>
        <v>132.5</v>
      </c>
      <c r="B43" s="163">
        <f t="shared" si="1"/>
        <v>0</v>
      </c>
      <c r="C43" s="164">
        <f t="shared" si="2"/>
        <v>0</v>
      </c>
      <c r="D43" s="163">
        <f t="shared" si="3"/>
        <v>0</v>
      </c>
      <c r="E43" s="164">
        <f t="shared" si="4"/>
        <v>2</v>
      </c>
      <c r="F43" s="163">
        <f t="shared" si="5"/>
        <v>0</v>
      </c>
      <c r="G43" s="164">
        <f t="shared" si="6"/>
        <v>0</v>
      </c>
      <c r="H43" s="163">
        <f t="shared" si="7"/>
        <v>1</v>
      </c>
      <c r="I43" s="164">
        <f t="shared" si="8"/>
        <v>1</v>
      </c>
      <c r="J43" s="163">
        <f t="shared" si="9"/>
        <v>1</v>
      </c>
      <c r="K43" s="164"/>
      <c r="L43" s="166">
        <f t="shared" si="11"/>
        <v>39</v>
      </c>
      <c r="M43" s="166">
        <f t="shared" si="10"/>
        <v>97.5</v>
      </c>
    </row>
    <row r="44" spans="1:13" ht="12.75" customHeight="1" x14ac:dyDescent="0.25">
      <c r="A44" s="168">
        <f t="shared" si="0"/>
        <v>135</v>
      </c>
      <c r="B44" s="163">
        <f t="shared" si="1"/>
        <v>1</v>
      </c>
      <c r="C44" s="164">
        <f t="shared" si="2"/>
        <v>0</v>
      </c>
      <c r="D44" s="163">
        <f t="shared" si="3"/>
        <v>0</v>
      </c>
      <c r="E44" s="164">
        <f t="shared" si="4"/>
        <v>0</v>
      </c>
      <c r="F44" s="163">
        <f t="shared" si="5"/>
        <v>0</v>
      </c>
      <c r="G44" s="164">
        <f t="shared" si="6"/>
        <v>0</v>
      </c>
      <c r="H44" s="163">
        <f t="shared" si="7"/>
        <v>0</v>
      </c>
      <c r="I44" s="164">
        <f t="shared" si="8"/>
        <v>0</v>
      </c>
      <c r="J44" s="163">
        <f t="shared" si="9"/>
        <v>0</v>
      </c>
      <c r="K44" s="164"/>
      <c r="L44" s="166">
        <f t="shared" si="11"/>
        <v>40</v>
      </c>
      <c r="M44" s="166">
        <f t="shared" si="10"/>
        <v>100</v>
      </c>
    </row>
    <row r="45" spans="1:13" ht="12.75" customHeight="1" x14ac:dyDescent="0.25">
      <c r="A45" s="168">
        <f t="shared" si="0"/>
        <v>137.5</v>
      </c>
      <c r="B45" s="163">
        <f t="shared" si="1"/>
        <v>1</v>
      </c>
      <c r="C45" s="164">
        <f t="shared" si="2"/>
        <v>0</v>
      </c>
      <c r="D45" s="163">
        <f t="shared" si="3"/>
        <v>0</v>
      </c>
      <c r="E45" s="164">
        <f t="shared" si="4"/>
        <v>0</v>
      </c>
      <c r="F45" s="163">
        <f t="shared" si="5"/>
        <v>0</v>
      </c>
      <c r="G45" s="164">
        <f t="shared" si="6"/>
        <v>0</v>
      </c>
      <c r="H45" s="163">
        <f t="shared" si="7"/>
        <v>0</v>
      </c>
      <c r="I45" s="164">
        <f t="shared" si="8"/>
        <v>0</v>
      </c>
      <c r="J45" s="163">
        <f t="shared" si="9"/>
        <v>1</v>
      </c>
      <c r="K45" s="164"/>
      <c r="L45" s="166">
        <f t="shared" si="11"/>
        <v>41</v>
      </c>
      <c r="M45" s="166">
        <f t="shared" si="10"/>
        <v>102.5</v>
      </c>
    </row>
    <row r="46" spans="1:13" ht="12.75" customHeight="1" x14ac:dyDescent="0.25">
      <c r="A46" s="168">
        <f t="shared" si="0"/>
        <v>140</v>
      </c>
      <c r="B46" s="163">
        <f t="shared" si="1"/>
        <v>1</v>
      </c>
      <c r="C46" s="164">
        <f t="shared" si="2"/>
        <v>0</v>
      </c>
      <c r="D46" s="163">
        <f t="shared" si="3"/>
        <v>0</v>
      </c>
      <c r="E46" s="164">
        <f t="shared" si="4"/>
        <v>0</v>
      </c>
      <c r="F46" s="163">
        <f t="shared" si="5"/>
        <v>0</v>
      </c>
      <c r="G46" s="164">
        <f t="shared" si="6"/>
        <v>0</v>
      </c>
      <c r="H46" s="163">
        <f t="shared" si="7"/>
        <v>0</v>
      </c>
      <c r="I46" s="164">
        <f t="shared" si="8"/>
        <v>1</v>
      </c>
      <c r="J46" s="163">
        <f t="shared" si="9"/>
        <v>0</v>
      </c>
      <c r="K46" s="164"/>
      <c r="L46" s="166">
        <f t="shared" si="11"/>
        <v>42</v>
      </c>
      <c r="M46" s="166">
        <f t="shared" si="10"/>
        <v>105</v>
      </c>
    </row>
    <row r="47" spans="1:13" ht="12.75" customHeight="1" x14ac:dyDescent="0.25">
      <c r="A47" s="168">
        <f t="shared" si="0"/>
        <v>142.5</v>
      </c>
      <c r="B47" s="163">
        <f t="shared" si="1"/>
        <v>1</v>
      </c>
      <c r="C47" s="164">
        <f t="shared" si="2"/>
        <v>0</v>
      </c>
      <c r="D47" s="163">
        <f t="shared" si="3"/>
        <v>0</v>
      </c>
      <c r="E47" s="164">
        <f t="shared" si="4"/>
        <v>0</v>
      </c>
      <c r="F47" s="163">
        <f t="shared" si="5"/>
        <v>0</v>
      </c>
      <c r="G47" s="164">
        <f t="shared" si="6"/>
        <v>0</v>
      </c>
      <c r="H47" s="163">
        <f t="shared" si="7"/>
        <v>0</v>
      </c>
      <c r="I47" s="164">
        <f t="shared" si="8"/>
        <v>1</v>
      </c>
      <c r="J47" s="163">
        <f t="shared" si="9"/>
        <v>1</v>
      </c>
      <c r="K47" s="164"/>
      <c r="L47" s="166">
        <f t="shared" si="11"/>
        <v>43</v>
      </c>
      <c r="M47" s="166">
        <f t="shared" si="10"/>
        <v>107.5</v>
      </c>
    </row>
    <row r="48" spans="1:13" ht="12.75" customHeight="1" x14ac:dyDescent="0.25">
      <c r="A48" s="168">
        <f t="shared" si="0"/>
        <v>145</v>
      </c>
      <c r="B48" s="163">
        <f t="shared" si="1"/>
        <v>1</v>
      </c>
      <c r="C48" s="164">
        <f t="shared" si="2"/>
        <v>0</v>
      </c>
      <c r="D48" s="163">
        <f t="shared" si="3"/>
        <v>0</v>
      </c>
      <c r="E48" s="164">
        <f t="shared" si="4"/>
        <v>0</v>
      </c>
      <c r="F48" s="163">
        <f t="shared" si="5"/>
        <v>0</v>
      </c>
      <c r="G48" s="164">
        <f t="shared" si="6"/>
        <v>0</v>
      </c>
      <c r="H48" s="163">
        <f t="shared" si="7"/>
        <v>1</v>
      </c>
      <c r="I48" s="164">
        <f t="shared" si="8"/>
        <v>0</v>
      </c>
      <c r="J48" s="163">
        <f t="shared" si="9"/>
        <v>0</v>
      </c>
      <c r="K48" s="164"/>
      <c r="L48" s="166">
        <f t="shared" si="11"/>
        <v>44</v>
      </c>
      <c r="M48" s="166">
        <f t="shared" si="10"/>
        <v>110</v>
      </c>
    </row>
    <row r="49" spans="1:13" ht="12.75" customHeight="1" x14ac:dyDescent="0.25">
      <c r="A49" s="168">
        <f t="shared" si="0"/>
        <v>147.5</v>
      </c>
      <c r="B49" s="163">
        <f t="shared" si="1"/>
        <v>1</v>
      </c>
      <c r="C49" s="164">
        <f t="shared" si="2"/>
        <v>0</v>
      </c>
      <c r="D49" s="163">
        <f t="shared" si="3"/>
        <v>0</v>
      </c>
      <c r="E49" s="164">
        <f t="shared" si="4"/>
        <v>0</v>
      </c>
      <c r="F49" s="163">
        <f t="shared" si="5"/>
        <v>0</v>
      </c>
      <c r="G49" s="164">
        <f t="shared" si="6"/>
        <v>0</v>
      </c>
      <c r="H49" s="163">
        <f t="shared" si="7"/>
        <v>1</v>
      </c>
      <c r="I49" s="164">
        <f t="shared" si="8"/>
        <v>0</v>
      </c>
      <c r="J49" s="163">
        <f t="shared" si="9"/>
        <v>1</v>
      </c>
      <c r="K49" s="164"/>
      <c r="L49" s="166">
        <f t="shared" si="11"/>
        <v>45</v>
      </c>
      <c r="M49" s="166">
        <f t="shared" si="10"/>
        <v>112.5</v>
      </c>
    </row>
    <row r="50" spans="1:13" ht="12.75" customHeight="1" x14ac:dyDescent="0.25">
      <c r="A50" s="168">
        <f t="shared" si="0"/>
        <v>150</v>
      </c>
      <c r="B50" s="163">
        <f t="shared" si="1"/>
        <v>1</v>
      </c>
      <c r="C50" s="164">
        <f t="shared" si="2"/>
        <v>0</v>
      </c>
      <c r="D50" s="163">
        <f t="shared" si="3"/>
        <v>0</v>
      </c>
      <c r="E50" s="164">
        <f t="shared" si="4"/>
        <v>0</v>
      </c>
      <c r="F50" s="163">
        <f t="shared" si="5"/>
        <v>0</v>
      </c>
      <c r="G50" s="164">
        <f t="shared" si="6"/>
        <v>0</v>
      </c>
      <c r="H50" s="163">
        <f t="shared" si="7"/>
        <v>1</v>
      </c>
      <c r="I50" s="164">
        <f t="shared" si="8"/>
        <v>1</v>
      </c>
      <c r="J50" s="163">
        <f t="shared" si="9"/>
        <v>0</v>
      </c>
      <c r="K50" s="164"/>
      <c r="L50" s="166">
        <f t="shared" si="11"/>
        <v>46</v>
      </c>
      <c r="M50" s="166">
        <f t="shared" si="10"/>
        <v>115</v>
      </c>
    </row>
    <row r="51" spans="1:13" ht="12.75" customHeight="1" x14ac:dyDescent="0.25">
      <c r="A51" s="168">
        <f t="shared" si="0"/>
        <v>152.5</v>
      </c>
      <c r="B51" s="163">
        <f t="shared" si="1"/>
        <v>1</v>
      </c>
      <c r="C51" s="164">
        <f t="shared" si="2"/>
        <v>0</v>
      </c>
      <c r="D51" s="163">
        <f t="shared" si="3"/>
        <v>0</v>
      </c>
      <c r="E51" s="164">
        <f t="shared" si="4"/>
        <v>0</v>
      </c>
      <c r="F51" s="163">
        <f t="shared" si="5"/>
        <v>0</v>
      </c>
      <c r="G51" s="164">
        <f t="shared" si="6"/>
        <v>0</v>
      </c>
      <c r="H51" s="163">
        <f t="shared" si="7"/>
        <v>1</v>
      </c>
      <c r="I51" s="164">
        <f t="shared" si="8"/>
        <v>1</v>
      </c>
      <c r="J51" s="163">
        <f t="shared" si="9"/>
        <v>1</v>
      </c>
      <c r="K51" s="164"/>
      <c r="L51" s="166">
        <f t="shared" si="11"/>
        <v>47</v>
      </c>
      <c r="M51" s="166">
        <f t="shared" si="10"/>
        <v>117.5</v>
      </c>
    </row>
    <row r="52" spans="1:13" ht="12.75" customHeight="1" x14ac:dyDescent="0.25">
      <c r="A52" s="168">
        <f t="shared" si="0"/>
        <v>155</v>
      </c>
      <c r="B52" s="163">
        <f t="shared" si="1"/>
        <v>1</v>
      </c>
      <c r="C52" s="164">
        <f t="shared" si="2"/>
        <v>0</v>
      </c>
      <c r="D52" s="163">
        <f t="shared" si="3"/>
        <v>0</v>
      </c>
      <c r="E52" s="164">
        <f t="shared" si="4"/>
        <v>0</v>
      </c>
      <c r="F52" s="163">
        <f t="shared" si="5"/>
        <v>0</v>
      </c>
      <c r="G52" s="164">
        <f t="shared" si="6"/>
        <v>1</v>
      </c>
      <c r="H52" s="163">
        <f t="shared" si="7"/>
        <v>0</v>
      </c>
      <c r="I52" s="164">
        <f t="shared" si="8"/>
        <v>0</v>
      </c>
      <c r="J52" s="163">
        <f t="shared" si="9"/>
        <v>0</v>
      </c>
      <c r="K52" s="164"/>
      <c r="L52" s="166">
        <f t="shared" si="11"/>
        <v>48</v>
      </c>
      <c r="M52" s="166">
        <f t="shared" si="10"/>
        <v>120</v>
      </c>
    </row>
    <row r="53" spans="1:13" ht="12.75" customHeight="1" x14ac:dyDescent="0.25">
      <c r="A53" s="168">
        <f t="shared" si="0"/>
        <v>157.5</v>
      </c>
      <c r="B53" s="163">
        <f t="shared" si="1"/>
        <v>1</v>
      </c>
      <c r="C53" s="164">
        <f t="shared" si="2"/>
        <v>0</v>
      </c>
      <c r="D53" s="163">
        <f t="shared" si="3"/>
        <v>0</v>
      </c>
      <c r="E53" s="164">
        <f t="shared" si="4"/>
        <v>0</v>
      </c>
      <c r="F53" s="163">
        <f t="shared" si="5"/>
        <v>0</v>
      </c>
      <c r="G53" s="164">
        <f t="shared" si="6"/>
        <v>1</v>
      </c>
      <c r="H53" s="163">
        <f t="shared" si="7"/>
        <v>0</v>
      </c>
      <c r="I53" s="164">
        <f t="shared" si="8"/>
        <v>0</v>
      </c>
      <c r="J53" s="163">
        <f t="shared" si="9"/>
        <v>1</v>
      </c>
      <c r="K53" s="164"/>
      <c r="L53" s="166">
        <f t="shared" si="11"/>
        <v>49</v>
      </c>
      <c r="M53" s="166">
        <f t="shared" si="10"/>
        <v>122.5</v>
      </c>
    </row>
    <row r="54" spans="1:13" ht="12.75" customHeight="1" x14ac:dyDescent="0.25">
      <c r="A54" s="168">
        <f t="shared" si="0"/>
        <v>160</v>
      </c>
      <c r="B54" s="163">
        <f t="shared" si="1"/>
        <v>1</v>
      </c>
      <c r="C54" s="164">
        <f t="shared" si="2"/>
        <v>0</v>
      </c>
      <c r="D54" s="163">
        <f t="shared" si="3"/>
        <v>0</v>
      </c>
      <c r="E54" s="164">
        <f t="shared" si="4"/>
        <v>0</v>
      </c>
      <c r="F54" s="163">
        <f t="shared" si="5"/>
        <v>0</v>
      </c>
      <c r="G54" s="164">
        <f t="shared" si="6"/>
        <v>1</v>
      </c>
      <c r="H54" s="163">
        <f t="shared" si="7"/>
        <v>0</v>
      </c>
      <c r="I54" s="164">
        <f t="shared" si="8"/>
        <v>1</v>
      </c>
      <c r="J54" s="163">
        <f t="shared" si="9"/>
        <v>0</v>
      </c>
      <c r="K54" s="164"/>
      <c r="L54" s="166">
        <f t="shared" si="11"/>
        <v>50</v>
      </c>
      <c r="M54" s="166">
        <f t="shared" si="10"/>
        <v>125</v>
      </c>
    </row>
    <row r="55" spans="1:13" ht="12.75" customHeight="1" x14ac:dyDescent="0.25">
      <c r="A55" s="168">
        <f t="shared" si="0"/>
        <v>162.5</v>
      </c>
      <c r="B55" s="163">
        <f t="shared" si="1"/>
        <v>1</v>
      </c>
      <c r="C55" s="164">
        <f t="shared" si="2"/>
        <v>0</v>
      </c>
      <c r="D55" s="163">
        <f t="shared" si="3"/>
        <v>0</v>
      </c>
      <c r="E55" s="164">
        <f t="shared" si="4"/>
        <v>0</v>
      </c>
      <c r="F55" s="163">
        <f t="shared" si="5"/>
        <v>0</v>
      </c>
      <c r="G55" s="164">
        <f t="shared" si="6"/>
        <v>1</v>
      </c>
      <c r="H55" s="163">
        <f t="shared" si="7"/>
        <v>0</v>
      </c>
      <c r="I55" s="164">
        <f t="shared" si="8"/>
        <v>1</v>
      </c>
      <c r="J55" s="163">
        <f t="shared" si="9"/>
        <v>1</v>
      </c>
      <c r="K55" s="164"/>
      <c r="L55" s="166">
        <f t="shared" si="11"/>
        <v>51</v>
      </c>
      <c r="M55" s="166">
        <f t="shared" si="10"/>
        <v>127.5</v>
      </c>
    </row>
    <row r="56" spans="1:13" ht="12.75" customHeight="1" x14ac:dyDescent="0.25">
      <c r="A56" s="168">
        <f t="shared" si="0"/>
        <v>165</v>
      </c>
      <c r="B56" s="163">
        <f t="shared" si="1"/>
        <v>1</v>
      </c>
      <c r="C56" s="164">
        <f t="shared" si="2"/>
        <v>0</v>
      </c>
      <c r="D56" s="163">
        <f t="shared" si="3"/>
        <v>0</v>
      </c>
      <c r="E56" s="164">
        <f t="shared" si="4"/>
        <v>0</v>
      </c>
      <c r="F56" s="163">
        <f t="shared" si="5"/>
        <v>1</v>
      </c>
      <c r="G56" s="164">
        <f t="shared" si="6"/>
        <v>0</v>
      </c>
      <c r="H56" s="163">
        <f t="shared" si="7"/>
        <v>0</v>
      </c>
      <c r="I56" s="164">
        <f t="shared" si="8"/>
        <v>0</v>
      </c>
      <c r="J56" s="163">
        <f t="shared" si="9"/>
        <v>0</v>
      </c>
      <c r="K56" s="164"/>
      <c r="L56" s="166">
        <f t="shared" si="11"/>
        <v>52</v>
      </c>
      <c r="M56" s="166">
        <f t="shared" si="10"/>
        <v>130</v>
      </c>
    </row>
    <row r="57" spans="1:13" ht="12.75" customHeight="1" x14ac:dyDescent="0.25">
      <c r="A57" s="168">
        <f t="shared" si="0"/>
        <v>167.5</v>
      </c>
      <c r="B57" s="163">
        <f t="shared" si="1"/>
        <v>1</v>
      </c>
      <c r="C57" s="164">
        <f t="shared" si="2"/>
        <v>0</v>
      </c>
      <c r="D57" s="163">
        <f t="shared" si="3"/>
        <v>0</v>
      </c>
      <c r="E57" s="164">
        <f t="shared" si="4"/>
        <v>0</v>
      </c>
      <c r="F57" s="163">
        <f t="shared" si="5"/>
        <v>1</v>
      </c>
      <c r="G57" s="164">
        <f t="shared" si="6"/>
        <v>0</v>
      </c>
      <c r="H57" s="163">
        <f t="shared" si="7"/>
        <v>0</v>
      </c>
      <c r="I57" s="164">
        <f t="shared" si="8"/>
        <v>0</v>
      </c>
      <c r="J57" s="163">
        <f t="shared" si="9"/>
        <v>1</v>
      </c>
      <c r="K57" s="164"/>
      <c r="L57" s="166">
        <f t="shared" si="11"/>
        <v>53</v>
      </c>
      <c r="M57" s="166">
        <f t="shared" si="10"/>
        <v>132.5</v>
      </c>
    </row>
    <row r="58" spans="1:13" ht="12.75" customHeight="1" x14ac:dyDescent="0.25">
      <c r="A58" s="168">
        <f t="shared" si="0"/>
        <v>170</v>
      </c>
      <c r="B58" s="163">
        <f t="shared" si="1"/>
        <v>1</v>
      </c>
      <c r="C58" s="164">
        <f t="shared" si="2"/>
        <v>0</v>
      </c>
      <c r="D58" s="163">
        <f t="shared" si="3"/>
        <v>0</v>
      </c>
      <c r="E58" s="164">
        <f t="shared" si="4"/>
        <v>0</v>
      </c>
      <c r="F58" s="163">
        <f t="shared" si="5"/>
        <v>1</v>
      </c>
      <c r="G58" s="164">
        <f t="shared" si="6"/>
        <v>0</v>
      </c>
      <c r="H58" s="163">
        <f t="shared" si="7"/>
        <v>0</v>
      </c>
      <c r="I58" s="164">
        <f t="shared" si="8"/>
        <v>1</v>
      </c>
      <c r="J58" s="163">
        <f t="shared" si="9"/>
        <v>0</v>
      </c>
      <c r="K58" s="164"/>
      <c r="L58" s="166">
        <f t="shared" si="11"/>
        <v>54</v>
      </c>
      <c r="M58" s="166">
        <f t="shared" si="10"/>
        <v>135</v>
      </c>
    </row>
    <row r="59" spans="1:13" ht="12.75" customHeight="1" x14ac:dyDescent="0.25">
      <c r="A59" s="168">
        <f t="shared" si="0"/>
        <v>172.5</v>
      </c>
      <c r="B59" s="163">
        <f t="shared" si="1"/>
        <v>1</v>
      </c>
      <c r="C59" s="164">
        <f t="shared" si="2"/>
        <v>0</v>
      </c>
      <c r="D59" s="163">
        <f t="shared" si="3"/>
        <v>0</v>
      </c>
      <c r="E59" s="164">
        <f t="shared" si="4"/>
        <v>0</v>
      </c>
      <c r="F59" s="163">
        <f t="shared" si="5"/>
        <v>1</v>
      </c>
      <c r="G59" s="164">
        <f t="shared" si="6"/>
        <v>0</v>
      </c>
      <c r="H59" s="163">
        <f t="shared" si="7"/>
        <v>0</v>
      </c>
      <c r="I59" s="164">
        <f t="shared" si="8"/>
        <v>1</v>
      </c>
      <c r="J59" s="163">
        <f t="shared" si="9"/>
        <v>1</v>
      </c>
      <c r="K59" s="164"/>
      <c r="L59" s="166">
        <f t="shared" si="11"/>
        <v>55</v>
      </c>
      <c r="M59" s="166">
        <f t="shared" si="10"/>
        <v>137.5</v>
      </c>
    </row>
    <row r="60" spans="1:13" ht="12.75" customHeight="1" x14ac:dyDescent="0.25">
      <c r="A60" s="168">
        <f t="shared" si="0"/>
        <v>175</v>
      </c>
      <c r="B60" s="163">
        <f t="shared" si="1"/>
        <v>1</v>
      </c>
      <c r="C60" s="164">
        <f t="shared" si="2"/>
        <v>0</v>
      </c>
      <c r="D60" s="163">
        <f t="shared" si="3"/>
        <v>0</v>
      </c>
      <c r="E60" s="164">
        <f t="shared" si="4"/>
        <v>1</v>
      </c>
      <c r="F60" s="163">
        <f t="shared" si="5"/>
        <v>0</v>
      </c>
      <c r="G60" s="164">
        <f t="shared" si="6"/>
        <v>0</v>
      </c>
      <c r="H60" s="163">
        <f t="shared" si="7"/>
        <v>0</v>
      </c>
      <c r="I60" s="164">
        <f t="shared" si="8"/>
        <v>0</v>
      </c>
      <c r="J60" s="163">
        <f t="shared" si="9"/>
        <v>0</v>
      </c>
      <c r="K60" s="164"/>
      <c r="L60" s="166">
        <f t="shared" si="11"/>
        <v>56</v>
      </c>
      <c r="M60" s="166">
        <f t="shared" si="10"/>
        <v>140</v>
      </c>
    </row>
    <row r="61" spans="1:13" ht="12.75" customHeight="1" x14ac:dyDescent="0.25">
      <c r="A61" s="168">
        <f t="shared" si="0"/>
        <v>177.5</v>
      </c>
      <c r="B61" s="163">
        <f t="shared" si="1"/>
        <v>1</v>
      </c>
      <c r="C61" s="164">
        <f t="shared" si="2"/>
        <v>0</v>
      </c>
      <c r="D61" s="163">
        <f t="shared" si="3"/>
        <v>0</v>
      </c>
      <c r="E61" s="164">
        <f t="shared" si="4"/>
        <v>1</v>
      </c>
      <c r="F61" s="163">
        <f t="shared" si="5"/>
        <v>0</v>
      </c>
      <c r="G61" s="164">
        <f t="shared" si="6"/>
        <v>0</v>
      </c>
      <c r="H61" s="163">
        <f t="shared" si="7"/>
        <v>0</v>
      </c>
      <c r="I61" s="164">
        <f t="shared" si="8"/>
        <v>0</v>
      </c>
      <c r="J61" s="163">
        <f t="shared" si="9"/>
        <v>1</v>
      </c>
      <c r="K61" s="164"/>
      <c r="L61" s="166">
        <f t="shared" si="11"/>
        <v>57</v>
      </c>
      <c r="M61" s="166">
        <f t="shared" si="10"/>
        <v>142.5</v>
      </c>
    </row>
    <row r="62" spans="1:13" ht="12.75" customHeight="1" x14ac:dyDescent="0.25">
      <c r="A62" s="168">
        <f t="shared" si="0"/>
        <v>180</v>
      </c>
      <c r="B62" s="163">
        <f t="shared" si="1"/>
        <v>1</v>
      </c>
      <c r="C62" s="164">
        <f t="shared" si="2"/>
        <v>0</v>
      </c>
      <c r="D62" s="163">
        <f t="shared" si="3"/>
        <v>0</v>
      </c>
      <c r="E62" s="164">
        <f t="shared" si="4"/>
        <v>1</v>
      </c>
      <c r="F62" s="163">
        <f t="shared" si="5"/>
        <v>0</v>
      </c>
      <c r="G62" s="164">
        <f t="shared" si="6"/>
        <v>0</v>
      </c>
      <c r="H62" s="163">
        <f t="shared" si="7"/>
        <v>0</v>
      </c>
      <c r="I62" s="164">
        <f t="shared" si="8"/>
        <v>1</v>
      </c>
      <c r="J62" s="163">
        <f t="shared" si="9"/>
        <v>0</v>
      </c>
      <c r="K62" s="164"/>
      <c r="L62" s="166">
        <f t="shared" si="11"/>
        <v>58</v>
      </c>
      <c r="M62" s="166">
        <f t="shared" si="10"/>
        <v>145</v>
      </c>
    </row>
    <row r="63" spans="1:13" ht="12.75" customHeight="1" x14ac:dyDescent="0.25">
      <c r="A63" s="168">
        <f t="shared" si="0"/>
        <v>182.5</v>
      </c>
      <c r="B63" s="163">
        <f t="shared" si="1"/>
        <v>1</v>
      </c>
      <c r="C63" s="164">
        <f t="shared" si="2"/>
        <v>0</v>
      </c>
      <c r="D63" s="163">
        <f t="shared" si="3"/>
        <v>0</v>
      </c>
      <c r="E63" s="164">
        <f t="shared" si="4"/>
        <v>1</v>
      </c>
      <c r="F63" s="163">
        <f t="shared" si="5"/>
        <v>0</v>
      </c>
      <c r="G63" s="164">
        <f t="shared" si="6"/>
        <v>0</v>
      </c>
      <c r="H63" s="163">
        <f t="shared" si="7"/>
        <v>0</v>
      </c>
      <c r="I63" s="164">
        <f t="shared" si="8"/>
        <v>1</v>
      </c>
      <c r="J63" s="163">
        <f t="shared" si="9"/>
        <v>1</v>
      </c>
      <c r="K63" s="164"/>
      <c r="L63" s="166">
        <f t="shared" si="11"/>
        <v>59</v>
      </c>
      <c r="M63" s="166">
        <f t="shared" si="10"/>
        <v>147.5</v>
      </c>
    </row>
    <row r="64" spans="1:13" ht="12.75" customHeight="1" x14ac:dyDescent="0.25">
      <c r="A64" s="168">
        <f t="shared" si="0"/>
        <v>185</v>
      </c>
      <c r="B64" s="163">
        <f t="shared" si="1"/>
        <v>1</v>
      </c>
      <c r="C64" s="164">
        <f t="shared" si="2"/>
        <v>0</v>
      </c>
      <c r="D64" s="163">
        <f t="shared" si="3"/>
        <v>0</v>
      </c>
      <c r="E64" s="164">
        <f t="shared" si="4"/>
        <v>1</v>
      </c>
      <c r="F64" s="163">
        <f t="shared" si="5"/>
        <v>0</v>
      </c>
      <c r="G64" s="164">
        <f t="shared" si="6"/>
        <v>0</v>
      </c>
      <c r="H64" s="163">
        <f t="shared" si="7"/>
        <v>1</v>
      </c>
      <c r="I64" s="164">
        <f t="shared" si="8"/>
        <v>0</v>
      </c>
      <c r="J64" s="163">
        <f t="shared" si="9"/>
        <v>0</v>
      </c>
      <c r="K64" s="164"/>
      <c r="L64" s="166">
        <f t="shared" si="11"/>
        <v>60</v>
      </c>
      <c r="M64" s="166">
        <f t="shared" si="10"/>
        <v>150</v>
      </c>
    </row>
    <row r="65" spans="1:13" ht="12.75" customHeight="1" x14ac:dyDescent="0.25">
      <c r="A65" s="168">
        <f t="shared" si="0"/>
        <v>187.5</v>
      </c>
      <c r="B65" s="163">
        <f t="shared" si="1"/>
        <v>1</v>
      </c>
      <c r="C65" s="164">
        <f t="shared" si="2"/>
        <v>0</v>
      </c>
      <c r="D65" s="163">
        <f t="shared" si="3"/>
        <v>0</v>
      </c>
      <c r="E65" s="164">
        <f t="shared" si="4"/>
        <v>1</v>
      </c>
      <c r="F65" s="163">
        <f t="shared" si="5"/>
        <v>0</v>
      </c>
      <c r="G65" s="164">
        <f t="shared" si="6"/>
        <v>0</v>
      </c>
      <c r="H65" s="163">
        <f t="shared" si="7"/>
        <v>1</v>
      </c>
      <c r="I65" s="164">
        <f t="shared" si="8"/>
        <v>0</v>
      </c>
      <c r="J65" s="163">
        <f t="shared" si="9"/>
        <v>1</v>
      </c>
      <c r="K65" s="164"/>
      <c r="L65" s="166">
        <f t="shared" si="11"/>
        <v>61</v>
      </c>
      <c r="M65" s="166">
        <f t="shared" si="10"/>
        <v>152.5</v>
      </c>
    </row>
    <row r="66" spans="1:13" ht="12.75" customHeight="1" x14ac:dyDescent="0.25">
      <c r="A66" s="168">
        <f t="shared" si="0"/>
        <v>190</v>
      </c>
      <c r="B66" s="163">
        <f t="shared" si="1"/>
        <v>1</v>
      </c>
      <c r="C66" s="164">
        <f t="shared" si="2"/>
        <v>0</v>
      </c>
      <c r="D66" s="163">
        <f t="shared" si="3"/>
        <v>0</v>
      </c>
      <c r="E66" s="164">
        <f t="shared" si="4"/>
        <v>1</v>
      </c>
      <c r="F66" s="163">
        <f t="shared" si="5"/>
        <v>0</v>
      </c>
      <c r="G66" s="164">
        <f t="shared" si="6"/>
        <v>0</v>
      </c>
      <c r="H66" s="163">
        <f t="shared" si="7"/>
        <v>1</v>
      </c>
      <c r="I66" s="164">
        <f t="shared" si="8"/>
        <v>1</v>
      </c>
      <c r="J66" s="163">
        <f t="shared" si="9"/>
        <v>0</v>
      </c>
      <c r="K66" s="164"/>
      <c r="L66" s="166">
        <f t="shared" si="11"/>
        <v>62</v>
      </c>
      <c r="M66" s="166">
        <f t="shared" si="10"/>
        <v>155</v>
      </c>
    </row>
    <row r="67" spans="1:13" ht="12.75" customHeight="1" x14ac:dyDescent="0.25">
      <c r="A67" s="168">
        <f t="shared" si="0"/>
        <v>192.5</v>
      </c>
      <c r="B67" s="163">
        <f t="shared" si="1"/>
        <v>1</v>
      </c>
      <c r="C67" s="164">
        <f t="shared" si="2"/>
        <v>0</v>
      </c>
      <c r="D67" s="163">
        <f t="shared" si="3"/>
        <v>0</v>
      </c>
      <c r="E67" s="164">
        <f t="shared" si="4"/>
        <v>1</v>
      </c>
      <c r="F67" s="163">
        <f t="shared" si="5"/>
        <v>0</v>
      </c>
      <c r="G67" s="164">
        <f t="shared" si="6"/>
        <v>0</v>
      </c>
      <c r="H67" s="163">
        <f t="shared" si="7"/>
        <v>1</v>
      </c>
      <c r="I67" s="164">
        <f t="shared" si="8"/>
        <v>1</v>
      </c>
      <c r="J67" s="163">
        <f t="shared" si="9"/>
        <v>1</v>
      </c>
      <c r="K67" s="164"/>
      <c r="L67" s="166">
        <f t="shared" si="11"/>
        <v>63</v>
      </c>
      <c r="M67" s="166">
        <f t="shared" si="10"/>
        <v>157.5</v>
      </c>
    </row>
    <row r="68" spans="1:13" ht="12.75" customHeight="1" x14ac:dyDescent="0.25">
      <c r="A68" s="168">
        <f t="shared" si="0"/>
        <v>195</v>
      </c>
      <c r="B68" s="163">
        <f t="shared" si="1"/>
        <v>1</v>
      </c>
      <c r="C68" s="164">
        <f t="shared" si="2"/>
        <v>0</v>
      </c>
      <c r="D68" s="163">
        <f t="shared" si="3"/>
        <v>0</v>
      </c>
      <c r="E68" s="164">
        <f t="shared" si="4"/>
        <v>1</v>
      </c>
      <c r="F68" s="163">
        <f t="shared" si="5"/>
        <v>0</v>
      </c>
      <c r="G68" s="164">
        <f t="shared" si="6"/>
        <v>1</v>
      </c>
      <c r="H68" s="163">
        <f t="shared" si="7"/>
        <v>0</v>
      </c>
      <c r="I68" s="164">
        <f t="shared" si="8"/>
        <v>0</v>
      </c>
      <c r="J68" s="163">
        <f t="shared" si="9"/>
        <v>0</v>
      </c>
      <c r="K68" s="164"/>
      <c r="L68" s="166">
        <f t="shared" si="11"/>
        <v>64</v>
      </c>
      <c r="M68" s="166">
        <f t="shared" si="10"/>
        <v>160</v>
      </c>
    </row>
    <row r="69" spans="1:13" ht="12.75" customHeight="1" x14ac:dyDescent="0.25">
      <c r="A69" s="168">
        <f t="shared" ref="A69:A132" si="12">IF(M69+$K$2&gt;$L$1,0,M69+$K$2)</f>
        <v>197.5</v>
      </c>
      <c r="B69" s="163">
        <f t="shared" ref="B69:B132" si="13">IF(A69=0,0,MIN($B$1/2,INT(M69/(2*$B$2))))</f>
        <v>1</v>
      </c>
      <c r="C69" s="164">
        <f t="shared" ref="C69:C132" si="14">IF(A69=0,0,MIN($C$1/2,INT(($M69-2*$B69*$B$2)/(2*$C$2))))</f>
        <v>0</v>
      </c>
      <c r="D69" s="163">
        <f t="shared" ref="D69:D132" si="15">IF(A69=0,0,MIN($D$1/2,INT(($M69-2*$B69*$B$2-2*$C69*$C$2)/(2*$D$2))))</f>
        <v>0</v>
      </c>
      <c r="E69" s="164">
        <f t="shared" ref="E69:E132" si="16">IF(A69=0,0,MIN($E$1/2,INT(($M69-2*$B69*$B$2-2*$C69*$C$2-2*$D69*$D$2)/(2*$E$2))))</f>
        <v>1</v>
      </c>
      <c r="F69" s="163">
        <f t="shared" ref="F69:F132" si="17">IF(A69=0,0,MIN($F$1/2,INT(($M69-2*$B69*$B$2-2*$C69*$C$2-2*$D69*$D$2-2*$E69*$E$2)/(2*$F$2))))</f>
        <v>0</v>
      </c>
      <c r="G69" s="164">
        <f t="shared" ref="G69:G132" si="18">IF(A69=0,0,MIN($G$1/2,INT(($M69-2*$B69*$B$2-2*$C69*$C$2-2*$D69*$D$2-2*$E69*$E$2-2*$F69*$F$2)/(2*$G$2))))</f>
        <v>1</v>
      </c>
      <c r="H69" s="163">
        <f t="shared" ref="H69:H132" si="19">IF(A69=0,0,MIN($H$1/2,INT(($M69-2*$B69*$B$2-2*$C69*$C$2-2*$D69*$D$2-2*$E69*$E$2-2*$F69*$F$2-2*$G69*$G$2)/(2*$H$2))))</f>
        <v>0</v>
      </c>
      <c r="I69" s="164">
        <f t="shared" ref="I69:I132" si="20">IF(A69=0,0,MIN($I$1/2,INT(($M69-2*$B69*$B$2-2*$C69*$C$2-2*$D69*$D$2-2*$E69*$E$2-2*$F69*$F$2-2*$G69*$G$2-2*$H69*$H$2)/(2*$I$2))))</f>
        <v>0</v>
      </c>
      <c r="J69" s="163">
        <f t="shared" ref="J69:J132" si="21">IF(A69=0,0,MIN($J$1/2,INT(($M69-2*$B69*$B$2-2*$C69*$C$2-2*$D69*$D$2-2*$E69*$E$2-2*$F69*$F$2-2*$G69*$G$2-2*$H69*$H$2-2*$I69*$I$2)/(2*$J$2))))</f>
        <v>1</v>
      </c>
      <c r="K69" s="164"/>
      <c r="L69" s="166">
        <f t="shared" si="11"/>
        <v>65</v>
      </c>
      <c r="M69" s="166">
        <f t="shared" ref="M69:M132" si="22">IF($A$2="Pounds",5*L69,2.5*L69)</f>
        <v>162.5</v>
      </c>
    </row>
    <row r="70" spans="1:13" ht="12.75" customHeight="1" x14ac:dyDescent="0.25">
      <c r="A70" s="168">
        <f t="shared" si="12"/>
        <v>200</v>
      </c>
      <c r="B70" s="163">
        <f t="shared" si="13"/>
        <v>1</v>
      </c>
      <c r="C70" s="164">
        <f t="shared" si="14"/>
        <v>0</v>
      </c>
      <c r="D70" s="163">
        <f t="shared" si="15"/>
        <v>0</v>
      </c>
      <c r="E70" s="164">
        <f t="shared" si="16"/>
        <v>1</v>
      </c>
      <c r="F70" s="163">
        <f t="shared" si="17"/>
        <v>0</v>
      </c>
      <c r="G70" s="164">
        <f t="shared" si="18"/>
        <v>1</v>
      </c>
      <c r="H70" s="163">
        <f t="shared" si="19"/>
        <v>0</v>
      </c>
      <c r="I70" s="164">
        <f t="shared" si="20"/>
        <v>1</v>
      </c>
      <c r="J70" s="163">
        <f t="shared" si="21"/>
        <v>0</v>
      </c>
      <c r="K70" s="164"/>
      <c r="L70" s="166">
        <f t="shared" si="11"/>
        <v>66</v>
      </c>
      <c r="M70" s="166">
        <f t="shared" si="22"/>
        <v>165</v>
      </c>
    </row>
    <row r="71" spans="1:13" ht="12.75" customHeight="1" x14ac:dyDescent="0.25">
      <c r="A71" s="168">
        <f t="shared" si="12"/>
        <v>202.5</v>
      </c>
      <c r="B71" s="163">
        <f t="shared" si="13"/>
        <v>1</v>
      </c>
      <c r="C71" s="164">
        <f t="shared" si="14"/>
        <v>0</v>
      </c>
      <c r="D71" s="163">
        <f t="shared" si="15"/>
        <v>0</v>
      </c>
      <c r="E71" s="164">
        <f t="shared" si="16"/>
        <v>1</v>
      </c>
      <c r="F71" s="163">
        <f t="shared" si="17"/>
        <v>0</v>
      </c>
      <c r="G71" s="164">
        <f t="shared" si="18"/>
        <v>1</v>
      </c>
      <c r="H71" s="163">
        <f t="shared" si="19"/>
        <v>0</v>
      </c>
      <c r="I71" s="164">
        <f t="shared" si="20"/>
        <v>1</v>
      </c>
      <c r="J71" s="163">
        <f t="shared" si="21"/>
        <v>1</v>
      </c>
      <c r="K71" s="164"/>
      <c r="L71" s="166">
        <f t="shared" si="11"/>
        <v>67</v>
      </c>
      <c r="M71" s="166">
        <f t="shared" si="22"/>
        <v>167.5</v>
      </c>
    </row>
    <row r="72" spans="1:13" ht="12.75" customHeight="1" x14ac:dyDescent="0.25">
      <c r="A72" s="168">
        <f t="shared" si="12"/>
        <v>205</v>
      </c>
      <c r="B72" s="163">
        <f t="shared" si="13"/>
        <v>1</v>
      </c>
      <c r="C72" s="164">
        <f t="shared" si="14"/>
        <v>0</v>
      </c>
      <c r="D72" s="163">
        <f t="shared" si="15"/>
        <v>0</v>
      </c>
      <c r="E72" s="164">
        <f t="shared" si="16"/>
        <v>1</v>
      </c>
      <c r="F72" s="163">
        <f t="shared" si="17"/>
        <v>1</v>
      </c>
      <c r="G72" s="164">
        <f t="shared" si="18"/>
        <v>0</v>
      </c>
      <c r="H72" s="163">
        <f t="shared" si="19"/>
        <v>0</v>
      </c>
      <c r="I72" s="164">
        <f t="shared" si="20"/>
        <v>0</v>
      </c>
      <c r="J72" s="163">
        <f t="shared" si="21"/>
        <v>0</v>
      </c>
      <c r="K72" s="164"/>
      <c r="L72" s="166">
        <f t="shared" si="11"/>
        <v>68</v>
      </c>
      <c r="M72" s="166">
        <f t="shared" si="22"/>
        <v>170</v>
      </c>
    </row>
    <row r="73" spans="1:13" ht="12.75" customHeight="1" x14ac:dyDescent="0.25">
      <c r="A73" s="168">
        <f t="shared" si="12"/>
        <v>207.5</v>
      </c>
      <c r="B73" s="163">
        <f t="shared" si="13"/>
        <v>1</v>
      </c>
      <c r="C73" s="164">
        <f t="shared" si="14"/>
        <v>0</v>
      </c>
      <c r="D73" s="163">
        <f t="shared" si="15"/>
        <v>0</v>
      </c>
      <c r="E73" s="164">
        <f t="shared" si="16"/>
        <v>1</v>
      </c>
      <c r="F73" s="163">
        <f t="shared" si="17"/>
        <v>1</v>
      </c>
      <c r="G73" s="164">
        <f t="shared" si="18"/>
        <v>0</v>
      </c>
      <c r="H73" s="163">
        <f t="shared" si="19"/>
        <v>0</v>
      </c>
      <c r="I73" s="164">
        <f t="shared" si="20"/>
        <v>0</v>
      </c>
      <c r="J73" s="163">
        <f t="shared" si="21"/>
        <v>1</v>
      </c>
      <c r="K73" s="164"/>
      <c r="L73" s="166">
        <f t="shared" si="11"/>
        <v>69</v>
      </c>
      <c r="M73" s="166">
        <f t="shared" si="22"/>
        <v>172.5</v>
      </c>
    </row>
    <row r="74" spans="1:13" ht="12.75" customHeight="1" x14ac:dyDescent="0.25">
      <c r="A74" s="168">
        <f t="shared" si="12"/>
        <v>210</v>
      </c>
      <c r="B74" s="163">
        <f t="shared" si="13"/>
        <v>1</v>
      </c>
      <c r="C74" s="164">
        <f t="shared" si="14"/>
        <v>0</v>
      </c>
      <c r="D74" s="163">
        <f t="shared" si="15"/>
        <v>0</v>
      </c>
      <c r="E74" s="164">
        <f t="shared" si="16"/>
        <v>1</v>
      </c>
      <c r="F74" s="163">
        <f t="shared" si="17"/>
        <v>1</v>
      </c>
      <c r="G74" s="164">
        <f t="shared" si="18"/>
        <v>0</v>
      </c>
      <c r="H74" s="163">
        <f t="shared" si="19"/>
        <v>0</v>
      </c>
      <c r="I74" s="164">
        <f t="shared" si="20"/>
        <v>1</v>
      </c>
      <c r="J74" s="163">
        <f t="shared" si="21"/>
        <v>0</v>
      </c>
      <c r="K74" s="164"/>
      <c r="L74" s="166">
        <f t="shared" si="11"/>
        <v>70</v>
      </c>
      <c r="M74" s="166">
        <f t="shared" si="22"/>
        <v>175</v>
      </c>
    </row>
    <row r="75" spans="1:13" ht="12.75" customHeight="1" x14ac:dyDescent="0.25">
      <c r="A75" s="168">
        <f t="shared" si="12"/>
        <v>212.5</v>
      </c>
      <c r="B75" s="163">
        <f t="shared" si="13"/>
        <v>1</v>
      </c>
      <c r="C75" s="164">
        <f t="shared" si="14"/>
        <v>0</v>
      </c>
      <c r="D75" s="163">
        <f t="shared" si="15"/>
        <v>0</v>
      </c>
      <c r="E75" s="164">
        <f t="shared" si="16"/>
        <v>1</v>
      </c>
      <c r="F75" s="163">
        <f t="shared" si="17"/>
        <v>1</v>
      </c>
      <c r="G75" s="164">
        <f t="shared" si="18"/>
        <v>0</v>
      </c>
      <c r="H75" s="163">
        <f t="shared" si="19"/>
        <v>0</v>
      </c>
      <c r="I75" s="164">
        <f t="shared" si="20"/>
        <v>1</v>
      </c>
      <c r="J75" s="163">
        <f t="shared" si="21"/>
        <v>1</v>
      </c>
      <c r="K75" s="164"/>
      <c r="L75" s="166">
        <f t="shared" si="11"/>
        <v>71</v>
      </c>
      <c r="M75" s="166">
        <f t="shared" si="22"/>
        <v>177.5</v>
      </c>
    </row>
    <row r="76" spans="1:13" ht="12.75" customHeight="1" x14ac:dyDescent="0.25">
      <c r="A76" s="168">
        <f t="shared" si="12"/>
        <v>215</v>
      </c>
      <c r="B76" s="163">
        <f t="shared" si="13"/>
        <v>1</v>
      </c>
      <c r="C76" s="164">
        <f t="shared" si="14"/>
        <v>0</v>
      </c>
      <c r="D76" s="163">
        <f t="shared" si="15"/>
        <v>0</v>
      </c>
      <c r="E76" s="164">
        <f t="shared" si="16"/>
        <v>2</v>
      </c>
      <c r="F76" s="163">
        <f t="shared" si="17"/>
        <v>0</v>
      </c>
      <c r="G76" s="164">
        <f t="shared" si="18"/>
        <v>0</v>
      </c>
      <c r="H76" s="163">
        <f t="shared" si="19"/>
        <v>0</v>
      </c>
      <c r="I76" s="164">
        <f t="shared" si="20"/>
        <v>0</v>
      </c>
      <c r="J76" s="163">
        <f t="shared" si="21"/>
        <v>0</v>
      </c>
      <c r="K76" s="164"/>
      <c r="L76" s="166">
        <f t="shared" si="11"/>
        <v>72</v>
      </c>
      <c r="M76" s="166">
        <f t="shared" si="22"/>
        <v>180</v>
      </c>
    </row>
    <row r="77" spans="1:13" ht="12.75" customHeight="1" x14ac:dyDescent="0.25">
      <c r="A77" s="168">
        <f t="shared" si="12"/>
        <v>217.5</v>
      </c>
      <c r="B77" s="163">
        <f t="shared" si="13"/>
        <v>1</v>
      </c>
      <c r="C77" s="164">
        <f t="shared" si="14"/>
        <v>0</v>
      </c>
      <c r="D77" s="163">
        <f t="shared" si="15"/>
        <v>0</v>
      </c>
      <c r="E77" s="164">
        <f t="shared" si="16"/>
        <v>2</v>
      </c>
      <c r="F77" s="163">
        <f t="shared" si="17"/>
        <v>0</v>
      </c>
      <c r="G77" s="164">
        <f t="shared" si="18"/>
        <v>0</v>
      </c>
      <c r="H77" s="163">
        <f t="shared" si="19"/>
        <v>0</v>
      </c>
      <c r="I77" s="164">
        <f t="shared" si="20"/>
        <v>0</v>
      </c>
      <c r="J77" s="163">
        <f t="shared" si="21"/>
        <v>1</v>
      </c>
      <c r="K77" s="164"/>
      <c r="L77" s="166">
        <f t="shared" ref="L77:L140" si="23">L76+1</f>
        <v>73</v>
      </c>
      <c r="M77" s="166">
        <f t="shared" si="22"/>
        <v>182.5</v>
      </c>
    </row>
    <row r="78" spans="1:13" ht="12.75" customHeight="1" x14ac:dyDescent="0.25">
      <c r="A78" s="168">
        <f t="shared" si="12"/>
        <v>220</v>
      </c>
      <c r="B78" s="163">
        <f t="shared" si="13"/>
        <v>1</v>
      </c>
      <c r="C78" s="164">
        <f t="shared" si="14"/>
        <v>0</v>
      </c>
      <c r="D78" s="163">
        <f t="shared" si="15"/>
        <v>0</v>
      </c>
      <c r="E78" s="164">
        <f t="shared" si="16"/>
        <v>2</v>
      </c>
      <c r="F78" s="163">
        <f t="shared" si="17"/>
        <v>0</v>
      </c>
      <c r="G78" s="164">
        <f t="shared" si="18"/>
        <v>0</v>
      </c>
      <c r="H78" s="163">
        <f t="shared" si="19"/>
        <v>0</v>
      </c>
      <c r="I78" s="164">
        <f t="shared" si="20"/>
        <v>1</v>
      </c>
      <c r="J78" s="163">
        <f t="shared" si="21"/>
        <v>0</v>
      </c>
      <c r="K78" s="164"/>
      <c r="L78" s="166">
        <f t="shared" si="23"/>
        <v>74</v>
      </c>
      <c r="M78" s="166">
        <f t="shared" si="22"/>
        <v>185</v>
      </c>
    </row>
    <row r="79" spans="1:13" ht="12.75" customHeight="1" x14ac:dyDescent="0.25">
      <c r="A79" s="168">
        <f t="shared" si="12"/>
        <v>222.5</v>
      </c>
      <c r="B79" s="163">
        <f t="shared" si="13"/>
        <v>1</v>
      </c>
      <c r="C79" s="164">
        <f t="shared" si="14"/>
        <v>0</v>
      </c>
      <c r="D79" s="163">
        <f t="shared" si="15"/>
        <v>0</v>
      </c>
      <c r="E79" s="164">
        <f t="shared" si="16"/>
        <v>2</v>
      </c>
      <c r="F79" s="163">
        <f t="shared" si="17"/>
        <v>0</v>
      </c>
      <c r="G79" s="164">
        <f t="shared" si="18"/>
        <v>0</v>
      </c>
      <c r="H79" s="163">
        <f t="shared" si="19"/>
        <v>0</v>
      </c>
      <c r="I79" s="164">
        <f t="shared" si="20"/>
        <v>1</v>
      </c>
      <c r="J79" s="163">
        <f t="shared" si="21"/>
        <v>1</v>
      </c>
      <c r="K79" s="164"/>
      <c r="L79" s="166">
        <f t="shared" si="23"/>
        <v>75</v>
      </c>
      <c r="M79" s="166">
        <f t="shared" si="22"/>
        <v>187.5</v>
      </c>
    </row>
    <row r="80" spans="1:13" ht="12.75" customHeight="1" x14ac:dyDescent="0.25">
      <c r="A80" s="168">
        <f t="shared" si="12"/>
        <v>225</v>
      </c>
      <c r="B80" s="163">
        <f t="shared" si="13"/>
        <v>1</v>
      </c>
      <c r="C80" s="164">
        <f t="shared" si="14"/>
        <v>0</v>
      </c>
      <c r="D80" s="163">
        <f t="shared" si="15"/>
        <v>0</v>
      </c>
      <c r="E80" s="164">
        <f t="shared" si="16"/>
        <v>2</v>
      </c>
      <c r="F80" s="163">
        <f t="shared" si="17"/>
        <v>0</v>
      </c>
      <c r="G80" s="164">
        <f t="shared" si="18"/>
        <v>0</v>
      </c>
      <c r="H80" s="163">
        <f t="shared" si="19"/>
        <v>1</v>
      </c>
      <c r="I80" s="164">
        <f t="shared" si="20"/>
        <v>0</v>
      </c>
      <c r="J80" s="163">
        <f t="shared" si="21"/>
        <v>0</v>
      </c>
      <c r="K80" s="164"/>
      <c r="L80" s="166">
        <f t="shared" si="23"/>
        <v>76</v>
      </c>
      <c r="M80" s="166">
        <f t="shared" si="22"/>
        <v>190</v>
      </c>
    </row>
    <row r="81" spans="1:13" ht="12.75" customHeight="1" x14ac:dyDescent="0.25">
      <c r="A81" s="168">
        <f t="shared" si="12"/>
        <v>227.5</v>
      </c>
      <c r="B81" s="163">
        <f t="shared" si="13"/>
        <v>1</v>
      </c>
      <c r="C81" s="164">
        <f t="shared" si="14"/>
        <v>0</v>
      </c>
      <c r="D81" s="163">
        <f t="shared" si="15"/>
        <v>0</v>
      </c>
      <c r="E81" s="164">
        <f t="shared" si="16"/>
        <v>2</v>
      </c>
      <c r="F81" s="163">
        <f t="shared" si="17"/>
        <v>0</v>
      </c>
      <c r="G81" s="164">
        <f t="shared" si="18"/>
        <v>0</v>
      </c>
      <c r="H81" s="163">
        <f t="shared" si="19"/>
        <v>1</v>
      </c>
      <c r="I81" s="164">
        <f t="shared" si="20"/>
        <v>0</v>
      </c>
      <c r="J81" s="163">
        <f t="shared" si="21"/>
        <v>1</v>
      </c>
      <c r="K81" s="164"/>
      <c r="L81" s="166">
        <f t="shared" si="23"/>
        <v>77</v>
      </c>
      <c r="M81" s="166">
        <f t="shared" si="22"/>
        <v>192.5</v>
      </c>
    </row>
    <row r="82" spans="1:13" ht="12.75" customHeight="1" x14ac:dyDescent="0.25">
      <c r="A82" s="168">
        <f t="shared" si="12"/>
        <v>230</v>
      </c>
      <c r="B82" s="163">
        <f t="shared" si="13"/>
        <v>1</v>
      </c>
      <c r="C82" s="164">
        <f t="shared" si="14"/>
        <v>0</v>
      </c>
      <c r="D82" s="163">
        <f t="shared" si="15"/>
        <v>0</v>
      </c>
      <c r="E82" s="164">
        <f t="shared" si="16"/>
        <v>2</v>
      </c>
      <c r="F82" s="163">
        <f t="shared" si="17"/>
        <v>0</v>
      </c>
      <c r="G82" s="164">
        <f t="shared" si="18"/>
        <v>0</v>
      </c>
      <c r="H82" s="163">
        <f t="shared" si="19"/>
        <v>1</v>
      </c>
      <c r="I82" s="164">
        <f t="shared" si="20"/>
        <v>1</v>
      </c>
      <c r="J82" s="163">
        <f t="shared" si="21"/>
        <v>0</v>
      </c>
      <c r="K82" s="164"/>
      <c r="L82" s="166">
        <f t="shared" si="23"/>
        <v>78</v>
      </c>
      <c r="M82" s="166">
        <f t="shared" si="22"/>
        <v>195</v>
      </c>
    </row>
    <row r="83" spans="1:13" ht="12.75" customHeight="1" x14ac:dyDescent="0.25">
      <c r="A83" s="168">
        <f t="shared" si="12"/>
        <v>232.5</v>
      </c>
      <c r="B83" s="163">
        <f t="shared" si="13"/>
        <v>1</v>
      </c>
      <c r="C83" s="164">
        <f t="shared" si="14"/>
        <v>0</v>
      </c>
      <c r="D83" s="163">
        <f t="shared" si="15"/>
        <v>0</v>
      </c>
      <c r="E83" s="164">
        <f t="shared" si="16"/>
        <v>2</v>
      </c>
      <c r="F83" s="163">
        <f t="shared" si="17"/>
        <v>0</v>
      </c>
      <c r="G83" s="164">
        <f t="shared" si="18"/>
        <v>0</v>
      </c>
      <c r="H83" s="163">
        <f t="shared" si="19"/>
        <v>1</v>
      </c>
      <c r="I83" s="164">
        <f t="shared" si="20"/>
        <v>1</v>
      </c>
      <c r="J83" s="163">
        <f t="shared" si="21"/>
        <v>1</v>
      </c>
      <c r="K83" s="164"/>
      <c r="L83" s="166">
        <f t="shared" si="23"/>
        <v>79</v>
      </c>
      <c r="M83" s="166">
        <f t="shared" si="22"/>
        <v>197.5</v>
      </c>
    </row>
    <row r="84" spans="1:13" ht="12.75" customHeight="1" x14ac:dyDescent="0.25">
      <c r="A84" s="168">
        <f t="shared" si="12"/>
        <v>235</v>
      </c>
      <c r="B84" s="163">
        <f t="shared" si="13"/>
        <v>2</v>
      </c>
      <c r="C84" s="164">
        <f t="shared" si="14"/>
        <v>0</v>
      </c>
      <c r="D84" s="163">
        <f t="shared" si="15"/>
        <v>0</v>
      </c>
      <c r="E84" s="164">
        <f t="shared" si="16"/>
        <v>0</v>
      </c>
      <c r="F84" s="163">
        <f t="shared" si="17"/>
        <v>0</v>
      </c>
      <c r="G84" s="164">
        <f t="shared" si="18"/>
        <v>0</v>
      </c>
      <c r="H84" s="163">
        <f t="shared" si="19"/>
        <v>0</v>
      </c>
      <c r="I84" s="164">
        <f t="shared" si="20"/>
        <v>0</v>
      </c>
      <c r="J84" s="163">
        <f t="shared" si="21"/>
        <v>0</v>
      </c>
      <c r="K84" s="164"/>
      <c r="L84" s="166">
        <f t="shared" si="23"/>
        <v>80</v>
      </c>
      <c r="M84" s="166">
        <f t="shared" si="22"/>
        <v>200</v>
      </c>
    </row>
    <row r="85" spans="1:13" ht="12.75" customHeight="1" x14ac:dyDescent="0.25">
      <c r="A85" s="168">
        <f t="shared" si="12"/>
        <v>237.5</v>
      </c>
      <c r="B85" s="163">
        <f t="shared" si="13"/>
        <v>2</v>
      </c>
      <c r="C85" s="164">
        <f t="shared" si="14"/>
        <v>0</v>
      </c>
      <c r="D85" s="163">
        <f t="shared" si="15"/>
        <v>0</v>
      </c>
      <c r="E85" s="164">
        <f t="shared" si="16"/>
        <v>0</v>
      </c>
      <c r="F85" s="163">
        <f t="shared" si="17"/>
        <v>0</v>
      </c>
      <c r="G85" s="164">
        <f t="shared" si="18"/>
        <v>0</v>
      </c>
      <c r="H85" s="163">
        <f t="shared" si="19"/>
        <v>0</v>
      </c>
      <c r="I85" s="164">
        <f t="shared" si="20"/>
        <v>0</v>
      </c>
      <c r="J85" s="163">
        <f t="shared" si="21"/>
        <v>1</v>
      </c>
      <c r="K85" s="164"/>
      <c r="L85" s="166">
        <f t="shared" si="23"/>
        <v>81</v>
      </c>
      <c r="M85" s="166">
        <f t="shared" si="22"/>
        <v>202.5</v>
      </c>
    </row>
    <row r="86" spans="1:13" ht="12.75" customHeight="1" x14ac:dyDescent="0.25">
      <c r="A86" s="168">
        <f t="shared" si="12"/>
        <v>240</v>
      </c>
      <c r="B86" s="163">
        <f t="shared" si="13"/>
        <v>2</v>
      </c>
      <c r="C86" s="164">
        <f t="shared" si="14"/>
        <v>0</v>
      </c>
      <c r="D86" s="163">
        <f t="shared" si="15"/>
        <v>0</v>
      </c>
      <c r="E86" s="164">
        <f t="shared" si="16"/>
        <v>0</v>
      </c>
      <c r="F86" s="163">
        <f t="shared" si="17"/>
        <v>0</v>
      </c>
      <c r="G86" s="164">
        <f t="shared" si="18"/>
        <v>0</v>
      </c>
      <c r="H86" s="163">
        <f t="shared" si="19"/>
        <v>0</v>
      </c>
      <c r="I86" s="164">
        <f t="shared" si="20"/>
        <v>1</v>
      </c>
      <c r="J86" s="163">
        <f t="shared" si="21"/>
        <v>0</v>
      </c>
      <c r="K86" s="164"/>
      <c r="L86" s="166">
        <f t="shared" si="23"/>
        <v>82</v>
      </c>
      <c r="M86" s="166">
        <f t="shared" si="22"/>
        <v>205</v>
      </c>
    </row>
    <row r="87" spans="1:13" ht="12.75" customHeight="1" x14ac:dyDescent="0.25">
      <c r="A87" s="168">
        <f t="shared" si="12"/>
        <v>242.5</v>
      </c>
      <c r="B87" s="163">
        <f t="shared" si="13"/>
        <v>2</v>
      </c>
      <c r="C87" s="164">
        <f t="shared" si="14"/>
        <v>0</v>
      </c>
      <c r="D87" s="163">
        <f t="shared" si="15"/>
        <v>0</v>
      </c>
      <c r="E87" s="164">
        <f t="shared" si="16"/>
        <v>0</v>
      </c>
      <c r="F87" s="163">
        <f t="shared" si="17"/>
        <v>0</v>
      </c>
      <c r="G87" s="164">
        <f t="shared" si="18"/>
        <v>0</v>
      </c>
      <c r="H87" s="163">
        <f t="shared" si="19"/>
        <v>0</v>
      </c>
      <c r="I87" s="164">
        <f t="shared" si="20"/>
        <v>1</v>
      </c>
      <c r="J87" s="163">
        <f t="shared" si="21"/>
        <v>1</v>
      </c>
      <c r="K87" s="164"/>
      <c r="L87" s="166">
        <f t="shared" si="23"/>
        <v>83</v>
      </c>
      <c r="M87" s="166">
        <f t="shared" si="22"/>
        <v>207.5</v>
      </c>
    </row>
    <row r="88" spans="1:13" ht="12.75" customHeight="1" x14ac:dyDescent="0.25">
      <c r="A88" s="168">
        <f t="shared" si="12"/>
        <v>245</v>
      </c>
      <c r="B88" s="163">
        <f t="shared" si="13"/>
        <v>2</v>
      </c>
      <c r="C88" s="164">
        <f t="shared" si="14"/>
        <v>0</v>
      </c>
      <c r="D88" s="163">
        <f t="shared" si="15"/>
        <v>0</v>
      </c>
      <c r="E88" s="164">
        <f t="shared" si="16"/>
        <v>0</v>
      </c>
      <c r="F88" s="163">
        <f t="shared" si="17"/>
        <v>0</v>
      </c>
      <c r="G88" s="164">
        <f t="shared" si="18"/>
        <v>0</v>
      </c>
      <c r="H88" s="163">
        <f t="shared" si="19"/>
        <v>1</v>
      </c>
      <c r="I88" s="164">
        <f t="shared" si="20"/>
        <v>0</v>
      </c>
      <c r="J88" s="163">
        <f t="shared" si="21"/>
        <v>0</v>
      </c>
      <c r="K88" s="164"/>
      <c r="L88" s="166">
        <f t="shared" si="23"/>
        <v>84</v>
      </c>
      <c r="M88" s="166">
        <f t="shared" si="22"/>
        <v>210</v>
      </c>
    </row>
    <row r="89" spans="1:13" ht="12.75" customHeight="1" x14ac:dyDescent="0.25">
      <c r="A89" s="168">
        <f t="shared" si="12"/>
        <v>247.5</v>
      </c>
      <c r="B89" s="163">
        <f t="shared" si="13"/>
        <v>2</v>
      </c>
      <c r="C89" s="164">
        <f t="shared" si="14"/>
        <v>0</v>
      </c>
      <c r="D89" s="163">
        <f t="shared" si="15"/>
        <v>0</v>
      </c>
      <c r="E89" s="164">
        <f t="shared" si="16"/>
        <v>0</v>
      </c>
      <c r="F89" s="163">
        <f t="shared" si="17"/>
        <v>0</v>
      </c>
      <c r="G89" s="164">
        <f t="shared" si="18"/>
        <v>0</v>
      </c>
      <c r="H89" s="163">
        <f t="shared" si="19"/>
        <v>1</v>
      </c>
      <c r="I89" s="164">
        <f t="shared" si="20"/>
        <v>0</v>
      </c>
      <c r="J89" s="163">
        <f t="shared" si="21"/>
        <v>1</v>
      </c>
      <c r="K89" s="164"/>
      <c r="L89" s="166">
        <f t="shared" si="23"/>
        <v>85</v>
      </c>
      <c r="M89" s="166">
        <f t="shared" si="22"/>
        <v>212.5</v>
      </c>
    </row>
    <row r="90" spans="1:13" ht="12.75" customHeight="1" x14ac:dyDescent="0.25">
      <c r="A90" s="168">
        <f t="shared" si="12"/>
        <v>250</v>
      </c>
      <c r="B90" s="163">
        <f t="shared" si="13"/>
        <v>2</v>
      </c>
      <c r="C90" s="164">
        <f t="shared" si="14"/>
        <v>0</v>
      </c>
      <c r="D90" s="163">
        <f t="shared" si="15"/>
        <v>0</v>
      </c>
      <c r="E90" s="164">
        <f t="shared" si="16"/>
        <v>0</v>
      </c>
      <c r="F90" s="163">
        <f t="shared" si="17"/>
        <v>0</v>
      </c>
      <c r="G90" s="164">
        <f t="shared" si="18"/>
        <v>0</v>
      </c>
      <c r="H90" s="163">
        <f t="shared" si="19"/>
        <v>1</v>
      </c>
      <c r="I90" s="164">
        <f t="shared" si="20"/>
        <v>1</v>
      </c>
      <c r="J90" s="163">
        <f t="shared" si="21"/>
        <v>0</v>
      </c>
      <c r="K90" s="164"/>
      <c r="L90" s="166">
        <f t="shared" si="23"/>
        <v>86</v>
      </c>
      <c r="M90" s="166">
        <f t="shared" si="22"/>
        <v>215</v>
      </c>
    </row>
    <row r="91" spans="1:13" ht="12.75" customHeight="1" x14ac:dyDescent="0.25">
      <c r="A91" s="168">
        <f t="shared" si="12"/>
        <v>252.5</v>
      </c>
      <c r="B91" s="163">
        <f t="shared" si="13"/>
        <v>2</v>
      </c>
      <c r="C91" s="164">
        <f t="shared" si="14"/>
        <v>0</v>
      </c>
      <c r="D91" s="163">
        <f t="shared" si="15"/>
        <v>0</v>
      </c>
      <c r="E91" s="164">
        <f t="shared" si="16"/>
        <v>0</v>
      </c>
      <c r="F91" s="163">
        <f t="shared" si="17"/>
        <v>0</v>
      </c>
      <c r="G91" s="164">
        <f t="shared" si="18"/>
        <v>0</v>
      </c>
      <c r="H91" s="163">
        <f t="shared" si="19"/>
        <v>1</v>
      </c>
      <c r="I91" s="164">
        <f t="shared" si="20"/>
        <v>1</v>
      </c>
      <c r="J91" s="163">
        <f t="shared" si="21"/>
        <v>1</v>
      </c>
      <c r="K91" s="164"/>
      <c r="L91" s="166">
        <f t="shared" si="23"/>
        <v>87</v>
      </c>
      <c r="M91" s="166">
        <f t="shared" si="22"/>
        <v>217.5</v>
      </c>
    </row>
    <row r="92" spans="1:13" ht="12.75" customHeight="1" x14ac:dyDescent="0.25">
      <c r="A92" s="168">
        <f t="shared" si="12"/>
        <v>255</v>
      </c>
      <c r="B92" s="163">
        <f t="shared" si="13"/>
        <v>2</v>
      </c>
      <c r="C92" s="164">
        <f t="shared" si="14"/>
        <v>0</v>
      </c>
      <c r="D92" s="163">
        <f t="shared" si="15"/>
        <v>0</v>
      </c>
      <c r="E92" s="164">
        <f t="shared" si="16"/>
        <v>0</v>
      </c>
      <c r="F92" s="163">
        <f t="shared" si="17"/>
        <v>0</v>
      </c>
      <c r="G92" s="164">
        <f t="shared" si="18"/>
        <v>1</v>
      </c>
      <c r="H92" s="163">
        <f t="shared" si="19"/>
        <v>0</v>
      </c>
      <c r="I92" s="164">
        <f t="shared" si="20"/>
        <v>0</v>
      </c>
      <c r="J92" s="163">
        <f t="shared" si="21"/>
        <v>0</v>
      </c>
      <c r="K92" s="164"/>
      <c r="L92" s="166">
        <f t="shared" si="23"/>
        <v>88</v>
      </c>
      <c r="M92" s="166">
        <f t="shared" si="22"/>
        <v>220</v>
      </c>
    </row>
    <row r="93" spans="1:13" ht="12.75" customHeight="1" x14ac:dyDescent="0.25">
      <c r="A93" s="168">
        <f t="shared" si="12"/>
        <v>257.5</v>
      </c>
      <c r="B93" s="163">
        <f t="shared" si="13"/>
        <v>2</v>
      </c>
      <c r="C93" s="164">
        <f t="shared" si="14"/>
        <v>0</v>
      </c>
      <c r="D93" s="163">
        <f t="shared" si="15"/>
        <v>0</v>
      </c>
      <c r="E93" s="164">
        <f t="shared" si="16"/>
        <v>0</v>
      </c>
      <c r="F93" s="163">
        <f t="shared" si="17"/>
        <v>0</v>
      </c>
      <c r="G93" s="164">
        <f t="shared" si="18"/>
        <v>1</v>
      </c>
      <c r="H93" s="163">
        <f t="shared" si="19"/>
        <v>0</v>
      </c>
      <c r="I93" s="164">
        <f t="shared" si="20"/>
        <v>0</v>
      </c>
      <c r="J93" s="163">
        <f t="shared" si="21"/>
        <v>1</v>
      </c>
      <c r="K93" s="164"/>
      <c r="L93" s="166">
        <f t="shared" si="23"/>
        <v>89</v>
      </c>
      <c r="M93" s="166">
        <f t="shared" si="22"/>
        <v>222.5</v>
      </c>
    </row>
    <row r="94" spans="1:13" ht="12.75" customHeight="1" x14ac:dyDescent="0.25">
      <c r="A94" s="168">
        <f t="shared" si="12"/>
        <v>260</v>
      </c>
      <c r="B94" s="163">
        <f t="shared" si="13"/>
        <v>2</v>
      </c>
      <c r="C94" s="164">
        <f t="shared" si="14"/>
        <v>0</v>
      </c>
      <c r="D94" s="163">
        <f t="shared" si="15"/>
        <v>0</v>
      </c>
      <c r="E94" s="164">
        <f t="shared" si="16"/>
        <v>0</v>
      </c>
      <c r="F94" s="163">
        <f t="shared" si="17"/>
        <v>0</v>
      </c>
      <c r="G94" s="164">
        <f t="shared" si="18"/>
        <v>1</v>
      </c>
      <c r="H94" s="163">
        <f t="shared" si="19"/>
        <v>0</v>
      </c>
      <c r="I94" s="164">
        <f t="shared" si="20"/>
        <v>1</v>
      </c>
      <c r="J94" s="163">
        <f t="shared" si="21"/>
        <v>0</v>
      </c>
      <c r="K94" s="164"/>
      <c r="L94" s="166">
        <f t="shared" si="23"/>
        <v>90</v>
      </c>
      <c r="M94" s="166">
        <f t="shared" si="22"/>
        <v>225</v>
      </c>
    </row>
    <row r="95" spans="1:13" ht="12.75" customHeight="1" x14ac:dyDescent="0.25">
      <c r="A95" s="168">
        <f t="shared" si="12"/>
        <v>262.5</v>
      </c>
      <c r="B95" s="163">
        <f t="shared" si="13"/>
        <v>2</v>
      </c>
      <c r="C95" s="164">
        <f t="shared" si="14"/>
        <v>0</v>
      </c>
      <c r="D95" s="163">
        <f t="shared" si="15"/>
        <v>0</v>
      </c>
      <c r="E95" s="164">
        <f t="shared" si="16"/>
        <v>0</v>
      </c>
      <c r="F95" s="163">
        <f t="shared" si="17"/>
        <v>0</v>
      </c>
      <c r="G95" s="164">
        <f t="shared" si="18"/>
        <v>1</v>
      </c>
      <c r="H95" s="163">
        <f t="shared" si="19"/>
        <v>0</v>
      </c>
      <c r="I95" s="164">
        <f t="shared" si="20"/>
        <v>1</v>
      </c>
      <c r="J95" s="163">
        <f t="shared" si="21"/>
        <v>1</v>
      </c>
      <c r="K95" s="164"/>
      <c r="L95" s="166">
        <f t="shared" si="23"/>
        <v>91</v>
      </c>
      <c r="M95" s="166">
        <f t="shared" si="22"/>
        <v>227.5</v>
      </c>
    </row>
    <row r="96" spans="1:13" ht="12.75" customHeight="1" x14ac:dyDescent="0.25">
      <c r="A96" s="168">
        <f t="shared" si="12"/>
        <v>265</v>
      </c>
      <c r="B96" s="163">
        <f t="shared" si="13"/>
        <v>2</v>
      </c>
      <c r="C96" s="164">
        <f t="shared" si="14"/>
        <v>0</v>
      </c>
      <c r="D96" s="163">
        <f t="shared" si="15"/>
        <v>0</v>
      </c>
      <c r="E96" s="164">
        <f t="shared" si="16"/>
        <v>0</v>
      </c>
      <c r="F96" s="163">
        <f t="shared" si="17"/>
        <v>1</v>
      </c>
      <c r="G96" s="164">
        <f t="shared" si="18"/>
        <v>0</v>
      </c>
      <c r="H96" s="163">
        <f t="shared" si="19"/>
        <v>0</v>
      </c>
      <c r="I96" s="164">
        <f t="shared" si="20"/>
        <v>0</v>
      </c>
      <c r="J96" s="163">
        <f t="shared" si="21"/>
        <v>0</v>
      </c>
      <c r="K96" s="164"/>
      <c r="L96" s="166">
        <f t="shared" si="23"/>
        <v>92</v>
      </c>
      <c r="M96" s="166">
        <f t="shared" si="22"/>
        <v>230</v>
      </c>
    </row>
    <row r="97" spans="1:13" ht="12.75" customHeight="1" x14ac:dyDescent="0.25">
      <c r="A97" s="168">
        <f t="shared" si="12"/>
        <v>267.5</v>
      </c>
      <c r="B97" s="163">
        <f t="shared" si="13"/>
        <v>2</v>
      </c>
      <c r="C97" s="164">
        <f t="shared" si="14"/>
        <v>0</v>
      </c>
      <c r="D97" s="163">
        <f t="shared" si="15"/>
        <v>0</v>
      </c>
      <c r="E97" s="164">
        <f t="shared" si="16"/>
        <v>0</v>
      </c>
      <c r="F97" s="163">
        <f t="shared" si="17"/>
        <v>1</v>
      </c>
      <c r="G97" s="164">
        <f t="shared" si="18"/>
        <v>0</v>
      </c>
      <c r="H97" s="163">
        <f t="shared" si="19"/>
        <v>0</v>
      </c>
      <c r="I97" s="164">
        <f t="shared" si="20"/>
        <v>0</v>
      </c>
      <c r="J97" s="163">
        <f t="shared" si="21"/>
        <v>1</v>
      </c>
      <c r="K97" s="164"/>
      <c r="L97" s="166">
        <f t="shared" si="23"/>
        <v>93</v>
      </c>
      <c r="M97" s="166">
        <f t="shared" si="22"/>
        <v>232.5</v>
      </c>
    </row>
    <row r="98" spans="1:13" ht="12.75" customHeight="1" x14ac:dyDescent="0.25">
      <c r="A98" s="168">
        <f t="shared" si="12"/>
        <v>270</v>
      </c>
      <c r="B98" s="163">
        <f t="shared" si="13"/>
        <v>2</v>
      </c>
      <c r="C98" s="164">
        <f t="shared" si="14"/>
        <v>0</v>
      </c>
      <c r="D98" s="163">
        <f t="shared" si="15"/>
        <v>0</v>
      </c>
      <c r="E98" s="164">
        <f t="shared" si="16"/>
        <v>0</v>
      </c>
      <c r="F98" s="163">
        <f t="shared" si="17"/>
        <v>1</v>
      </c>
      <c r="G98" s="164">
        <f t="shared" si="18"/>
        <v>0</v>
      </c>
      <c r="H98" s="163">
        <f t="shared" si="19"/>
        <v>0</v>
      </c>
      <c r="I98" s="164">
        <f t="shared" si="20"/>
        <v>1</v>
      </c>
      <c r="J98" s="163">
        <f t="shared" si="21"/>
        <v>0</v>
      </c>
      <c r="K98" s="164"/>
      <c r="L98" s="166">
        <f t="shared" si="23"/>
        <v>94</v>
      </c>
      <c r="M98" s="166">
        <f t="shared" si="22"/>
        <v>235</v>
      </c>
    </row>
    <row r="99" spans="1:13" ht="12.75" customHeight="1" x14ac:dyDescent="0.25">
      <c r="A99" s="168">
        <f t="shared" si="12"/>
        <v>272.5</v>
      </c>
      <c r="B99" s="163">
        <f t="shared" si="13"/>
        <v>2</v>
      </c>
      <c r="C99" s="164">
        <f t="shared" si="14"/>
        <v>0</v>
      </c>
      <c r="D99" s="163">
        <f t="shared" si="15"/>
        <v>0</v>
      </c>
      <c r="E99" s="164">
        <f t="shared" si="16"/>
        <v>0</v>
      </c>
      <c r="F99" s="163">
        <f t="shared" si="17"/>
        <v>1</v>
      </c>
      <c r="G99" s="164">
        <f t="shared" si="18"/>
        <v>0</v>
      </c>
      <c r="H99" s="163">
        <f t="shared" si="19"/>
        <v>0</v>
      </c>
      <c r="I99" s="164">
        <f t="shared" si="20"/>
        <v>1</v>
      </c>
      <c r="J99" s="163">
        <f t="shared" si="21"/>
        <v>1</v>
      </c>
      <c r="K99" s="164"/>
      <c r="L99" s="166">
        <f t="shared" si="23"/>
        <v>95</v>
      </c>
      <c r="M99" s="166">
        <f t="shared" si="22"/>
        <v>237.5</v>
      </c>
    </row>
    <row r="100" spans="1:13" ht="12.75" customHeight="1" x14ac:dyDescent="0.25">
      <c r="A100" s="168">
        <f t="shared" si="12"/>
        <v>275</v>
      </c>
      <c r="B100" s="163">
        <f t="shared" si="13"/>
        <v>2</v>
      </c>
      <c r="C100" s="164">
        <f t="shared" si="14"/>
        <v>0</v>
      </c>
      <c r="D100" s="163">
        <f t="shared" si="15"/>
        <v>0</v>
      </c>
      <c r="E100" s="164">
        <f t="shared" si="16"/>
        <v>1</v>
      </c>
      <c r="F100" s="163">
        <f t="shared" si="17"/>
        <v>0</v>
      </c>
      <c r="G100" s="164">
        <f t="shared" si="18"/>
        <v>0</v>
      </c>
      <c r="H100" s="163">
        <f t="shared" si="19"/>
        <v>0</v>
      </c>
      <c r="I100" s="164">
        <f t="shared" si="20"/>
        <v>0</v>
      </c>
      <c r="J100" s="163">
        <f t="shared" si="21"/>
        <v>0</v>
      </c>
      <c r="K100" s="164"/>
      <c r="L100" s="166">
        <f t="shared" si="23"/>
        <v>96</v>
      </c>
      <c r="M100" s="166">
        <f t="shared" si="22"/>
        <v>240</v>
      </c>
    </row>
    <row r="101" spans="1:13" ht="12.75" customHeight="1" x14ac:dyDescent="0.25">
      <c r="A101" s="168">
        <f t="shared" si="12"/>
        <v>277.5</v>
      </c>
      <c r="B101" s="163">
        <f t="shared" si="13"/>
        <v>2</v>
      </c>
      <c r="C101" s="164">
        <f t="shared" si="14"/>
        <v>0</v>
      </c>
      <c r="D101" s="163">
        <f t="shared" si="15"/>
        <v>0</v>
      </c>
      <c r="E101" s="164">
        <f t="shared" si="16"/>
        <v>1</v>
      </c>
      <c r="F101" s="163">
        <f t="shared" si="17"/>
        <v>0</v>
      </c>
      <c r="G101" s="164">
        <f t="shared" si="18"/>
        <v>0</v>
      </c>
      <c r="H101" s="163">
        <f t="shared" si="19"/>
        <v>0</v>
      </c>
      <c r="I101" s="164">
        <f t="shared" si="20"/>
        <v>0</v>
      </c>
      <c r="J101" s="163">
        <f t="shared" si="21"/>
        <v>1</v>
      </c>
      <c r="K101" s="164"/>
      <c r="L101" s="166">
        <f t="shared" si="23"/>
        <v>97</v>
      </c>
      <c r="M101" s="166">
        <f t="shared" si="22"/>
        <v>242.5</v>
      </c>
    </row>
    <row r="102" spans="1:13" ht="12.75" customHeight="1" x14ac:dyDescent="0.25">
      <c r="A102" s="168">
        <f t="shared" si="12"/>
        <v>280</v>
      </c>
      <c r="B102" s="163">
        <f t="shared" si="13"/>
        <v>2</v>
      </c>
      <c r="C102" s="164">
        <f t="shared" si="14"/>
        <v>0</v>
      </c>
      <c r="D102" s="163">
        <f t="shared" si="15"/>
        <v>0</v>
      </c>
      <c r="E102" s="164">
        <f t="shared" si="16"/>
        <v>1</v>
      </c>
      <c r="F102" s="163">
        <f t="shared" si="17"/>
        <v>0</v>
      </c>
      <c r="G102" s="164">
        <f t="shared" si="18"/>
        <v>0</v>
      </c>
      <c r="H102" s="163">
        <f t="shared" si="19"/>
        <v>0</v>
      </c>
      <c r="I102" s="164">
        <f t="shared" si="20"/>
        <v>1</v>
      </c>
      <c r="J102" s="163">
        <f t="shared" si="21"/>
        <v>0</v>
      </c>
      <c r="K102" s="164"/>
      <c r="L102" s="166">
        <f t="shared" si="23"/>
        <v>98</v>
      </c>
      <c r="M102" s="166">
        <f t="shared" si="22"/>
        <v>245</v>
      </c>
    </row>
    <row r="103" spans="1:13" ht="12.75" customHeight="1" x14ac:dyDescent="0.25">
      <c r="A103" s="168">
        <f t="shared" si="12"/>
        <v>282.5</v>
      </c>
      <c r="B103" s="163">
        <f t="shared" si="13"/>
        <v>2</v>
      </c>
      <c r="C103" s="164">
        <f t="shared" si="14"/>
        <v>0</v>
      </c>
      <c r="D103" s="163">
        <f t="shared" si="15"/>
        <v>0</v>
      </c>
      <c r="E103" s="164">
        <f t="shared" si="16"/>
        <v>1</v>
      </c>
      <c r="F103" s="163">
        <f t="shared" si="17"/>
        <v>0</v>
      </c>
      <c r="G103" s="164">
        <f t="shared" si="18"/>
        <v>0</v>
      </c>
      <c r="H103" s="163">
        <f t="shared" si="19"/>
        <v>0</v>
      </c>
      <c r="I103" s="164">
        <f t="shared" si="20"/>
        <v>1</v>
      </c>
      <c r="J103" s="163">
        <f t="shared" si="21"/>
        <v>1</v>
      </c>
      <c r="K103" s="164"/>
      <c r="L103" s="166">
        <f t="shared" si="23"/>
        <v>99</v>
      </c>
      <c r="M103" s="166">
        <f t="shared" si="22"/>
        <v>247.5</v>
      </c>
    </row>
    <row r="104" spans="1:13" ht="12.75" customHeight="1" x14ac:dyDescent="0.25">
      <c r="A104" s="168">
        <f t="shared" si="12"/>
        <v>285</v>
      </c>
      <c r="B104" s="163">
        <f t="shared" si="13"/>
        <v>2</v>
      </c>
      <c r="C104" s="164">
        <f t="shared" si="14"/>
        <v>0</v>
      </c>
      <c r="D104" s="163">
        <f t="shared" si="15"/>
        <v>0</v>
      </c>
      <c r="E104" s="164">
        <f t="shared" si="16"/>
        <v>1</v>
      </c>
      <c r="F104" s="163">
        <f t="shared" si="17"/>
        <v>0</v>
      </c>
      <c r="G104" s="164">
        <f t="shared" si="18"/>
        <v>0</v>
      </c>
      <c r="H104" s="163">
        <f t="shared" si="19"/>
        <v>1</v>
      </c>
      <c r="I104" s="164">
        <f t="shared" si="20"/>
        <v>0</v>
      </c>
      <c r="J104" s="163">
        <f t="shared" si="21"/>
        <v>0</v>
      </c>
      <c r="K104" s="164"/>
      <c r="L104" s="166">
        <f t="shared" si="23"/>
        <v>100</v>
      </c>
      <c r="M104" s="166">
        <f t="shared" si="22"/>
        <v>250</v>
      </c>
    </row>
    <row r="105" spans="1:13" ht="12.75" customHeight="1" x14ac:dyDescent="0.25">
      <c r="A105" s="168">
        <f t="shared" si="12"/>
        <v>287.5</v>
      </c>
      <c r="B105" s="163">
        <f t="shared" si="13"/>
        <v>2</v>
      </c>
      <c r="C105" s="164">
        <f t="shared" si="14"/>
        <v>0</v>
      </c>
      <c r="D105" s="163">
        <f t="shared" si="15"/>
        <v>0</v>
      </c>
      <c r="E105" s="164">
        <f t="shared" si="16"/>
        <v>1</v>
      </c>
      <c r="F105" s="163">
        <f t="shared" si="17"/>
        <v>0</v>
      </c>
      <c r="G105" s="164">
        <f t="shared" si="18"/>
        <v>0</v>
      </c>
      <c r="H105" s="163">
        <f t="shared" si="19"/>
        <v>1</v>
      </c>
      <c r="I105" s="164">
        <f t="shared" si="20"/>
        <v>0</v>
      </c>
      <c r="J105" s="163">
        <f t="shared" si="21"/>
        <v>1</v>
      </c>
      <c r="K105" s="164"/>
      <c r="L105" s="166">
        <f t="shared" si="23"/>
        <v>101</v>
      </c>
      <c r="M105" s="166">
        <f t="shared" si="22"/>
        <v>252.5</v>
      </c>
    </row>
    <row r="106" spans="1:13" ht="12.75" customHeight="1" x14ac:dyDescent="0.25">
      <c r="A106" s="168">
        <f t="shared" si="12"/>
        <v>290</v>
      </c>
      <c r="B106" s="163">
        <f t="shared" si="13"/>
        <v>2</v>
      </c>
      <c r="C106" s="164">
        <f t="shared" si="14"/>
        <v>0</v>
      </c>
      <c r="D106" s="163">
        <f t="shared" si="15"/>
        <v>0</v>
      </c>
      <c r="E106" s="164">
        <f t="shared" si="16"/>
        <v>1</v>
      </c>
      <c r="F106" s="163">
        <f t="shared" si="17"/>
        <v>0</v>
      </c>
      <c r="G106" s="164">
        <f t="shared" si="18"/>
        <v>0</v>
      </c>
      <c r="H106" s="163">
        <f t="shared" si="19"/>
        <v>1</v>
      </c>
      <c r="I106" s="164">
        <f t="shared" si="20"/>
        <v>1</v>
      </c>
      <c r="J106" s="163">
        <f t="shared" si="21"/>
        <v>0</v>
      </c>
      <c r="K106" s="164"/>
      <c r="L106" s="166">
        <f t="shared" si="23"/>
        <v>102</v>
      </c>
      <c r="M106" s="166">
        <f t="shared" si="22"/>
        <v>255</v>
      </c>
    </row>
    <row r="107" spans="1:13" ht="12.75" customHeight="1" x14ac:dyDescent="0.25">
      <c r="A107" s="168">
        <f t="shared" si="12"/>
        <v>292.5</v>
      </c>
      <c r="B107" s="163">
        <f t="shared" si="13"/>
        <v>2</v>
      </c>
      <c r="C107" s="164">
        <f t="shared" si="14"/>
        <v>0</v>
      </c>
      <c r="D107" s="163">
        <f t="shared" si="15"/>
        <v>0</v>
      </c>
      <c r="E107" s="164">
        <f t="shared" si="16"/>
        <v>1</v>
      </c>
      <c r="F107" s="163">
        <f t="shared" si="17"/>
        <v>0</v>
      </c>
      <c r="G107" s="164">
        <f t="shared" si="18"/>
        <v>0</v>
      </c>
      <c r="H107" s="163">
        <f t="shared" si="19"/>
        <v>1</v>
      </c>
      <c r="I107" s="164">
        <f t="shared" si="20"/>
        <v>1</v>
      </c>
      <c r="J107" s="163">
        <f t="shared" si="21"/>
        <v>1</v>
      </c>
      <c r="K107" s="164"/>
      <c r="L107" s="166">
        <f t="shared" si="23"/>
        <v>103</v>
      </c>
      <c r="M107" s="166">
        <f t="shared" si="22"/>
        <v>257.5</v>
      </c>
    </row>
    <row r="108" spans="1:13" ht="12.75" customHeight="1" x14ac:dyDescent="0.25">
      <c r="A108" s="168">
        <f t="shared" si="12"/>
        <v>295</v>
      </c>
      <c r="B108" s="163">
        <f t="shared" si="13"/>
        <v>2</v>
      </c>
      <c r="C108" s="164">
        <f t="shared" si="14"/>
        <v>0</v>
      </c>
      <c r="D108" s="163">
        <f t="shared" si="15"/>
        <v>0</v>
      </c>
      <c r="E108" s="164">
        <f t="shared" si="16"/>
        <v>1</v>
      </c>
      <c r="F108" s="163">
        <f t="shared" si="17"/>
        <v>0</v>
      </c>
      <c r="G108" s="164">
        <f t="shared" si="18"/>
        <v>1</v>
      </c>
      <c r="H108" s="163">
        <f t="shared" si="19"/>
        <v>0</v>
      </c>
      <c r="I108" s="164">
        <f t="shared" si="20"/>
        <v>0</v>
      </c>
      <c r="J108" s="163">
        <f t="shared" si="21"/>
        <v>0</v>
      </c>
      <c r="K108" s="164"/>
      <c r="L108" s="166">
        <f t="shared" si="23"/>
        <v>104</v>
      </c>
      <c r="M108" s="166">
        <f t="shared" si="22"/>
        <v>260</v>
      </c>
    </row>
    <row r="109" spans="1:13" ht="12.75" customHeight="1" x14ac:dyDescent="0.25">
      <c r="A109" s="168">
        <f t="shared" si="12"/>
        <v>297.5</v>
      </c>
      <c r="B109" s="163">
        <f t="shared" si="13"/>
        <v>2</v>
      </c>
      <c r="C109" s="164">
        <f t="shared" si="14"/>
        <v>0</v>
      </c>
      <c r="D109" s="163">
        <f t="shared" si="15"/>
        <v>0</v>
      </c>
      <c r="E109" s="164">
        <f t="shared" si="16"/>
        <v>1</v>
      </c>
      <c r="F109" s="163">
        <f t="shared" si="17"/>
        <v>0</v>
      </c>
      <c r="G109" s="164">
        <f t="shared" si="18"/>
        <v>1</v>
      </c>
      <c r="H109" s="163">
        <f t="shared" si="19"/>
        <v>0</v>
      </c>
      <c r="I109" s="164">
        <f t="shared" si="20"/>
        <v>0</v>
      </c>
      <c r="J109" s="163">
        <f t="shared" si="21"/>
        <v>1</v>
      </c>
      <c r="K109" s="164"/>
      <c r="L109" s="166">
        <f t="shared" si="23"/>
        <v>105</v>
      </c>
      <c r="M109" s="166">
        <f t="shared" si="22"/>
        <v>262.5</v>
      </c>
    </row>
    <row r="110" spans="1:13" ht="12.75" customHeight="1" x14ac:dyDescent="0.25">
      <c r="A110" s="168">
        <f t="shared" si="12"/>
        <v>300</v>
      </c>
      <c r="B110" s="163">
        <f t="shared" si="13"/>
        <v>2</v>
      </c>
      <c r="C110" s="164">
        <f t="shared" si="14"/>
        <v>0</v>
      </c>
      <c r="D110" s="163">
        <f t="shared" si="15"/>
        <v>0</v>
      </c>
      <c r="E110" s="164">
        <f t="shared" si="16"/>
        <v>1</v>
      </c>
      <c r="F110" s="163">
        <f t="shared" si="17"/>
        <v>0</v>
      </c>
      <c r="G110" s="164">
        <f t="shared" si="18"/>
        <v>1</v>
      </c>
      <c r="H110" s="163">
        <f t="shared" si="19"/>
        <v>0</v>
      </c>
      <c r="I110" s="164">
        <f t="shared" si="20"/>
        <v>1</v>
      </c>
      <c r="J110" s="163">
        <f t="shared" si="21"/>
        <v>0</v>
      </c>
      <c r="K110" s="164"/>
      <c r="L110" s="166">
        <f t="shared" si="23"/>
        <v>106</v>
      </c>
      <c r="M110" s="166">
        <f t="shared" si="22"/>
        <v>265</v>
      </c>
    </row>
    <row r="111" spans="1:13" ht="12.75" customHeight="1" x14ac:dyDescent="0.25">
      <c r="A111" s="168">
        <f t="shared" si="12"/>
        <v>302.5</v>
      </c>
      <c r="B111" s="163">
        <f t="shared" si="13"/>
        <v>2</v>
      </c>
      <c r="C111" s="164">
        <f t="shared" si="14"/>
        <v>0</v>
      </c>
      <c r="D111" s="163">
        <f t="shared" si="15"/>
        <v>0</v>
      </c>
      <c r="E111" s="164">
        <f t="shared" si="16"/>
        <v>1</v>
      </c>
      <c r="F111" s="163">
        <f t="shared" si="17"/>
        <v>0</v>
      </c>
      <c r="G111" s="164">
        <f t="shared" si="18"/>
        <v>1</v>
      </c>
      <c r="H111" s="163">
        <f t="shared" si="19"/>
        <v>0</v>
      </c>
      <c r="I111" s="164">
        <f t="shared" si="20"/>
        <v>1</v>
      </c>
      <c r="J111" s="163">
        <f t="shared" si="21"/>
        <v>1</v>
      </c>
      <c r="K111" s="164"/>
      <c r="L111" s="166">
        <f t="shared" si="23"/>
        <v>107</v>
      </c>
      <c r="M111" s="166">
        <f t="shared" si="22"/>
        <v>267.5</v>
      </c>
    </row>
    <row r="112" spans="1:13" ht="12.75" customHeight="1" x14ac:dyDescent="0.25">
      <c r="A112" s="168">
        <f t="shared" si="12"/>
        <v>305</v>
      </c>
      <c r="B112" s="163">
        <f t="shared" si="13"/>
        <v>2</v>
      </c>
      <c r="C112" s="164">
        <f t="shared" si="14"/>
        <v>0</v>
      </c>
      <c r="D112" s="163">
        <f t="shared" si="15"/>
        <v>0</v>
      </c>
      <c r="E112" s="164">
        <f t="shared" si="16"/>
        <v>1</v>
      </c>
      <c r="F112" s="163">
        <f t="shared" si="17"/>
        <v>1</v>
      </c>
      <c r="G112" s="164">
        <f t="shared" si="18"/>
        <v>0</v>
      </c>
      <c r="H112" s="163">
        <f t="shared" si="19"/>
        <v>0</v>
      </c>
      <c r="I112" s="164">
        <f t="shared" si="20"/>
        <v>0</v>
      </c>
      <c r="J112" s="163">
        <f t="shared" si="21"/>
        <v>0</v>
      </c>
      <c r="K112" s="164"/>
      <c r="L112" s="166">
        <f t="shared" si="23"/>
        <v>108</v>
      </c>
      <c r="M112" s="166">
        <f t="shared" si="22"/>
        <v>270</v>
      </c>
    </row>
    <row r="113" spans="1:13" ht="12.75" customHeight="1" x14ac:dyDescent="0.25">
      <c r="A113" s="168">
        <f t="shared" si="12"/>
        <v>307.5</v>
      </c>
      <c r="B113" s="163">
        <f t="shared" si="13"/>
        <v>2</v>
      </c>
      <c r="C113" s="164">
        <f t="shared" si="14"/>
        <v>0</v>
      </c>
      <c r="D113" s="163">
        <f t="shared" si="15"/>
        <v>0</v>
      </c>
      <c r="E113" s="164">
        <f t="shared" si="16"/>
        <v>1</v>
      </c>
      <c r="F113" s="163">
        <f t="shared" si="17"/>
        <v>1</v>
      </c>
      <c r="G113" s="164">
        <f t="shared" si="18"/>
        <v>0</v>
      </c>
      <c r="H113" s="163">
        <f t="shared" si="19"/>
        <v>0</v>
      </c>
      <c r="I113" s="164">
        <f t="shared" si="20"/>
        <v>0</v>
      </c>
      <c r="J113" s="163">
        <f t="shared" si="21"/>
        <v>1</v>
      </c>
      <c r="K113" s="164"/>
      <c r="L113" s="166">
        <f t="shared" si="23"/>
        <v>109</v>
      </c>
      <c r="M113" s="166">
        <f t="shared" si="22"/>
        <v>272.5</v>
      </c>
    </row>
    <row r="114" spans="1:13" ht="12.75" customHeight="1" x14ac:dyDescent="0.25">
      <c r="A114" s="168">
        <f t="shared" si="12"/>
        <v>310</v>
      </c>
      <c r="B114" s="163">
        <f t="shared" si="13"/>
        <v>2</v>
      </c>
      <c r="C114" s="164">
        <f t="shared" si="14"/>
        <v>0</v>
      </c>
      <c r="D114" s="163">
        <f t="shared" si="15"/>
        <v>0</v>
      </c>
      <c r="E114" s="164">
        <f t="shared" si="16"/>
        <v>1</v>
      </c>
      <c r="F114" s="163">
        <f t="shared" si="17"/>
        <v>1</v>
      </c>
      <c r="G114" s="164">
        <f t="shared" si="18"/>
        <v>0</v>
      </c>
      <c r="H114" s="163">
        <f t="shared" si="19"/>
        <v>0</v>
      </c>
      <c r="I114" s="164">
        <f t="shared" si="20"/>
        <v>1</v>
      </c>
      <c r="J114" s="163">
        <f t="shared" si="21"/>
        <v>0</v>
      </c>
      <c r="K114" s="164"/>
      <c r="L114" s="166">
        <f t="shared" si="23"/>
        <v>110</v>
      </c>
      <c r="M114" s="166">
        <f t="shared" si="22"/>
        <v>275</v>
      </c>
    </row>
    <row r="115" spans="1:13" ht="12.75" customHeight="1" x14ac:dyDescent="0.25">
      <c r="A115" s="168">
        <f t="shared" si="12"/>
        <v>312.5</v>
      </c>
      <c r="B115" s="163">
        <f t="shared" si="13"/>
        <v>2</v>
      </c>
      <c r="C115" s="164">
        <f t="shared" si="14"/>
        <v>0</v>
      </c>
      <c r="D115" s="163">
        <f t="shared" si="15"/>
        <v>0</v>
      </c>
      <c r="E115" s="164">
        <f t="shared" si="16"/>
        <v>1</v>
      </c>
      <c r="F115" s="163">
        <f t="shared" si="17"/>
        <v>1</v>
      </c>
      <c r="G115" s="164">
        <f t="shared" si="18"/>
        <v>0</v>
      </c>
      <c r="H115" s="163">
        <f t="shared" si="19"/>
        <v>0</v>
      </c>
      <c r="I115" s="164">
        <f t="shared" si="20"/>
        <v>1</v>
      </c>
      <c r="J115" s="163">
        <f t="shared" si="21"/>
        <v>1</v>
      </c>
      <c r="K115" s="164"/>
      <c r="L115" s="166">
        <f t="shared" si="23"/>
        <v>111</v>
      </c>
      <c r="M115" s="166">
        <f t="shared" si="22"/>
        <v>277.5</v>
      </c>
    </row>
    <row r="116" spans="1:13" ht="12.75" customHeight="1" x14ac:dyDescent="0.25">
      <c r="A116" s="168">
        <f t="shared" si="12"/>
        <v>315</v>
      </c>
      <c r="B116" s="163">
        <f t="shared" si="13"/>
        <v>2</v>
      </c>
      <c r="C116" s="164">
        <f t="shared" si="14"/>
        <v>0</v>
      </c>
      <c r="D116" s="163">
        <f t="shared" si="15"/>
        <v>0</v>
      </c>
      <c r="E116" s="164">
        <f t="shared" si="16"/>
        <v>2</v>
      </c>
      <c r="F116" s="163">
        <f t="shared" si="17"/>
        <v>0</v>
      </c>
      <c r="G116" s="164">
        <f t="shared" si="18"/>
        <v>0</v>
      </c>
      <c r="H116" s="163">
        <f t="shared" si="19"/>
        <v>0</v>
      </c>
      <c r="I116" s="164">
        <f t="shared" si="20"/>
        <v>0</v>
      </c>
      <c r="J116" s="163">
        <f t="shared" si="21"/>
        <v>0</v>
      </c>
      <c r="K116" s="164"/>
      <c r="L116" s="166">
        <f t="shared" si="23"/>
        <v>112</v>
      </c>
      <c r="M116" s="166">
        <f t="shared" si="22"/>
        <v>280</v>
      </c>
    </row>
    <row r="117" spans="1:13" ht="12.75" customHeight="1" x14ac:dyDescent="0.25">
      <c r="A117" s="168">
        <f t="shared" si="12"/>
        <v>317.5</v>
      </c>
      <c r="B117" s="163">
        <f t="shared" si="13"/>
        <v>2</v>
      </c>
      <c r="C117" s="164">
        <f t="shared" si="14"/>
        <v>0</v>
      </c>
      <c r="D117" s="163">
        <f t="shared" si="15"/>
        <v>0</v>
      </c>
      <c r="E117" s="164">
        <f t="shared" si="16"/>
        <v>2</v>
      </c>
      <c r="F117" s="163">
        <f t="shared" si="17"/>
        <v>0</v>
      </c>
      <c r="G117" s="164">
        <f t="shared" si="18"/>
        <v>0</v>
      </c>
      <c r="H117" s="163">
        <f t="shared" si="19"/>
        <v>0</v>
      </c>
      <c r="I117" s="164">
        <f t="shared" si="20"/>
        <v>0</v>
      </c>
      <c r="J117" s="163">
        <f t="shared" si="21"/>
        <v>1</v>
      </c>
      <c r="K117" s="164"/>
      <c r="L117" s="166">
        <f t="shared" si="23"/>
        <v>113</v>
      </c>
      <c r="M117" s="166">
        <f t="shared" si="22"/>
        <v>282.5</v>
      </c>
    </row>
    <row r="118" spans="1:13" ht="12.75" customHeight="1" x14ac:dyDescent="0.25">
      <c r="A118" s="168">
        <f t="shared" si="12"/>
        <v>320</v>
      </c>
      <c r="B118" s="163">
        <f t="shared" si="13"/>
        <v>2</v>
      </c>
      <c r="C118" s="164">
        <f t="shared" si="14"/>
        <v>0</v>
      </c>
      <c r="D118" s="163">
        <f t="shared" si="15"/>
        <v>0</v>
      </c>
      <c r="E118" s="164">
        <f t="shared" si="16"/>
        <v>2</v>
      </c>
      <c r="F118" s="163">
        <f t="shared" si="17"/>
        <v>0</v>
      </c>
      <c r="G118" s="164">
        <f t="shared" si="18"/>
        <v>0</v>
      </c>
      <c r="H118" s="163">
        <f t="shared" si="19"/>
        <v>0</v>
      </c>
      <c r="I118" s="164">
        <f t="shared" si="20"/>
        <v>1</v>
      </c>
      <c r="J118" s="163">
        <f t="shared" si="21"/>
        <v>0</v>
      </c>
      <c r="K118" s="164"/>
      <c r="L118" s="166">
        <f t="shared" si="23"/>
        <v>114</v>
      </c>
      <c r="M118" s="166">
        <f t="shared" si="22"/>
        <v>285</v>
      </c>
    </row>
    <row r="119" spans="1:13" ht="12.75" customHeight="1" x14ac:dyDescent="0.25">
      <c r="A119" s="168">
        <f t="shared" si="12"/>
        <v>322.5</v>
      </c>
      <c r="B119" s="163">
        <f t="shared" si="13"/>
        <v>2</v>
      </c>
      <c r="C119" s="164">
        <f t="shared" si="14"/>
        <v>0</v>
      </c>
      <c r="D119" s="163">
        <f t="shared" si="15"/>
        <v>0</v>
      </c>
      <c r="E119" s="164">
        <f t="shared" si="16"/>
        <v>2</v>
      </c>
      <c r="F119" s="163">
        <f t="shared" si="17"/>
        <v>0</v>
      </c>
      <c r="G119" s="164">
        <f t="shared" si="18"/>
        <v>0</v>
      </c>
      <c r="H119" s="163">
        <f t="shared" si="19"/>
        <v>0</v>
      </c>
      <c r="I119" s="164">
        <f t="shared" si="20"/>
        <v>1</v>
      </c>
      <c r="J119" s="163">
        <f t="shared" si="21"/>
        <v>1</v>
      </c>
      <c r="K119" s="164"/>
      <c r="L119" s="166">
        <f t="shared" si="23"/>
        <v>115</v>
      </c>
      <c r="M119" s="166">
        <f t="shared" si="22"/>
        <v>287.5</v>
      </c>
    </row>
    <row r="120" spans="1:13" ht="12.75" customHeight="1" x14ac:dyDescent="0.25">
      <c r="A120" s="168">
        <f t="shared" si="12"/>
        <v>325</v>
      </c>
      <c r="B120" s="163">
        <f t="shared" si="13"/>
        <v>2</v>
      </c>
      <c r="C120" s="164">
        <f t="shared" si="14"/>
        <v>0</v>
      </c>
      <c r="D120" s="163">
        <f t="shared" si="15"/>
        <v>0</v>
      </c>
      <c r="E120" s="164">
        <f t="shared" si="16"/>
        <v>2</v>
      </c>
      <c r="F120" s="163">
        <f t="shared" si="17"/>
        <v>0</v>
      </c>
      <c r="G120" s="164">
        <f t="shared" si="18"/>
        <v>0</v>
      </c>
      <c r="H120" s="163">
        <f t="shared" si="19"/>
        <v>1</v>
      </c>
      <c r="I120" s="164">
        <f t="shared" si="20"/>
        <v>0</v>
      </c>
      <c r="J120" s="163">
        <f t="shared" si="21"/>
        <v>0</v>
      </c>
      <c r="K120" s="164"/>
      <c r="L120" s="166">
        <f t="shared" si="23"/>
        <v>116</v>
      </c>
      <c r="M120" s="166">
        <f t="shared" si="22"/>
        <v>290</v>
      </c>
    </row>
    <row r="121" spans="1:13" ht="12.75" customHeight="1" x14ac:dyDescent="0.25">
      <c r="A121" s="168">
        <f t="shared" si="12"/>
        <v>327.5</v>
      </c>
      <c r="B121" s="163">
        <f t="shared" si="13"/>
        <v>2</v>
      </c>
      <c r="C121" s="164">
        <f t="shared" si="14"/>
        <v>0</v>
      </c>
      <c r="D121" s="163">
        <f t="shared" si="15"/>
        <v>0</v>
      </c>
      <c r="E121" s="164">
        <f t="shared" si="16"/>
        <v>2</v>
      </c>
      <c r="F121" s="163">
        <f t="shared" si="17"/>
        <v>0</v>
      </c>
      <c r="G121" s="164">
        <f t="shared" si="18"/>
        <v>0</v>
      </c>
      <c r="H121" s="163">
        <f t="shared" si="19"/>
        <v>1</v>
      </c>
      <c r="I121" s="164">
        <f t="shared" si="20"/>
        <v>0</v>
      </c>
      <c r="J121" s="163">
        <f t="shared" si="21"/>
        <v>1</v>
      </c>
      <c r="K121" s="164"/>
      <c r="L121" s="166">
        <f t="shared" si="23"/>
        <v>117</v>
      </c>
      <c r="M121" s="166">
        <f t="shared" si="22"/>
        <v>292.5</v>
      </c>
    </row>
    <row r="122" spans="1:13" ht="12.75" customHeight="1" x14ac:dyDescent="0.25">
      <c r="A122" s="168">
        <f t="shared" si="12"/>
        <v>330</v>
      </c>
      <c r="B122" s="163">
        <f t="shared" si="13"/>
        <v>2</v>
      </c>
      <c r="C122" s="164">
        <f t="shared" si="14"/>
        <v>0</v>
      </c>
      <c r="D122" s="163">
        <f t="shared" si="15"/>
        <v>0</v>
      </c>
      <c r="E122" s="164">
        <f t="shared" si="16"/>
        <v>2</v>
      </c>
      <c r="F122" s="163">
        <f t="shared" si="17"/>
        <v>0</v>
      </c>
      <c r="G122" s="164">
        <f t="shared" si="18"/>
        <v>0</v>
      </c>
      <c r="H122" s="163">
        <f t="shared" si="19"/>
        <v>1</v>
      </c>
      <c r="I122" s="164">
        <f t="shared" si="20"/>
        <v>1</v>
      </c>
      <c r="J122" s="163">
        <f t="shared" si="21"/>
        <v>0</v>
      </c>
      <c r="K122" s="164"/>
      <c r="L122" s="166">
        <f t="shared" si="23"/>
        <v>118</v>
      </c>
      <c r="M122" s="166">
        <f t="shared" si="22"/>
        <v>295</v>
      </c>
    </row>
    <row r="123" spans="1:13" ht="12.75" customHeight="1" x14ac:dyDescent="0.25">
      <c r="A123" s="168">
        <f t="shared" si="12"/>
        <v>332.5</v>
      </c>
      <c r="B123" s="163">
        <f t="shared" si="13"/>
        <v>2</v>
      </c>
      <c r="C123" s="164">
        <f t="shared" si="14"/>
        <v>0</v>
      </c>
      <c r="D123" s="163">
        <f t="shared" si="15"/>
        <v>0</v>
      </c>
      <c r="E123" s="164">
        <f t="shared" si="16"/>
        <v>2</v>
      </c>
      <c r="F123" s="163">
        <f t="shared" si="17"/>
        <v>0</v>
      </c>
      <c r="G123" s="164">
        <f t="shared" si="18"/>
        <v>0</v>
      </c>
      <c r="H123" s="163">
        <f t="shared" si="19"/>
        <v>1</v>
      </c>
      <c r="I123" s="164">
        <f t="shared" si="20"/>
        <v>1</v>
      </c>
      <c r="J123" s="163">
        <f t="shared" si="21"/>
        <v>1</v>
      </c>
      <c r="K123" s="164"/>
      <c r="L123" s="166">
        <f t="shared" si="23"/>
        <v>119</v>
      </c>
      <c r="M123" s="166">
        <f t="shared" si="22"/>
        <v>297.5</v>
      </c>
    </row>
    <row r="124" spans="1:13" ht="12.75" customHeight="1" x14ac:dyDescent="0.25">
      <c r="A124" s="168">
        <f t="shared" si="12"/>
        <v>335</v>
      </c>
      <c r="B124" s="163">
        <f t="shared" si="13"/>
        <v>2</v>
      </c>
      <c r="C124" s="164">
        <f t="shared" si="14"/>
        <v>0</v>
      </c>
      <c r="D124" s="163">
        <f t="shared" si="15"/>
        <v>0</v>
      </c>
      <c r="E124" s="164">
        <f t="shared" si="16"/>
        <v>2</v>
      </c>
      <c r="F124" s="163">
        <f t="shared" si="17"/>
        <v>0</v>
      </c>
      <c r="G124" s="164">
        <f t="shared" si="18"/>
        <v>1</v>
      </c>
      <c r="H124" s="163">
        <f t="shared" si="19"/>
        <v>0</v>
      </c>
      <c r="I124" s="164">
        <f t="shared" si="20"/>
        <v>0</v>
      </c>
      <c r="J124" s="163">
        <f t="shared" si="21"/>
        <v>0</v>
      </c>
      <c r="K124" s="164"/>
      <c r="L124" s="166">
        <f t="shared" si="23"/>
        <v>120</v>
      </c>
      <c r="M124" s="166">
        <f t="shared" si="22"/>
        <v>300</v>
      </c>
    </row>
    <row r="125" spans="1:13" ht="12.75" customHeight="1" x14ac:dyDescent="0.25">
      <c r="A125" s="168">
        <f t="shared" si="12"/>
        <v>337.5</v>
      </c>
      <c r="B125" s="163">
        <f t="shared" si="13"/>
        <v>2</v>
      </c>
      <c r="C125" s="164">
        <f t="shared" si="14"/>
        <v>0</v>
      </c>
      <c r="D125" s="163">
        <f t="shared" si="15"/>
        <v>0</v>
      </c>
      <c r="E125" s="164">
        <f t="shared" si="16"/>
        <v>2</v>
      </c>
      <c r="F125" s="163">
        <f t="shared" si="17"/>
        <v>0</v>
      </c>
      <c r="G125" s="164">
        <f t="shared" si="18"/>
        <v>1</v>
      </c>
      <c r="H125" s="163">
        <f t="shared" si="19"/>
        <v>0</v>
      </c>
      <c r="I125" s="164">
        <f t="shared" si="20"/>
        <v>0</v>
      </c>
      <c r="J125" s="163">
        <f t="shared" si="21"/>
        <v>1</v>
      </c>
      <c r="K125" s="164"/>
      <c r="L125" s="166">
        <f t="shared" si="23"/>
        <v>121</v>
      </c>
      <c r="M125" s="166">
        <f t="shared" si="22"/>
        <v>302.5</v>
      </c>
    </row>
    <row r="126" spans="1:13" ht="12.75" customHeight="1" x14ac:dyDescent="0.25">
      <c r="A126" s="168">
        <f t="shared" si="12"/>
        <v>340</v>
      </c>
      <c r="B126" s="163">
        <f t="shared" si="13"/>
        <v>2</v>
      </c>
      <c r="C126" s="164">
        <f t="shared" si="14"/>
        <v>0</v>
      </c>
      <c r="D126" s="163">
        <f t="shared" si="15"/>
        <v>0</v>
      </c>
      <c r="E126" s="164">
        <f t="shared" si="16"/>
        <v>2</v>
      </c>
      <c r="F126" s="163">
        <f t="shared" si="17"/>
        <v>0</v>
      </c>
      <c r="G126" s="164">
        <f t="shared" si="18"/>
        <v>1</v>
      </c>
      <c r="H126" s="163">
        <f t="shared" si="19"/>
        <v>0</v>
      </c>
      <c r="I126" s="164">
        <f t="shared" si="20"/>
        <v>1</v>
      </c>
      <c r="J126" s="163">
        <f t="shared" si="21"/>
        <v>0</v>
      </c>
      <c r="K126" s="164"/>
      <c r="L126" s="166">
        <f t="shared" si="23"/>
        <v>122</v>
      </c>
      <c r="M126" s="166">
        <f t="shared" si="22"/>
        <v>305</v>
      </c>
    </row>
    <row r="127" spans="1:13" ht="12.75" customHeight="1" x14ac:dyDescent="0.25">
      <c r="A127" s="168">
        <f t="shared" si="12"/>
        <v>342.5</v>
      </c>
      <c r="B127" s="163">
        <f t="shared" si="13"/>
        <v>2</v>
      </c>
      <c r="C127" s="164">
        <f t="shared" si="14"/>
        <v>0</v>
      </c>
      <c r="D127" s="163">
        <f t="shared" si="15"/>
        <v>0</v>
      </c>
      <c r="E127" s="164">
        <f t="shared" si="16"/>
        <v>2</v>
      </c>
      <c r="F127" s="163">
        <f t="shared" si="17"/>
        <v>0</v>
      </c>
      <c r="G127" s="164">
        <f t="shared" si="18"/>
        <v>1</v>
      </c>
      <c r="H127" s="163">
        <f t="shared" si="19"/>
        <v>0</v>
      </c>
      <c r="I127" s="164">
        <f t="shared" si="20"/>
        <v>1</v>
      </c>
      <c r="J127" s="163">
        <f t="shared" si="21"/>
        <v>1</v>
      </c>
      <c r="K127" s="164"/>
      <c r="L127" s="166">
        <f t="shared" si="23"/>
        <v>123</v>
      </c>
      <c r="M127" s="166">
        <f t="shared" si="22"/>
        <v>307.5</v>
      </c>
    </row>
    <row r="128" spans="1:13" ht="12.75" customHeight="1" x14ac:dyDescent="0.25">
      <c r="A128" s="168">
        <f t="shared" si="12"/>
        <v>345</v>
      </c>
      <c r="B128" s="163">
        <f t="shared" si="13"/>
        <v>2</v>
      </c>
      <c r="C128" s="164">
        <f t="shared" si="14"/>
        <v>0</v>
      </c>
      <c r="D128" s="163">
        <f t="shared" si="15"/>
        <v>0</v>
      </c>
      <c r="E128" s="164">
        <f t="shared" si="16"/>
        <v>2</v>
      </c>
      <c r="F128" s="163">
        <f t="shared" si="17"/>
        <v>1</v>
      </c>
      <c r="G128" s="164">
        <f t="shared" si="18"/>
        <v>0</v>
      </c>
      <c r="H128" s="163">
        <f t="shared" si="19"/>
        <v>0</v>
      </c>
      <c r="I128" s="164">
        <f t="shared" si="20"/>
        <v>0</v>
      </c>
      <c r="J128" s="163">
        <f t="shared" si="21"/>
        <v>0</v>
      </c>
      <c r="K128" s="164"/>
      <c r="L128" s="166">
        <f t="shared" si="23"/>
        <v>124</v>
      </c>
      <c r="M128" s="166">
        <f t="shared" si="22"/>
        <v>310</v>
      </c>
    </row>
    <row r="129" spans="1:13" ht="12.75" customHeight="1" x14ac:dyDescent="0.25">
      <c r="A129" s="168">
        <f t="shared" si="12"/>
        <v>347.5</v>
      </c>
      <c r="B129" s="163">
        <f t="shared" si="13"/>
        <v>2</v>
      </c>
      <c r="C129" s="164">
        <f t="shared" si="14"/>
        <v>0</v>
      </c>
      <c r="D129" s="163">
        <f t="shared" si="15"/>
        <v>0</v>
      </c>
      <c r="E129" s="164">
        <f t="shared" si="16"/>
        <v>2</v>
      </c>
      <c r="F129" s="163">
        <f t="shared" si="17"/>
        <v>1</v>
      </c>
      <c r="G129" s="164">
        <f t="shared" si="18"/>
        <v>0</v>
      </c>
      <c r="H129" s="163">
        <f t="shared" si="19"/>
        <v>0</v>
      </c>
      <c r="I129" s="164">
        <f t="shared" si="20"/>
        <v>0</v>
      </c>
      <c r="J129" s="163">
        <f t="shared" si="21"/>
        <v>1</v>
      </c>
      <c r="K129" s="164"/>
      <c r="L129" s="166">
        <f t="shared" si="23"/>
        <v>125</v>
      </c>
      <c r="M129" s="166">
        <f t="shared" si="22"/>
        <v>312.5</v>
      </c>
    </row>
    <row r="130" spans="1:13" ht="12.75" customHeight="1" x14ac:dyDescent="0.25">
      <c r="A130" s="168">
        <f t="shared" si="12"/>
        <v>350</v>
      </c>
      <c r="B130" s="163">
        <f t="shared" si="13"/>
        <v>2</v>
      </c>
      <c r="C130" s="164">
        <f t="shared" si="14"/>
        <v>0</v>
      </c>
      <c r="D130" s="163">
        <f t="shared" si="15"/>
        <v>0</v>
      </c>
      <c r="E130" s="164">
        <f t="shared" si="16"/>
        <v>2</v>
      </c>
      <c r="F130" s="163">
        <f t="shared" si="17"/>
        <v>1</v>
      </c>
      <c r="G130" s="164">
        <f t="shared" si="18"/>
        <v>0</v>
      </c>
      <c r="H130" s="163">
        <f t="shared" si="19"/>
        <v>0</v>
      </c>
      <c r="I130" s="164">
        <f t="shared" si="20"/>
        <v>1</v>
      </c>
      <c r="J130" s="163">
        <f t="shared" si="21"/>
        <v>0</v>
      </c>
      <c r="K130" s="164"/>
      <c r="L130" s="166">
        <f t="shared" si="23"/>
        <v>126</v>
      </c>
      <c r="M130" s="166">
        <f t="shared" si="22"/>
        <v>315</v>
      </c>
    </row>
    <row r="131" spans="1:13" ht="12.75" customHeight="1" x14ac:dyDescent="0.25">
      <c r="A131" s="168">
        <f t="shared" si="12"/>
        <v>352.5</v>
      </c>
      <c r="B131" s="163">
        <f t="shared" si="13"/>
        <v>2</v>
      </c>
      <c r="C131" s="164">
        <f t="shared" si="14"/>
        <v>0</v>
      </c>
      <c r="D131" s="163">
        <f t="shared" si="15"/>
        <v>0</v>
      </c>
      <c r="E131" s="164">
        <f t="shared" si="16"/>
        <v>2</v>
      </c>
      <c r="F131" s="163">
        <f t="shared" si="17"/>
        <v>1</v>
      </c>
      <c r="G131" s="164">
        <f t="shared" si="18"/>
        <v>0</v>
      </c>
      <c r="H131" s="163">
        <f t="shared" si="19"/>
        <v>0</v>
      </c>
      <c r="I131" s="164">
        <f t="shared" si="20"/>
        <v>1</v>
      </c>
      <c r="J131" s="163">
        <f t="shared" si="21"/>
        <v>1</v>
      </c>
      <c r="K131" s="164"/>
      <c r="L131" s="166">
        <f t="shared" si="23"/>
        <v>127</v>
      </c>
      <c r="M131" s="166">
        <f t="shared" si="22"/>
        <v>317.5</v>
      </c>
    </row>
    <row r="132" spans="1:13" ht="12.75" customHeight="1" x14ac:dyDescent="0.25">
      <c r="A132" s="168">
        <f t="shared" si="12"/>
        <v>355</v>
      </c>
      <c r="B132" s="163">
        <f t="shared" si="13"/>
        <v>2</v>
      </c>
      <c r="C132" s="164">
        <f t="shared" si="14"/>
        <v>0</v>
      </c>
      <c r="D132" s="163">
        <f t="shared" si="15"/>
        <v>0</v>
      </c>
      <c r="E132" s="164">
        <f t="shared" si="16"/>
        <v>3</v>
      </c>
      <c r="F132" s="163">
        <f t="shared" si="17"/>
        <v>0</v>
      </c>
      <c r="G132" s="164">
        <f t="shared" si="18"/>
        <v>0</v>
      </c>
      <c r="H132" s="163">
        <f t="shared" si="19"/>
        <v>0</v>
      </c>
      <c r="I132" s="164">
        <f t="shared" si="20"/>
        <v>0</v>
      </c>
      <c r="J132" s="163">
        <f t="shared" si="21"/>
        <v>0</v>
      </c>
      <c r="K132" s="164"/>
      <c r="L132" s="166">
        <f t="shared" si="23"/>
        <v>128</v>
      </c>
      <c r="M132" s="166">
        <f t="shared" si="22"/>
        <v>320</v>
      </c>
    </row>
    <row r="133" spans="1:13" ht="12.75" customHeight="1" x14ac:dyDescent="0.25">
      <c r="A133" s="168">
        <f t="shared" ref="A133:A196" si="24">IF(M133+$K$2&gt;$L$1,0,M133+$K$2)</f>
        <v>357.5</v>
      </c>
      <c r="B133" s="163">
        <f t="shared" ref="B133:B196" si="25">IF(A133=0,0,MIN($B$1/2,INT(M133/(2*$B$2))))</f>
        <v>2</v>
      </c>
      <c r="C133" s="164">
        <f t="shared" ref="C133:C196" si="26">IF(A133=0,0,MIN($C$1/2,INT(($M133-2*$B133*$B$2)/(2*$C$2))))</f>
        <v>0</v>
      </c>
      <c r="D133" s="163">
        <f t="shared" ref="D133:D196" si="27">IF(A133=0,0,MIN($D$1/2,INT(($M133-2*$B133*$B$2-2*$C133*$C$2)/(2*$D$2))))</f>
        <v>0</v>
      </c>
      <c r="E133" s="164">
        <f t="shared" ref="E133:E196" si="28">IF(A133=0,0,MIN($E$1/2,INT(($M133-2*$B133*$B$2-2*$C133*$C$2-2*$D133*$D$2)/(2*$E$2))))</f>
        <v>3</v>
      </c>
      <c r="F133" s="163">
        <f t="shared" ref="F133:F196" si="29">IF(A133=0,0,MIN($F$1/2,INT(($M133-2*$B133*$B$2-2*$C133*$C$2-2*$D133*$D$2-2*$E133*$E$2)/(2*$F$2))))</f>
        <v>0</v>
      </c>
      <c r="G133" s="164">
        <f t="shared" ref="G133:G196" si="30">IF(A133=0,0,MIN($G$1/2,INT(($M133-2*$B133*$B$2-2*$C133*$C$2-2*$D133*$D$2-2*$E133*$E$2-2*$F133*$F$2)/(2*$G$2))))</f>
        <v>0</v>
      </c>
      <c r="H133" s="163">
        <f t="shared" ref="H133:H196" si="31">IF(A133=0,0,MIN($H$1/2,INT(($M133-2*$B133*$B$2-2*$C133*$C$2-2*$D133*$D$2-2*$E133*$E$2-2*$F133*$F$2-2*$G133*$G$2)/(2*$H$2))))</f>
        <v>0</v>
      </c>
      <c r="I133" s="164">
        <f t="shared" ref="I133:I196" si="32">IF(A133=0,0,MIN($I$1/2,INT(($M133-2*$B133*$B$2-2*$C133*$C$2-2*$D133*$D$2-2*$E133*$E$2-2*$F133*$F$2-2*$G133*$G$2-2*$H133*$H$2)/(2*$I$2))))</f>
        <v>0</v>
      </c>
      <c r="J133" s="163">
        <f t="shared" ref="J133:J196" si="33">IF(A133=0,0,MIN($J$1/2,INT(($M133-2*$B133*$B$2-2*$C133*$C$2-2*$D133*$D$2-2*$E133*$E$2-2*$F133*$F$2-2*$G133*$G$2-2*$H133*$H$2-2*$I133*$I$2)/(2*$J$2))))</f>
        <v>1</v>
      </c>
      <c r="K133" s="164"/>
      <c r="L133" s="166">
        <f t="shared" si="23"/>
        <v>129</v>
      </c>
      <c r="M133" s="166">
        <f t="shared" ref="M133:M196" si="34">IF($A$2="Pounds",5*L133,2.5*L133)</f>
        <v>322.5</v>
      </c>
    </row>
    <row r="134" spans="1:13" ht="12.75" customHeight="1" x14ac:dyDescent="0.25">
      <c r="A134" s="168">
        <f t="shared" si="24"/>
        <v>360</v>
      </c>
      <c r="B134" s="163">
        <f t="shared" si="25"/>
        <v>2</v>
      </c>
      <c r="C134" s="164">
        <f t="shared" si="26"/>
        <v>0</v>
      </c>
      <c r="D134" s="163">
        <f t="shared" si="27"/>
        <v>0</v>
      </c>
      <c r="E134" s="164">
        <f t="shared" si="28"/>
        <v>3</v>
      </c>
      <c r="F134" s="163">
        <f t="shared" si="29"/>
        <v>0</v>
      </c>
      <c r="G134" s="164">
        <f t="shared" si="30"/>
        <v>0</v>
      </c>
      <c r="H134" s="163">
        <f t="shared" si="31"/>
        <v>0</v>
      </c>
      <c r="I134" s="164">
        <f t="shared" si="32"/>
        <v>1</v>
      </c>
      <c r="J134" s="163">
        <f t="shared" si="33"/>
        <v>0</v>
      </c>
      <c r="K134" s="164"/>
      <c r="L134" s="166">
        <f t="shared" si="23"/>
        <v>130</v>
      </c>
      <c r="M134" s="166">
        <f t="shared" si="34"/>
        <v>325</v>
      </c>
    </row>
    <row r="135" spans="1:13" ht="12.75" customHeight="1" x14ac:dyDescent="0.25">
      <c r="A135" s="168">
        <f t="shared" si="24"/>
        <v>362.5</v>
      </c>
      <c r="B135" s="163">
        <f t="shared" si="25"/>
        <v>2</v>
      </c>
      <c r="C135" s="164">
        <f t="shared" si="26"/>
        <v>0</v>
      </c>
      <c r="D135" s="163">
        <f t="shared" si="27"/>
        <v>0</v>
      </c>
      <c r="E135" s="164">
        <f t="shared" si="28"/>
        <v>3</v>
      </c>
      <c r="F135" s="163">
        <f t="shared" si="29"/>
        <v>0</v>
      </c>
      <c r="G135" s="164">
        <f t="shared" si="30"/>
        <v>0</v>
      </c>
      <c r="H135" s="163">
        <f t="shared" si="31"/>
        <v>0</v>
      </c>
      <c r="I135" s="164">
        <f t="shared" si="32"/>
        <v>1</v>
      </c>
      <c r="J135" s="163">
        <f t="shared" si="33"/>
        <v>1</v>
      </c>
      <c r="K135" s="164"/>
      <c r="L135" s="166">
        <f t="shared" si="23"/>
        <v>131</v>
      </c>
      <c r="M135" s="166">
        <f t="shared" si="34"/>
        <v>327.5</v>
      </c>
    </row>
    <row r="136" spans="1:13" ht="12.75" customHeight="1" x14ac:dyDescent="0.25">
      <c r="A136" s="168">
        <f t="shared" si="24"/>
        <v>365</v>
      </c>
      <c r="B136" s="163">
        <f t="shared" si="25"/>
        <v>2</v>
      </c>
      <c r="C136" s="164">
        <f t="shared" si="26"/>
        <v>0</v>
      </c>
      <c r="D136" s="163">
        <f t="shared" si="27"/>
        <v>0</v>
      </c>
      <c r="E136" s="164">
        <f t="shared" si="28"/>
        <v>3</v>
      </c>
      <c r="F136" s="163">
        <f t="shared" si="29"/>
        <v>0</v>
      </c>
      <c r="G136" s="164">
        <f t="shared" si="30"/>
        <v>0</v>
      </c>
      <c r="H136" s="163">
        <f t="shared" si="31"/>
        <v>1</v>
      </c>
      <c r="I136" s="164">
        <f t="shared" si="32"/>
        <v>0</v>
      </c>
      <c r="J136" s="163">
        <f t="shared" si="33"/>
        <v>0</v>
      </c>
      <c r="K136" s="164"/>
      <c r="L136" s="166">
        <f t="shared" si="23"/>
        <v>132</v>
      </c>
      <c r="M136" s="166">
        <f t="shared" si="34"/>
        <v>330</v>
      </c>
    </row>
    <row r="137" spans="1:13" ht="12.75" customHeight="1" x14ac:dyDescent="0.25">
      <c r="A137" s="168">
        <f t="shared" si="24"/>
        <v>367.5</v>
      </c>
      <c r="B137" s="163">
        <f t="shared" si="25"/>
        <v>2</v>
      </c>
      <c r="C137" s="164">
        <f t="shared" si="26"/>
        <v>0</v>
      </c>
      <c r="D137" s="163">
        <f t="shared" si="27"/>
        <v>0</v>
      </c>
      <c r="E137" s="164">
        <f t="shared" si="28"/>
        <v>3</v>
      </c>
      <c r="F137" s="163">
        <f t="shared" si="29"/>
        <v>0</v>
      </c>
      <c r="G137" s="164">
        <f t="shared" si="30"/>
        <v>0</v>
      </c>
      <c r="H137" s="163">
        <f t="shared" si="31"/>
        <v>1</v>
      </c>
      <c r="I137" s="164">
        <f t="shared" si="32"/>
        <v>0</v>
      </c>
      <c r="J137" s="163">
        <f t="shared" si="33"/>
        <v>1</v>
      </c>
      <c r="K137" s="164"/>
      <c r="L137" s="166">
        <f t="shared" si="23"/>
        <v>133</v>
      </c>
      <c r="M137" s="166">
        <f t="shared" si="34"/>
        <v>332.5</v>
      </c>
    </row>
    <row r="138" spans="1:13" ht="12.75" customHeight="1" x14ac:dyDescent="0.25">
      <c r="A138" s="168">
        <f t="shared" si="24"/>
        <v>370</v>
      </c>
      <c r="B138" s="163">
        <f t="shared" si="25"/>
        <v>2</v>
      </c>
      <c r="C138" s="164">
        <f t="shared" si="26"/>
        <v>0</v>
      </c>
      <c r="D138" s="163">
        <f t="shared" si="27"/>
        <v>0</v>
      </c>
      <c r="E138" s="164">
        <f t="shared" si="28"/>
        <v>3</v>
      </c>
      <c r="F138" s="163">
        <f t="shared" si="29"/>
        <v>0</v>
      </c>
      <c r="G138" s="164">
        <f t="shared" si="30"/>
        <v>0</v>
      </c>
      <c r="H138" s="163">
        <f t="shared" si="31"/>
        <v>1</v>
      </c>
      <c r="I138" s="164">
        <f t="shared" si="32"/>
        <v>1</v>
      </c>
      <c r="J138" s="163">
        <f t="shared" si="33"/>
        <v>0</v>
      </c>
      <c r="K138" s="164"/>
      <c r="L138" s="166">
        <f t="shared" si="23"/>
        <v>134</v>
      </c>
      <c r="M138" s="166">
        <f t="shared" si="34"/>
        <v>335</v>
      </c>
    </row>
    <row r="139" spans="1:13" ht="12.75" customHeight="1" x14ac:dyDescent="0.25">
      <c r="A139" s="168">
        <f t="shared" si="24"/>
        <v>372.5</v>
      </c>
      <c r="B139" s="163">
        <f t="shared" si="25"/>
        <v>2</v>
      </c>
      <c r="C139" s="164">
        <f t="shared" si="26"/>
        <v>0</v>
      </c>
      <c r="D139" s="163">
        <f t="shared" si="27"/>
        <v>0</v>
      </c>
      <c r="E139" s="164">
        <f t="shared" si="28"/>
        <v>3</v>
      </c>
      <c r="F139" s="163">
        <f t="shared" si="29"/>
        <v>0</v>
      </c>
      <c r="G139" s="164">
        <f t="shared" si="30"/>
        <v>0</v>
      </c>
      <c r="H139" s="163">
        <f t="shared" si="31"/>
        <v>1</v>
      </c>
      <c r="I139" s="164">
        <f t="shared" si="32"/>
        <v>1</v>
      </c>
      <c r="J139" s="163">
        <f t="shared" si="33"/>
        <v>1</v>
      </c>
      <c r="K139" s="164"/>
      <c r="L139" s="166">
        <f t="shared" si="23"/>
        <v>135</v>
      </c>
      <c r="M139" s="166">
        <f t="shared" si="34"/>
        <v>337.5</v>
      </c>
    </row>
    <row r="140" spans="1:13" ht="12.75" customHeight="1" x14ac:dyDescent="0.25">
      <c r="A140" s="168">
        <f t="shared" si="24"/>
        <v>375</v>
      </c>
      <c r="B140" s="163">
        <f t="shared" si="25"/>
        <v>2</v>
      </c>
      <c r="C140" s="164">
        <f t="shared" si="26"/>
        <v>0</v>
      </c>
      <c r="D140" s="163">
        <f t="shared" si="27"/>
        <v>0</v>
      </c>
      <c r="E140" s="164">
        <f t="shared" si="28"/>
        <v>3</v>
      </c>
      <c r="F140" s="163">
        <f t="shared" si="29"/>
        <v>0</v>
      </c>
      <c r="G140" s="164">
        <f t="shared" si="30"/>
        <v>1</v>
      </c>
      <c r="H140" s="163">
        <f t="shared" si="31"/>
        <v>0</v>
      </c>
      <c r="I140" s="164">
        <f t="shared" si="32"/>
        <v>0</v>
      </c>
      <c r="J140" s="163">
        <f t="shared" si="33"/>
        <v>0</v>
      </c>
      <c r="K140" s="164"/>
      <c r="L140" s="166">
        <f t="shared" si="23"/>
        <v>136</v>
      </c>
      <c r="M140" s="166">
        <f t="shared" si="34"/>
        <v>340</v>
      </c>
    </row>
    <row r="141" spans="1:13" ht="12.75" customHeight="1" x14ac:dyDescent="0.25">
      <c r="A141" s="168">
        <f t="shared" si="24"/>
        <v>377.5</v>
      </c>
      <c r="B141" s="163">
        <f t="shared" si="25"/>
        <v>2</v>
      </c>
      <c r="C141" s="164">
        <f t="shared" si="26"/>
        <v>0</v>
      </c>
      <c r="D141" s="163">
        <f t="shared" si="27"/>
        <v>0</v>
      </c>
      <c r="E141" s="164">
        <f t="shared" si="28"/>
        <v>3</v>
      </c>
      <c r="F141" s="163">
        <f t="shared" si="29"/>
        <v>0</v>
      </c>
      <c r="G141" s="164">
        <f t="shared" si="30"/>
        <v>1</v>
      </c>
      <c r="H141" s="163">
        <f t="shared" si="31"/>
        <v>0</v>
      </c>
      <c r="I141" s="164">
        <f t="shared" si="32"/>
        <v>0</v>
      </c>
      <c r="J141" s="163">
        <f t="shared" si="33"/>
        <v>1</v>
      </c>
      <c r="K141" s="164"/>
      <c r="L141" s="166">
        <f t="shared" ref="L141:L204" si="35">L140+1</f>
        <v>137</v>
      </c>
      <c r="M141" s="166">
        <f t="shared" si="34"/>
        <v>342.5</v>
      </c>
    </row>
    <row r="142" spans="1:13" ht="12.75" customHeight="1" x14ac:dyDescent="0.25">
      <c r="A142" s="168">
        <f t="shared" si="24"/>
        <v>380</v>
      </c>
      <c r="B142" s="163">
        <f t="shared" si="25"/>
        <v>2</v>
      </c>
      <c r="C142" s="164">
        <f t="shared" si="26"/>
        <v>0</v>
      </c>
      <c r="D142" s="163">
        <f t="shared" si="27"/>
        <v>0</v>
      </c>
      <c r="E142" s="164">
        <f t="shared" si="28"/>
        <v>3</v>
      </c>
      <c r="F142" s="163">
        <f t="shared" si="29"/>
        <v>0</v>
      </c>
      <c r="G142" s="164">
        <f t="shared" si="30"/>
        <v>1</v>
      </c>
      <c r="H142" s="163">
        <f t="shared" si="31"/>
        <v>0</v>
      </c>
      <c r="I142" s="164">
        <f t="shared" si="32"/>
        <v>1</v>
      </c>
      <c r="J142" s="163">
        <f t="shared" si="33"/>
        <v>0</v>
      </c>
      <c r="K142" s="164"/>
      <c r="L142" s="166">
        <f t="shared" si="35"/>
        <v>138</v>
      </c>
      <c r="M142" s="166">
        <f t="shared" si="34"/>
        <v>345</v>
      </c>
    </row>
    <row r="143" spans="1:13" ht="12.75" customHeight="1" x14ac:dyDescent="0.25">
      <c r="A143" s="168">
        <f t="shared" si="24"/>
        <v>382.5</v>
      </c>
      <c r="B143" s="163">
        <f t="shared" si="25"/>
        <v>2</v>
      </c>
      <c r="C143" s="164">
        <f t="shared" si="26"/>
        <v>0</v>
      </c>
      <c r="D143" s="163">
        <f t="shared" si="27"/>
        <v>0</v>
      </c>
      <c r="E143" s="164">
        <f t="shared" si="28"/>
        <v>3</v>
      </c>
      <c r="F143" s="163">
        <f t="shared" si="29"/>
        <v>0</v>
      </c>
      <c r="G143" s="164">
        <f t="shared" si="30"/>
        <v>1</v>
      </c>
      <c r="H143" s="163">
        <f t="shared" si="31"/>
        <v>0</v>
      </c>
      <c r="I143" s="164">
        <f t="shared" si="32"/>
        <v>1</v>
      </c>
      <c r="J143" s="163">
        <f t="shared" si="33"/>
        <v>1</v>
      </c>
      <c r="K143" s="164"/>
      <c r="L143" s="166">
        <f t="shared" si="35"/>
        <v>139</v>
      </c>
      <c r="M143" s="166">
        <f t="shared" si="34"/>
        <v>347.5</v>
      </c>
    </row>
    <row r="144" spans="1:13" ht="12.75" customHeight="1" x14ac:dyDescent="0.25">
      <c r="A144" s="168">
        <f t="shared" si="24"/>
        <v>385</v>
      </c>
      <c r="B144" s="163">
        <f t="shared" si="25"/>
        <v>2</v>
      </c>
      <c r="C144" s="164">
        <f t="shared" si="26"/>
        <v>0</v>
      </c>
      <c r="D144" s="163">
        <f t="shared" si="27"/>
        <v>0</v>
      </c>
      <c r="E144" s="164">
        <f t="shared" si="28"/>
        <v>3</v>
      </c>
      <c r="F144" s="163">
        <f t="shared" si="29"/>
        <v>1</v>
      </c>
      <c r="G144" s="164">
        <f t="shared" si="30"/>
        <v>0</v>
      </c>
      <c r="H144" s="163">
        <f t="shared" si="31"/>
        <v>0</v>
      </c>
      <c r="I144" s="164">
        <f t="shared" si="32"/>
        <v>0</v>
      </c>
      <c r="J144" s="163">
        <f t="shared" si="33"/>
        <v>0</v>
      </c>
      <c r="K144" s="164"/>
      <c r="L144" s="166">
        <f t="shared" si="35"/>
        <v>140</v>
      </c>
      <c r="M144" s="166">
        <f t="shared" si="34"/>
        <v>350</v>
      </c>
    </row>
    <row r="145" spans="1:13" ht="12.75" customHeight="1" x14ac:dyDescent="0.25">
      <c r="A145" s="168">
        <f t="shared" si="24"/>
        <v>387.5</v>
      </c>
      <c r="B145" s="163">
        <f t="shared" si="25"/>
        <v>2</v>
      </c>
      <c r="C145" s="164">
        <f t="shared" si="26"/>
        <v>0</v>
      </c>
      <c r="D145" s="163">
        <f t="shared" si="27"/>
        <v>0</v>
      </c>
      <c r="E145" s="164">
        <f t="shared" si="28"/>
        <v>3</v>
      </c>
      <c r="F145" s="163">
        <f t="shared" si="29"/>
        <v>1</v>
      </c>
      <c r="G145" s="164">
        <f t="shared" si="30"/>
        <v>0</v>
      </c>
      <c r="H145" s="163">
        <f t="shared" si="31"/>
        <v>0</v>
      </c>
      <c r="I145" s="164">
        <f t="shared" si="32"/>
        <v>0</v>
      </c>
      <c r="J145" s="163">
        <f t="shared" si="33"/>
        <v>1</v>
      </c>
      <c r="K145" s="164"/>
      <c r="L145" s="166">
        <f t="shared" si="35"/>
        <v>141</v>
      </c>
      <c r="M145" s="166">
        <f t="shared" si="34"/>
        <v>352.5</v>
      </c>
    </row>
    <row r="146" spans="1:13" ht="12.75" customHeight="1" x14ac:dyDescent="0.25">
      <c r="A146" s="168">
        <f t="shared" si="24"/>
        <v>390</v>
      </c>
      <c r="B146" s="163">
        <f t="shared" si="25"/>
        <v>2</v>
      </c>
      <c r="C146" s="164">
        <f t="shared" si="26"/>
        <v>0</v>
      </c>
      <c r="D146" s="163">
        <f t="shared" si="27"/>
        <v>0</v>
      </c>
      <c r="E146" s="164">
        <f t="shared" si="28"/>
        <v>3</v>
      </c>
      <c r="F146" s="163">
        <f t="shared" si="29"/>
        <v>1</v>
      </c>
      <c r="G146" s="164">
        <f t="shared" si="30"/>
        <v>0</v>
      </c>
      <c r="H146" s="163">
        <f t="shared" si="31"/>
        <v>0</v>
      </c>
      <c r="I146" s="164">
        <f t="shared" si="32"/>
        <v>1</v>
      </c>
      <c r="J146" s="163">
        <f t="shared" si="33"/>
        <v>0</v>
      </c>
      <c r="K146" s="164"/>
      <c r="L146" s="166">
        <f t="shared" si="35"/>
        <v>142</v>
      </c>
      <c r="M146" s="166">
        <f t="shared" si="34"/>
        <v>355</v>
      </c>
    </row>
    <row r="147" spans="1:13" ht="12.75" customHeight="1" x14ac:dyDescent="0.25">
      <c r="A147" s="168">
        <f t="shared" si="24"/>
        <v>392.5</v>
      </c>
      <c r="B147" s="163">
        <f t="shared" si="25"/>
        <v>2</v>
      </c>
      <c r="C147" s="164">
        <f t="shared" si="26"/>
        <v>0</v>
      </c>
      <c r="D147" s="163">
        <f t="shared" si="27"/>
        <v>0</v>
      </c>
      <c r="E147" s="164">
        <f t="shared" si="28"/>
        <v>3</v>
      </c>
      <c r="F147" s="163">
        <f t="shared" si="29"/>
        <v>1</v>
      </c>
      <c r="G147" s="164">
        <f t="shared" si="30"/>
        <v>0</v>
      </c>
      <c r="H147" s="163">
        <f t="shared" si="31"/>
        <v>0</v>
      </c>
      <c r="I147" s="164">
        <f t="shared" si="32"/>
        <v>1</v>
      </c>
      <c r="J147" s="163">
        <f t="shared" si="33"/>
        <v>1</v>
      </c>
      <c r="K147" s="164"/>
      <c r="L147" s="166">
        <f t="shared" si="35"/>
        <v>143</v>
      </c>
      <c r="M147" s="166">
        <f t="shared" si="34"/>
        <v>357.5</v>
      </c>
    </row>
    <row r="148" spans="1:13" ht="12.75" customHeight="1" x14ac:dyDescent="0.25">
      <c r="A148" s="168">
        <f t="shared" si="24"/>
        <v>395</v>
      </c>
      <c r="B148" s="163">
        <f t="shared" si="25"/>
        <v>2</v>
      </c>
      <c r="C148" s="164">
        <f t="shared" si="26"/>
        <v>0</v>
      </c>
      <c r="D148" s="163">
        <f t="shared" si="27"/>
        <v>0</v>
      </c>
      <c r="E148" s="164">
        <f t="shared" si="28"/>
        <v>4</v>
      </c>
      <c r="F148" s="163">
        <f t="shared" si="29"/>
        <v>0</v>
      </c>
      <c r="G148" s="164">
        <f t="shared" si="30"/>
        <v>0</v>
      </c>
      <c r="H148" s="163">
        <f t="shared" si="31"/>
        <v>0</v>
      </c>
      <c r="I148" s="164">
        <f t="shared" si="32"/>
        <v>0</v>
      </c>
      <c r="J148" s="163">
        <f t="shared" si="33"/>
        <v>0</v>
      </c>
      <c r="K148" s="164"/>
      <c r="L148" s="166">
        <f t="shared" si="35"/>
        <v>144</v>
      </c>
      <c r="M148" s="166">
        <f t="shared" si="34"/>
        <v>360</v>
      </c>
    </row>
    <row r="149" spans="1:13" ht="12.75" customHeight="1" x14ac:dyDescent="0.25">
      <c r="A149" s="168">
        <f t="shared" si="24"/>
        <v>397.5</v>
      </c>
      <c r="B149" s="163">
        <f t="shared" si="25"/>
        <v>2</v>
      </c>
      <c r="C149" s="164">
        <f t="shared" si="26"/>
        <v>0</v>
      </c>
      <c r="D149" s="163">
        <f t="shared" si="27"/>
        <v>0</v>
      </c>
      <c r="E149" s="164">
        <f t="shared" si="28"/>
        <v>4</v>
      </c>
      <c r="F149" s="163">
        <f t="shared" si="29"/>
        <v>0</v>
      </c>
      <c r="G149" s="164">
        <f t="shared" si="30"/>
        <v>0</v>
      </c>
      <c r="H149" s="163">
        <f t="shared" si="31"/>
        <v>0</v>
      </c>
      <c r="I149" s="164">
        <f t="shared" si="32"/>
        <v>0</v>
      </c>
      <c r="J149" s="163">
        <f t="shared" si="33"/>
        <v>1</v>
      </c>
      <c r="K149" s="164"/>
      <c r="L149" s="166">
        <f t="shared" si="35"/>
        <v>145</v>
      </c>
      <c r="M149" s="166">
        <f t="shared" si="34"/>
        <v>362.5</v>
      </c>
    </row>
    <row r="150" spans="1:13" ht="12.75" customHeight="1" x14ac:dyDescent="0.25">
      <c r="A150" s="168">
        <f t="shared" si="24"/>
        <v>400</v>
      </c>
      <c r="B150" s="163">
        <f t="shared" si="25"/>
        <v>2</v>
      </c>
      <c r="C150" s="164">
        <f t="shared" si="26"/>
        <v>0</v>
      </c>
      <c r="D150" s="163">
        <f t="shared" si="27"/>
        <v>0</v>
      </c>
      <c r="E150" s="164">
        <f t="shared" si="28"/>
        <v>4</v>
      </c>
      <c r="F150" s="163">
        <f t="shared" si="29"/>
        <v>0</v>
      </c>
      <c r="G150" s="164">
        <f t="shared" si="30"/>
        <v>0</v>
      </c>
      <c r="H150" s="163">
        <f t="shared" si="31"/>
        <v>0</v>
      </c>
      <c r="I150" s="164">
        <f t="shared" si="32"/>
        <v>1</v>
      </c>
      <c r="J150" s="163">
        <f t="shared" si="33"/>
        <v>0</v>
      </c>
      <c r="K150" s="164"/>
      <c r="L150" s="166">
        <f t="shared" si="35"/>
        <v>146</v>
      </c>
      <c r="M150" s="166">
        <f t="shared" si="34"/>
        <v>365</v>
      </c>
    </row>
    <row r="151" spans="1:13" ht="12.75" customHeight="1" x14ac:dyDescent="0.25">
      <c r="A151" s="168">
        <f t="shared" si="24"/>
        <v>402.5</v>
      </c>
      <c r="B151" s="163">
        <f t="shared" si="25"/>
        <v>2</v>
      </c>
      <c r="C151" s="164">
        <f t="shared" si="26"/>
        <v>0</v>
      </c>
      <c r="D151" s="163">
        <f t="shared" si="27"/>
        <v>0</v>
      </c>
      <c r="E151" s="164">
        <f t="shared" si="28"/>
        <v>4</v>
      </c>
      <c r="F151" s="163">
        <f t="shared" si="29"/>
        <v>0</v>
      </c>
      <c r="G151" s="164">
        <f t="shared" si="30"/>
        <v>0</v>
      </c>
      <c r="H151" s="163">
        <f t="shared" si="31"/>
        <v>0</v>
      </c>
      <c r="I151" s="164">
        <f t="shared" si="32"/>
        <v>1</v>
      </c>
      <c r="J151" s="163">
        <f t="shared" si="33"/>
        <v>1</v>
      </c>
      <c r="K151" s="164"/>
      <c r="L151" s="166">
        <f t="shared" si="35"/>
        <v>147</v>
      </c>
      <c r="M151" s="166">
        <f t="shared" si="34"/>
        <v>367.5</v>
      </c>
    </row>
    <row r="152" spans="1:13" ht="12.75" customHeight="1" x14ac:dyDescent="0.25">
      <c r="A152" s="168">
        <f t="shared" si="24"/>
        <v>405</v>
      </c>
      <c r="B152" s="163">
        <f t="shared" si="25"/>
        <v>2</v>
      </c>
      <c r="C152" s="164">
        <f t="shared" si="26"/>
        <v>0</v>
      </c>
      <c r="D152" s="163">
        <f t="shared" si="27"/>
        <v>0</v>
      </c>
      <c r="E152" s="164">
        <f t="shared" si="28"/>
        <v>4</v>
      </c>
      <c r="F152" s="163">
        <f t="shared" si="29"/>
        <v>0</v>
      </c>
      <c r="G152" s="164">
        <f t="shared" si="30"/>
        <v>0</v>
      </c>
      <c r="H152" s="163">
        <f t="shared" si="31"/>
        <v>1</v>
      </c>
      <c r="I152" s="164">
        <f t="shared" si="32"/>
        <v>0</v>
      </c>
      <c r="J152" s="163">
        <f t="shared" si="33"/>
        <v>0</v>
      </c>
      <c r="K152" s="164"/>
      <c r="L152" s="166">
        <f t="shared" si="35"/>
        <v>148</v>
      </c>
      <c r="M152" s="166">
        <f t="shared" si="34"/>
        <v>370</v>
      </c>
    </row>
    <row r="153" spans="1:13" ht="12.75" customHeight="1" x14ac:dyDescent="0.25">
      <c r="A153" s="168">
        <f t="shared" si="24"/>
        <v>407.5</v>
      </c>
      <c r="B153" s="163">
        <f t="shared" si="25"/>
        <v>2</v>
      </c>
      <c r="C153" s="164">
        <f t="shared" si="26"/>
        <v>0</v>
      </c>
      <c r="D153" s="163">
        <f t="shared" si="27"/>
        <v>0</v>
      </c>
      <c r="E153" s="164">
        <f t="shared" si="28"/>
        <v>4</v>
      </c>
      <c r="F153" s="163">
        <f t="shared" si="29"/>
        <v>0</v>
      </c>
      <c r="G153" s="164">
        <f t="shared" si="30"/>
        <v>0</v>
      </c>
      <c r="H153" s="163">
        <f t="shared" si="31"/>
        <v>1</v>
      </c>
      <c r="I153" s="164">
        <f t="shared" si="32"/>
        <v>0</v>
      </c>
      <c r="J153" s="163">
        <f t="shared" si="33"/>
        <v>1</v>
      </c>
      <c r="K153" s="164"/>
      <c r="L153" s="166">
        <f t="shared" si="35"/>
        <v>149</v>
      </c>
      <c r="M153" s="166">
        <f t="shared" si="34"/>
        <v>372.5</v>
      </c>
    </row>
    <row r="154" spans="1:13" ht="12.75" customHeight="1" x14ac:dyDescent="0.25">
      <c r="A154" s="168">
        <f t="shared" si="24"/>
        <v>410</v>
      </c>
      <c r="B154" s="163">
        <f t="shared" si="25"/>
        <v>2</v>
      </c>
      <c r="C154" s="164">
        <f t="shared" si="26"/>
        <v>0</v>
      </c>
      <c r="D154" s="163">
        <f t="shared" si="27"/>
        <v>0</v>
      </c>
      <c r="E154" s="164">
        <f t="shared" si="28"/>
        <v>4</v>
      </c>
      <c r="F154" s="163">
        <f t="shared" si="29"/>
        <v>0</v>
      </c>
      <c r="G154" s="164">
        <f t="shared" si="30"/>
        <v>0</v>
      </c>
      <c r="H154" s="163">
        <f t="shared" si="31"/>
        <v>1</v>
      </c>
      <c r="I154" s="164">
        <f t="shared" si="32"/>
        <v>1</v>
      </c>
      <c r="J154" s="163">
        <f t="shared" si="33"/>
        <v>0</v>
      </c>
      <c r="K154" s="164"/>
      <c r="L154" s="166">
        <f t="shared" si="35"/>
        <v>150</v>
      </c>
      <c r="M154" s="166">
        <f t="shared" si="34"/>
        <v>375</v>
      </c>
    </row>
    <row r="155" spans="1:13" ht="12.75" customHeight="1" x14ac:dyDescent="0.25">
      <c r="A155" s="168">
        <f t="shared" si="24"/>
        <v>412.5</v>
      </c>
      <c r="B155" s="163">
        <f t="shared" si="25"/>
        <v>2</v>
      </c>
      <c r="C155" s="164">
        <f t="shared" si="26"/>
        <v>0</v>
      </c>
      <c r="D155" s="163">
        <f t="shared" si="27"/>
        <v>0</v>
      </c>
      <c r="E155" s="164">
        <f t="shared" si="28"/>
        <v>4</v>
      </c>
      <c r="F155" s="163">
        <f t="shared" si="29"/>
        <v>0</v>
      </c>
      <c r="G155" s="164">
        <f t="shared" si="30"/>
        <v>0</v>
      </c>
      <c r="H155" s="163">
        <f t="shared" si="31"/>
        <v>1</v>
      </c>
      <c r="I155" s="164">
        <f t="shared" si="32"/>
        <v>1</v>
      </c>
      <c r="J155" s="163">
        <f t="shared" si="33"/>
        <v>1</v>
      </c>
      <c r="K155" s="164"/>
      <c r="L155" s="166">
        <f t="shared" si="35"/>
        <v>151</v>
      </c>
      <c r="M155" s="166">
        <f t="shared" si="34"/>
        <v>377.5</v>
      </c>
    </row>
    <row r="156" spans="1:13" ht="12.75" customHeight="1" x14ac:dyDescent="0.25">
      <c r="A156" s="168">
        <f t="shared" si="24"/>
        <v>415</v>
      </c>
      <c r="B156" s="163">
        <f t="shared" si="25"/>
        <v>2</v>
      </c>
      <c r="C156" s="164">
        <f t="shared" si="26"/>
        <v>0</v>
      </c>
      <c r="D156" s="163">
        <f t="shared" si="27"/>
        <v>0</v>
      </c>
      <c r="E156" s="164">
        <f t="shared" si="28"/>
        <v>4</v>
      </c>
      <c r="F156" s="163">
        <f t="shared" si="29"/>
        <v>0</v>
      </c>
      <c r="G156" s="164">
        <f t="shared" si="30"/>
        <v>1</v>
      </c>
      <c r="H156" s="163">
        <f t="shared" si="31"/>
        <v>0</v>
      </c>
      <c r="I156" s="164">
        <f t="shared" si="32"/>
        <v>0</v>
      </c>
      <c r="J156" s="163">
        <f t="shared" si="33"/>
        <v>0</v>
      </c>
      <c r="K156" s="164"/>
      <c r="L156" s="166">
        <f t="shared" si="35"/>
        <v>152</v>
      </c>
      <c r="M156" s="166">
        <f t="shared" si="34"/>
        <v>380</v>
      </c>
    </row>
    <row r="157" spans="1:13" ht="12.75" customHeight="1" x14ac:dyDescent="0.25">
      <c r="A157" s="168">
        <f t="shared" si="24"/>
        <v>417.5</v>
      </c>
      <c r="B157" s="163">
        <f t="shared" si="25"/>
        <v>2</v>
      </c>
      <c r="C157" s="164">
        <f t="shared" si="26"/>
        <v>0</v>
      </c>
      <c r="D157" s="163">
        <f t="shared" si="27"/>
        <v>0</v>
      </c>
      <c r="E157" s="164">
        <f t="shared" si="28"/>
        <v>4</v>
      </c>
      <c r="F157" s="163">
        <f t="shared" si="29"/>
        <v>0</v>
      </c>
      <c r="G157" s="164">
        <f t="shared" si="30"/>
        <v>1</v>
      </c>
      <c r="H157" s="163">
        <f t="shared" si="31"/>
        <v>0</v>
      </c>
      <c r="I157" s="164">
        <f t="shared" si="32"/>
        <v>0</v>
      </c>
      <c r="J157" s="163">
        <f t="shared" si="33"/>
        <v>1</v>
      </c>
      <c r="K157" s="164"/>
      <c r="L157" s="166">
        <f t="shared" si="35"/>
        <v>153</v>
      </c>
      <c r="M157" s="166">
        <f t="shared" si="34"/>
        <v>382.5</v>
      </c>
    </row>
    <row r="158" spans="1:13" ht="12.75" customHeight="1" x14ac:dyDescent="0.25">
      <c r="A158" s="168">
        <f t="shared" si="24"/>
        <v>420</v>
      </c>
      <c r="B158" s="163">
        <f t="shared" si="25"/>
        <v>2</v>
      </c>
      <c r="C158" s="164">
        <f t="shared" si="26"/>
        <v>0</v>
      </c>
      <c r="D158" s="163">
        <f t="shared" si="27"/>
        <v>0</v>
      </c>
      <c r="E158" s="164">
        <f t="shared" si="28"/>
        <v>4</v>
      </c>
      <c r="F158" s="163">
        <f t="shared" si="29"/>
        <v>0</v>
      </c>
      <c r="G158" s="164">
        <f t="shared" si="30"/>
        <v>1</v>
      </c>
      <c r="H158" s="163">
        <f t="shared" si="31"/>
        <v>0</v>
      </c>
      <c r="I158" s="164">
        <f t="shared" si="32"/>
        <v>1</v>
      </c>
      <c r="J158" s="163">
        <f t="shared" si="33"/>
        <v>0</v>
      </c>
      <c r="K158" s="164"/>
      <c r="L158" s="166">
        <f t="shared" si="35"/>
        <v>154</v>
      </c>
      <c r="M158" s="166">
        <f t="shared" si="34"/>
        <v>385</v>
      </c>
    </row>
    <row r="159" spans="1:13" ht="12.75" customHeight="1" x14ac:dyDescent="0.25">
      <c r="A159" s="168">
        <f t="shared" si="24"/>
        <v>422.5</v>
      </c>
      <c r="B159" s="163">
        <f t="shared" si="25"/>
        <v>2</v>
      </c>
      <c r="C159" s="164">
        <f t="shared" si="26"/>
        <v>0</v>
      </c>
      <c r="D159" s="163">
        <f t="shared" si="27"/>
        <v>0</v>
      </c>
      <c r="E159" s="164">
        <f t="shared" si="28"/>
        <v>4</v>
      </c>
      <c r="F159" s="163">
        <f t="shared" si="29"/>
        <v>0</v>
      </c>
      <c r="G159" s="164">
        <f t="shared" si="30"/>
        <v>1</v>
      </c>
      <c r="H159" s="163">
        <f t="shared" si="31"/>
        <v>0</v>
      </c>
      <c r="I159" s="164">
        <f t="shared" si="32"/>
        <v>1</v>
      </c>
      <c r="J159" s="163">
        <f t="shared" si="33"/>
        <v>1</v>
      </c>
      <c r="K159" s="164"/>
      <c r="L159" s="166">
        <f t="shared" si="35"/>
        <v>155</v>
      </c>
      <c r="M159" s="166">
        <f t="shared" si="34"/>
        <v>387.5</v>
      </c>
    </row>
    <row r="160" spans="1:13" ht="12.75" customHeight="1" x14ac:dyDescent="0.25">
      <c r="A160" s="168">
        <f t="shared" si="24"/>
        <v>425</v>
      </c>
      <c r="B160" s="163">
        <f t="shared" si="25"/>
        <v>2</v>
      </c>
      <c r="C160" s="164">
        <f t="shared" si="26"/>
        <v>0</v>
      </c>
      <c r="D160" s="163">
        <f t="shared" si="27"/>
        <v>0</v>
      </c>
      <c r="E160" s="164">
        <f t="shared" si="28"/>
        <v>4</v>
      </c>
      <c r="F160" s="163">
        <f t="shared" si="29"/>
        <v>1</v>
      </c>
      <c r="G160" s="164">
        <f t="shared" si="30"/>
        <v>0</v>
      </c>
      <c r="H160" s="163">
        <f t="shared" si="31"/>
        <v>0</v>
      </c>
      <c r="I160" s="164">
        <f t="shared" si="32"/>
        <v>0</v>
      </c>
      <c r="J160" s="163">
        <f t="shared" si="33"/>
        <v>0</v>
      </c>
      <c r="K160" s="164"/>
      <c r="L160" s="166">
        <f t="shared" si="35"/>
        <v>156</v>
      </c>
      <c r="M160" s="166">
        <f t="shared" si="34"/>
        <v>390</v>
      </c>
    </row>
    <row r="161" spans="1:13" ht="12.75" customHeight="1" x14ac:dyDescent="0.25">
      <c r="A161" s="168">
        <f t="shared" si="24"/>
        <v>427.5</v>
      </c>
      <c r="B161" s="163">
        <f t="shared" si="25"/>
        <v>2</v>
      </c>
      <c r="C161" s="164">
        <f t="shared" si="26"/>
        <v>0</v>
      </c>
      <c r="D161" s="163">
        <f t="shared" si="27"/>
        <v>0</v>
      </c>
      <c r="E161" s="164">
        <f t="shared" si="28"/>
        <v>4</v>
      </c>
      <c r="F161" s="163">
        <f t="shared" si="29"/>
        <v>1</v>
      </c>
      <c r="G161" s="164">
        <f t="shared" si="30"/>
        <v>0</v>
      </c>
      <c r="H161" s="163">
        <f t="shared" si="31"/>
        <v>0</v>
      </c>
      <c r="I161" s="164">
        <f t="shared" si="32"/>
        <v>0</v>
      </c>
      <c r="J161" s="163">
        <f t="shared" si="33"/>
        <v>1</v>
      </c>
      <c r="K161" s="164"/>
      <c r="L161" s="166">
        <f t="shared" si="35"/>
        <v>157</v>
      </c>
      <c r="M161" s="166">
        <f t="shared" si="34"/>
        <v>392.5</v>
      </c>
    </row>
    <row r="162" spans="1:13" ht="12.75" customHeight="1" x14ac:dyDescent="0.25">
      <c r="A162" s="168">
        <f t="shared" si="24"/>
        <v>430</v>
      </c>
      <c r="B162" s="163">
        <f t="shared" si="25"/>
        <v>2</v>
      </c>
      <c r="C162" s="164">
        <f t="shared" si="26"/>
        <v>0</v>
      </c>
      <c r="D162" s="163">
        <f t="shared" si="27"/>
        <v>0</v>
      </c>
      <c r="E162" s="164">
        <f t="shared" si="28"/>
        <v>4</v>
      </c>
      <c r="F162" s="163">
        <f t="shared" si="29"/>
        <v>1</v>
      </c>
      <c r="G162" s="164">
        <f t="shared" si="30"/>
        <v>0</v>
      </c>
      <c r="H162" s="163">
        <f t="shared" si="31"/>
        <v>0</v>
      </c>
      <c r="I162" s="164">
        <f t="shared" si="32"/>
        <v>1</v>
      </c>
      <c r="J162" s="163">
        <f t="shared" si="33"/>
        <v>0</v>
      </c>
      <c r="K162" s="164"/>
      <c r="L162" s="166">
        <f t="shared" si="35"/>
        <v>158</v>
      </c>
      <c r="M162" s="166">
        <f t="shared" si="34"/>
        <v>395</v>
      </c>
    </row>
    <row r="163" spans="1:13" ht="12.75" customHeight="1" x14ac:dyDescent="0.25">
      <c r="A163" s="168">
        <f t="shared" si="24"/>
        <v>432.5</v>
      </c>
      <c r="B163" s="163">
        <f t="shared" si="25"/>
        <v>2</v>
      </c>
      <c r="C163" s="164">
        <f t="shared" si="26"/>
        <v>0</v>
      </c>
      <c r="D163" s="163">
        <f t="shared" si="27"/>
        <v>0</v>
      </c>
      <c r="E163" s="164">
        <f t="shared" si="28"/>
        <v>4</v>
      </c>
      <c r="F163" s="163">
        <f t="shared" si="29"/>
        <v>1</v>
      </c>
      <c r="G163" s="164">
        <f t="shared" si="30"/>
        <v>0</v>
      </c>
      <c r="H163" s="163">
        <f t="shared" si="31"/>
        <v>0</v>
      </c>
      <c r="I163" s="164">
        <f t="shared" si="32"/>
        <v>1</v>
      </c>
      <c r="J163" s="163">
        <f t="shared" si="33"/>
        <v>1</v>
      </c>
      <c r="K163" s="164"/>
      <c r="L163" s="166">
        <f t="shared" si="35"/>
        <v>159</v>
      </c>
      <c r="M163" s="166">
        <f t="shared" si="34"/>
        <v>397.5</v>
      </c>
    </row>
    <row r="164" spans="1:13" ht="12.75" customHeight="1" x14ac:dyDescent="0.25">
      <c r="A164" s="168">
        <f t="shared" si="24"/>
        <v>435</v>
      </c>
      <c r="B164" s="163">
        <f t="shared" si="25"/>
        <v>2</v>
      </c>
      <c r="C164" s="164">
        <f t="shared" si="26"/>
        <v>0</v>
      </c>
      <c r="D164" s="163">
        <f t="shared" si="27"/>
        <v>0</v>
      </c>
      <c r="E164" s="164">
        <f t="shared" si="28"/>
        <v>5</v>
      </c>
      <c r="F164" s="163">
        <f t="shared" si="29"/>
        <v>0</v>
      </c>
      <c r="G164" s="164">
        <f t="shared" si="30"/>
        <v>0</v>
      </c>
      <c r="H164" s="163">
        <f t="shared" si="31"/>
        <v>0</v>
      </c>
      <c r="I164" s="164">
        <f t="shared" si="32"/>
        <v>0</v>
      </c>
      <c r="J164" s="163">
        <f t="shared" si="33"/>
        <v>0</v>
      </c>
      <c r="K164" s="164"/>
      <c r="L164" s="166">
        <f t="shared" si="35"/>
        <v>160</v>
      </c>
      <c r="M164" s="166">
        <f t="shared" si="34"/>
        <v>400</v>
      </c>
    </row>
    <row r="165" spans="1:13" ht="12.75" customHeight="1" x14ac:dyDescent="0.25">
      <c r="A165" s="168">
        <f t="shared" si="24"/>
        <v>437.5</v>
      </c>
      <c r="B165" s="163">
        <f t="shared" si="25"/>
        <v>2</v>
      </c>
      <c r="C165" s="164">
        <f t="shared" si="26"/>
        <v>0</v>
      </c>
      <c r="D165" s="163">
        <f t="shared" si="27"/>
        <v>0</v>
      </c>
      <c r="E165" s="164">
        <f t="shared" si="28"/>
        <v>5</v>
      </c>
      <c r="F165" s="163">
        <f t="shared" si="29"/>
        <v>0</v>
      </c>
      <c r="G165" s="164">
        <f t="shared" si="30"/>
        <v>0</v>
      </c>
      <c r="H165" s="163">
        <f t="shared" si="31"/>
        <v>0</v>
      </c>
      <c r="I165" s="164">
        <f t="shared" si="32"/>
        <v>0</v>
      </c>
      <c r="J165" s="163">
        <f t="shared" si="33"/>
        <v>1</v>
      </c>
      <c r="K165" s="164"/>
      <c r="L165" s="166">
        <f t="shared" si="35"/>
        <v>161</v>
      </c>
      <c r="M165" s="166">
        <f t="shared" si="34"/>
        <v>402.5</v>
      </c>
    </row>
    <row r="166" spans="1:13" ht="12.75" customHeight="1" x14ac:dyDescent="0.25">
      <c r="A166" s="168">
        <f t="shared" si="24"/>
        <v>440</v>
      </c>
      <c r="B166" s="163">
        <f t="shared" si="25"/>
        <v>2</v>
      </c>
      <c r="C166" s="164">
        <f t="shared" si="26"/>
        <v>0</v>
      </c>
      <c r="D166" s="163">
        <f t="shared" si="27"/>
        <v>0</v>
      </c>
      <c r="E166" s="164">
        <f t="shared" si="28"/>
        <v>5</v>
      </c>
      <c r="F166" s="163">
        <f t="shared" si="29"/>
        <v>0</v>
      </c>
      <c r="G166" s="164">
        <f t="shared" si="30"/>
        <v>0</v>
      </c>
      <c r="H166" s="163">
        <f t="shared" si="31"/>
        <v>0</v>
      </c>
      <c r="I166" s="164">
        <f t="shared" si="32"/>
        <v>1</v>
      </c>
      <c r="J166" s="163">
        <f t="shared" si="33"/>
        <v>0</v>
      </c>
      <c r="K166" s="164"/>
      <c r="L166" s="166">
        <f t="shared" si="35"/>
        <v>162</v>
      </c>
      <c r="M166" s="166">
        <f t="shared" si="34"/>
        <v>405</v>
      </c>
    </row>
    <row r="167" spans="1:13" ht="12.75" customHeight="1" x14ac:dyDescent="0.25">
      <c r="A167" s="168">
        <f t="shared" si="24"/>
        <v>442.5</v>
      </c>
      <c r="B167" s="163">
        <f t="shared" si="25"/>
        <v>2</v>
      </c>
      <c r="C167" s="164">
        <f t="shared" si="26"/>
        <v>0</v>
      </c>
      <c r="D167" s="163">
        <f t="shared" si="27"/>
        <v>0</v>
      </c>
      <c r="E167" s="164">
        <f t="shared" si="28"/>
        <v>5</v>
      </c>
      <c r="F167" s="163">
        <f t="shared" si="29"/>
        <v>0</v>
      </c>
      <c r="G167" s="164">
        <f t="shared" si="30"/>
        <v>0</v>
      </c>
      <c r="H167" s="163">
        <f t="shared" si="31"/>
        <v>0</v>
      </c>
      <c r="I167" s="164">
        <f t="shared" si="32"/>
        <v>1</v>
      </c>
      <c r="J167" s="163">
        <f t="shared" si="33"/>
        <v>1</v>
      </c>
      <c r="K167" s="164"/>
      <c r="L167" s="166">
        <f t="shared" si="35"/>
        <v>163</v>
      </c>
      <c r="M167" s="166">
        <f t="shared" si="34"/>
        <v>407.5</v>
      </c>
    </row>
    <row r="168" spans="1:13" ht="12.75" customHeight="1" x14ac:dyDescent="0.25">
      <c r="A168" s="168">
        <f t="shared" si="24"/>
        <v>445</v>
      </c>
      <c r="B168" s="163">
        <f t="shared" si="25"/>
        <v>2</v>
      </c>
      <c r="C168" s="164">
        <f t="shared" si="26"/>
        <v>0</v>
      </c>
      <c r="D168" s="163">
        <f t="shared" si="27"/>
        <v>0</v>
      </c>
      <c r="E168" s="164">
        <f t="shared" si="28"/>
        <v>5</v>
      </c>
      <c r="F168" s="163">
        <f t="shared" si="29"/>
        <v>0</v>
      </c>
      <c r="G168" s="164">
        <f t="shared" si="30"/>
        <v>0</v>
      </c>
      <c r="H168" s="163">
        <f t="shared" si="31"/>
        <v>1</v>
      </c>
      <c r="I168" s="164">
        <f t="shared" si="32"/>
        <v>0</v>
      </c>
      <c r="J168" s="163">
        <f t="shared" si="33"/>
        <v>0</v>
      </c>
      <c r="K168" s="164"/>
      <c r="L168" s="166">
        <f t="shared" si="35"/>
        <v>164</v>
      </c>
      <c r="M168" s="166">
        <f t="shared" si="34"/>
        <v>410</v>
      </c>
    </row>
    <row r="169" spans="1:13" ht="12.75" customHeight="1" x14ac:dyDescent="0.25">
      <c r="A169" s="168">
        <f t="shared" si="24"/>
        <v>447.5</v>
      </c>
      <c r="B169" s="163">
        <f t="shared" si="25"/>
        <v>2</v>
      </c>
      <c r="C169" s="164">
        <f t="shared" si="26"/>
        <v>0</v>
      </c>
      <c r="D169" s="163">
        <f t="shared" si="27"/>
        <v>0</v>
      </c>
      <c r="E169" s="164">
        <f t="shared" si="28"/>
        <v>5</v>
      </c>
      <c r="F169" s="163">
        <f t="shared" si="29"/>
        <v>0</v>
      </c>
      <c r="G169" s="164">
        <f t="shared" si="30"/>
        <v>0</v>
      </c>
      <c r="H169" s="163">
        <f t="shared" si="31"/>
        <v>1</v>
      </c>
      <c r="I169" s="164">
        <f t="shared" si="32"/>
        <v>0</v>
      </c>
      <c r="J169" s="163">
        <f t="shared" si="33"/>
        <v>1</v>
      </c>
      <c r="K169" s="164"/>
      <c r="L169" s="166">
        <f t="shared" si="35"/>
        <v>165</v>
      </c>
      <c r="M169" s="166">
        <f t="shared" si="34"/>
        <v>412.5</v>
      </c>
    </row>
    <row r="170" spans="1:13" ht="12.75" customHeight="1" x14ac:dyDescent="0.25">
      <c r="A170" s="168">
        <f t="shared" si="24"/>
        <v>450</v>
      </c>
      <c r="B170" s="163">
        <f t="shared" si="25"/>
        <v>2</v>
      </c>
      <c r="C170" s="164">
        <f t="shared" si="26"/>
        <v>0</v>
      </c>
      <c r="D170" s="163">
        <f t="shared" si="27"/>
        <v>0</v>
      </c>
      <c r="E170" s="164">
        <f t="shared" si="28"/>
        <v>5</v>
      </c>
      <c r="F170" s="163">
        <f t="shared" si="29"/>
        <v>0</v>
      </c>
      <c r="G170" s="164">
        <f t="shared" si="30"/>
        <v>0</v>
      </c>
      <c r="H170" s="163">
        <f t="shared" si="31"/>
        <v>1</v>
      </c>
      <c r="I170" s="164">
        <f t="shared" si="32"/>
        <v>1</v>
      </c>
      <c r="J170" s="163">
        <f t="shared" si="33"/>
        <v>0</v>
      </c>
      <c r="K170" s="164"/>
      <c r="L170" s="166">
        <f t="shared" si="35"/>
        <v>166</v>
      </c>
      <c r="M170" s="166">
        <f t="shared" si="34"/>
        <v>415</v>
      </c>
    </row>
    <row r="171" spans="1:13" ht="12.75" customHeight="1" x14ac:dyDescent="0.25">
      <c r="A171" s="168">
        <f t="shared" si="24"/>
        <v>452.5</v>
      </c>
      <c r="B171" s="163">
        <f t="shared" si="25"/>
        <v>2</v>
      </c>
      <c r="C171" s="164">
        <f t="shared" si="26"/>
        <v>0</v>
      </c>
      <c r="D171" s="163">
        <f t="shared" si="27"/>
        <v>0</v>
      </c>
      <c r="E171" s="164">
        <f t="shared" si="28"/>
        <v>5</v>
      </c>
      <c r="F171" s="163">
        <f t="shared" si="29"/>
        <v>0</v>
      </c>
      <c r="G171" s="164">
        <f t="shared" si="30"/>
        <v>0</v>
      </c>
      <c r="H171" s="163">
        <f t="shared" si="31"/>
        <v>1</v>
      </c>
      <c r="I171" s="164">
        <f t="shared" si="32"/>
        <v>1</v>
      </c>
      <c r="J171" s="163">
        <f t="shared" si="33"/>
        <v>1</v>
      </c>
      <c r="K171" s="164"/>
      <c r="L171" s="166">
        <f t="shared" si="35"/>
        <v>167</v>
      </c>
      <c r="M171" s="166">
        <f t="shared" si="34"/>
        <v>417.5</v>
      </c>
    </row>
    <row r="172" spans="1:13" ht="12.75" customHeight="1" x14ac:dyDescent="0.25">
      <c r="A172" s="168">
        <f t="shared" si="24"/>
        <v>455</v>
      </c>
      <c r="B172" s="163">
        <f t="shared" si="25"/>
        <v>2</v>
      </c>
      <c r="C172" s="164">
        <f t="shared" si="26"/>
        <v>0</v>
      </c>
      <c r="D172" s="163">
        <f t="shared" si="27"/>
        <v>0</v>
      </c>
      <c r="E172" s="164">
        <f t="shared" si="28"/>
        <v>5</v>
      </c>
      <c r="F172" s="163">
        <f t="shared" si="29"/>
        <v>0</v>
      </c>
      <c r="G172" s="164">
        <f t="shared" si="30"/>
        <v>1</v>
      </c>
      <c r="H172" s="163">
        <f t="shared" si="31"/>
        <v>0</v>
      </c>
      <c r="I172" s="164">
        <f t="shared" si="32"/>
        <v>0</v>
      </c>
      <c r="J172" s="163">
        <f t="shared" si="33"/>
        <v>0</v>
      </c>
      <c r="K172" s="164"/>
      <c r="L172" s="166">
        <f t="shared" si="35"/>
        <v>168</v>
      </c>
      <c r="M172" s="166">
        <f t="shared" si="34"/>
        <v>420</v>
      </c>
    </row>
    <row r="173" spans="1:13" ht="12.75" customHeight="1" x14ac:dyDescent="0.25">
      <c r="A173" s="168">
        <f t="shared" si="24"/>
        <v>457.5</v>
      </c>
      <c r="B173" s="163">
        <f t="shared" si="25"/>
        <v>2</v>
      </c>
      <c r="C173" s="164">
        <f t="shared" si="26"/>
        <v>0</v>
      </c>
      <c r="D173" s="163">
        <f t="shared" si="27"/>
        <v>0</v>
      </c>
      <c r="E173" s="164">
        <f t="shared" si="28"/>
        <v>5</v>
      </c>
      <c r="F173" s="163">
        <f t="shared" si="29"/>
        <v>0</v>
      </c>
      <c r="G173" s="164">
        <f t="shared" si="30"/>
        <v>1</v>
      </c>
      <c r="H173" s="163">
        <f t="shared" si="31"/>
        <v>0</v>
      </c>
      <c r="I173" s="164">
        <f t="shared" si="32"/>
        <v>0</v>
      </c>
      <c r="J173" s="163">
        <f t="shared" si="33"/>
        <v>1</v>
      </c>
      <c r="K173" s="164"/>
      <c r="L173" s="166">
        <f t="shared" si="35"/>
        <v>169</v>
      </c>
      <c r="M173" s="166">
        <f t="shared" si="34"/>
        <v>422.5</v>
      </c>
    </row>
    <row r="174" spans="1:13" ht="12.75" customHeight="1" x14ac:dyDescent="0.25">
      <c r="A174" s="168">
        <f t="shared" si="24"/>
        <v>460</v>
      </c>
      <c r="B174" s="163">
        <f t="shared" si="25"/>
        <v>2</v>
      </c>
      <c r="C174" s="164">
        <f t="shared" si="26"/>
        <v>0</v>
      </c>
      <c r="D174" s="163">
        <f t="shared" si="27"/>
        <v>0</v>
      </c>
      <c r="E174" s="164">
        <f t="shared" si="28"/>
        <v>5</v>
      </c>
      <c r="F174" s="163">
        <f t="shared" si="29"/>
        <v>0</v>
      </c>
      <c r="G174" s="164">
        <f t="shared" si="30"/>
        <v>1</v>
      </c>
      <c r="H174" s="163">
        <f t="shared" si="31"/>
        <v>0</v>
      </c>
      <c r="I174" s="164">
        <f t="shared" si="32"/>
        <v>1</v>
      </c>
      <c r="J174" s="163">
        <f t="shared" si="33"/>
        <v>0</v>
      </c>
      <c r="K174" s="164"/>
      <c r="L174" s="166">
        <f t="shared" si="35"/>
        <v>170</v>
      </c>
      <c r="M174" s="166">
        <f t="shared" si="34"/>
        <v>425</v>
      </c>
    </row>
    <row r="175" spans="1:13" ht="12.75" customHeight="1" x14ac:dyDescent="0.25">
      <c r="A175" s="168">
        <f t="shared" si="24"/>
        <v>462.5</v>
      </c>
      <c r="B175" s="163">
        <f t="shared" si="25"/>
        <v>2</v>
      </c>
      <c r="C175" s="164">
        <f t="shared" si="26"/>
        <v>0</v>
      </c>
      <c r="D175" s="163">
        <f t="shared" si="27"/>
        <v>0</v>
      </c>
      <c r="E175" s="164">
        <f t="shared" si="28"/>
        <v>5</v>
      </c>
      <c r="F175" s="163">
        <f t="shared" si="29"/>
        <v>0</v>
      </c>
      <c r="G175" s="164">
        <f t="shared" si="30"/>
        <v>1</v>
      </c>
      <c r="H175" s="163">
        <f t="shared" si="31"/>
        <v>0</v>
      </c>
      <c r="I175" s="164">
        <f t="shared" si="32"/>
        <v>1</v>
      </c>
      <c r="J175" s="163">
        <f t="shared" si="33"/>
        <v>1</v>
      </c>
      <c r="K175" s="164"/>
      <c r="L175" s="166">
        <f t="shared" si="35"/>
        <v>171</v>
      </c>
      <c r="M175" s="166">
        <f t="shared" si="34"/>
        <v>427.5</v>
      </c>
    </row>
    <row r="176" spans="1:13" ht="12.75" customHeight="1" x14ac:dyDescent="0.25">
      <c r="A176" s="168">
        <f t="shared" si="24"/>
        <v>465</v>
      </c>
      <c r="B176" s="163">
        <f t="shared" si="25"/>
        <v>2</v>
      </c>
      <c r="C176" s="164">
        <f t="shared" si="26"/>
        <v>0</v>
      </c>
      <c r="D176" s="163">
        <f t="shared" si="27"/>
        <v>0</v>
      </c>
      <c r="E176" s="164">
        <f t="shared" si="28"/>
        <v>5</v>
      </c>
      <c r="F176" s="163">
        <f t="shared" si="29"/>
        <v>1</v>
      </c>
      <c r="G176" s="164">
        <f t="shared" si="30"/>
        <v>0</v>
      </c>
      <c r="H176" s="163">
        <f t="shared" si="31"/>
        <v>0</v>
      </c>
      <c r="I176" s="164">
        <f t="shared" si="32"/>
        <v>0</v>
      </c>
      <c r="J176" s="163">
        <f t="shared" si="33"/>
        <v>0</v>
      </c>
      <c r="K176" s="164"/>
      <c r="L176" s="166">
        <f t="shared" si="35"/>
        <v>172</v>
      </c>
      <c r="M176" s="166">
        <f t="shared" si="34"/>
        <v>430</v>
      </c>
    </row>
    <row r="177" spans="1:13" ht="12.75" customHeight="1" x14ac:dyDescent="0.25">
      <c r="A177" s="168">
        <f t="shared" si="24"/>
        <v>467.5</v>
      </c>
      <c r="B177" s="163">
        <f t="shared" si="25"/>
        <v>2</v>
      </c>
      <c r="C177" s="164">
        <f t="shared" si="26"/>
        <v>0</v>
      </c>
      <c r="D177" s="163">
        <f t="shared" si="27"/>
        <v>0</v>
      </c>
      <c r="E177" s="164">
        <f t="shared" si="28"/>
        <v>5</v>
      </c>
      <c r="F177" s="163">
        <f t="shared" si="29"/>
        <v>1</v>
      </c>
      <c r="G177" s="164">
        <f t="shared" si="30"/>
        <v>0</v>
      </c>
      <c r="H177" s="163">
        <f t="shared" si="31"/>
        <v>0</v>
      </c>
      <c r="I177" s="164">
        <f t="shared" si="32"/>
        <v>0</v>
      </c>
      <c r="J177" s="163">
        <f t="shared" si="33"/>
        <v>1</v>
      </c>
      <c r="K177" s="164"/>
      <c r="L177" s="166">
        <f t="shared" si="35"/>
        <v>173</v>
      </c>
      <c r="M177" s="166">
        <f t="shared" si="34"/>
        <v>432.5</v>
      </c>
    </row>
    <row r="178" spans="1:13" ht="12.75" customHeight="1" x14ac:dyDescent="0.25">
      <c r="A178" s="168">
        <f t="shared" si="24"/>
        <v>470</v>
      </c>
      <c r="B178" s="163">
        <f t="shared" si="25"/>
        <v>2</v>
      </c>
      <c r="C178" s="164">
        <f t="shared" si="26"/>
        <v>0</v>
      </c>
      <c r="D178" s="163">
        <f t="shared" si="27"/>
        <v>0</v>
      </c>
      <c r="E178" s="164">
        <f t="shared" si="28"/>
        <v>5</v>
      </c>
      <c r="F178" s="163">
        <f t="shared" si="29"/>
        <v>1</v>
      </c>
      <c r="G178" s="164">
        <f t="shared" si="30"/>
        <v>0</v>
      </c>
      <c r="H178" s="163">
        <f t="shared" si="31"/>
        <v>0</v>
      </c>
      <c r="I178" s="164">
        <f t="shared" si="32"/>
        <v>1</v>
      </c>
      <c r="J178" s="163">
        <f t="shared" si="33"/>
        <v>0</v>
      </c>
      <c r="K178" s="164"/>
      <c r="L178" s="166">
        <f t="shared" si="35"/>
        <v>174</v>
      </c>
      <c r="M178" s="166">
        <f t="shared" si="34"/>
        <v>435</v>
      </c>
    </row>
    <row r="179" spans="1:13" ht="12.75" customHeight="1" x14ac:dyDescent="0.25">
      <c r="A179" s="168">
        <f t="shared" si="24"/>
        <v>472.5</v>
      </c>
      <c r="B179" s="163">
        <f t="shared" si="25"/>
        <v>2</v>
      </c>
      <c r="C179" s="164">
        <f t="shared" si="26"/>
        <v>0</v>
      </c>
      <c r="D179" s="163">
        <f t="shared" si="27"/>
        <v>0</v>
      </c>
      <c r="E179" s="164">
        <f t="shared" si="28"/>
        <v>5</v>
      </c>
      <c r="F179" s="163">
        <f t="shared" si="29"/>
        <v>1</v>
      </c>
      <c r="G179" s="164">
        <f t="shared" si="30"/>
        <v>0</v>
      </c>
      <c r="H179" s="163">
        <f t="shared" si="31"/>
        <v>0</v>
      </c>
      <c r="I179" s="164">
        <f t="shared" si="32"/>
        <v>1</v>
      </c>
      <c r="J179" s="163">
        <f t="shared" si="33"/>
        <v>1</v>
      </c>
      <c r="K179" s="164"/>
      <c r="L179" s="166">
        <f t="shared" si="35"/>
        <v>175</v>
      </c>
      <c r="M179" s="166">
        <f t="shared" si="34"/>
        <v>437.5</v>
      </c>
    </row>
    <row r="180" spans="1:13" ht="12.75" customHeight="1" x14ac:dyDescent="0.25">
      <c r="A180" s="168">
        <f t="shared" si="24"/>
        <v>475</v>
      </c>
      <c r="B180" s="163">
        <f t="shared" si="25"/>
        <v>2</v>
      </c>
      <c r="C180" s="164">
        <f t="shared" si="26"/>
        <v>0</v>
      </c>
      <c r="D180" s="163">
        <f t="shared" si="27"/>
        <v>0</v>
      </c>
      <c r="E180" s="164">
        <f t="shared" si="28"/>
        <v>6</v>
      </c>
      <c r="F180" s="163">
        <f t="shared" si="29"/>
        <v>0</v>
      </c>
      <c r="G180" s="164">
        <f t="shared" si="30"/>
        <v>0</v>
      </c>
      <c r="H180" s="163">
        <f t="shared" si="31"/>
        <v>0</v>
      </c>
      <c r="I180" s="164">
        <f t="shared" si="32"/>
        <v>0</v>
      </c>
      <c r="J180" s="163">
        <f t="shared" si="33"/>
        <v>0</v>
      </c>
      <c r="K180" s="164"/>
      <c r="L180" s="166">
        <f t="shared" si="35"/>
        <v>176</v>
      </c>
      <c r="M180" s="166">
        <f t="shared" si="34"/>
        <v>440</v>
      </c>
    </row>
    <row r="181" spans="1:13" ht="12.75" customHeight="1" x14ac:dyDescent="0.25">
      <c r="A181" s="168">
        <f t="shared" si="24"/>
        <v>477.5</v>
      </c>
      <c r="B181" s="163">
        <f t="shared" si="25"/>
        <v>2</v>
      </c>
      <c r="C181" s="164">
        <f t="shared" si="26"/>
        <v>0</v>
      </c>
      <c r="D181" s="163">
        <f t="shared" si="27"/>
        <v>0</v>
      </c>
      <c r="E181" s="164">
        <f t="shared" si="28"/>
        <v>6</v>
      </c>
      <c r="F181" s="163">
        <f t="shared" si="29"/>
        <v>0</v>
      </c>
      <c r="G181" s="164">
        <f t="shared" si="30"/>
        <v>0</v>
      </c>
      <c r="H181" s="163">
        <f t="shared" si="31"/>
        <v>0</v>
      </c>
      <c r="I181" s="164">
        <f t="shared" si="32"/>
        <v>0</v>
      </c>
      <c r="J181" s="163">
        <f t="shared" si="33"/>
        <v>1</v>
      </c>
      <c r="K181" s="164"/>
      <c r="L181" s="166">
        <f t="shared" si="35"/>
        <v>177</v>
      </c>
      <c r="M181" s="166">
        <f t="shared" si="34"/>
        <v>442.5</v>
      </c>
    </row>
    <row r="182" spans="1:13" ht="12.75" customHeight="1" x14ac:dyDescent="0.25">
      <c r="A182" s="168">
        <f t="shared" si="24"/>
        <v>480</v>
      </c>
      <c r="B182" s="163">
        <f t="shared" si="25"/>
        <v>2</v>
      </c>
      <c r="C182" s="164">
        <f t="shared" si="26"/>
        <v>0</v>
      </c>
      <c r="D182" s="163">
        <f t="shared" si="27"/>
        <v>0</v>
      </c>
      <c r="E182" s="164">
        <f t="shared" si="28"/>
        <v>6</v>
      </c>
      <c r="F182" s="163">
        <f t="shared" si="29"/>
        <v>0</v>
      </c>
      <c r="G182" s="164">
        <f t="shared" si="30"/>
        <v>0</v>
      </c>
      <c r="H182" s="163">
        <f t="shared" si="31"/>
        <v>0</v>
      </c>
      <c r="I182" s="164">
        <f t="shared" si="32"/>
        <v>1</v>
      </c>
      <c r="J182" s="163">
        <f t="shared" si="33"/>
        <v>0</v>
      </c>
      <c r="K182" s="164"/>
      <c r="L182" s="166">
        <f t="shared" si="35"/>
        <v>178</v>
      </c>
      <c r="M182" s="166">
        <f t="shared" si="34"/>
        <v>445</v>
      </c>
    </row>
    <row r="183" spans="1:13" ht="12.75" customHeight="1" x14ac:dyDescent="0.25">
      <c r="A183" s="168">
        <f t="shared" si="24"/>
        <v>482.5</v>
      </c>
      <c r="B183" s="163">
        <f t="shared" si="25"/>
        <v>2</v>
      </c>
      <c r="C183" s="164">
        <f t="shared" si="26"/>
        <v>0</v>
      </c>
      <c r="D183" s="163">
        <f t="shared" si="27"/>
        <v>0</v>
      </c>
      <c r="E183" s="164">
        <f t="shared" si="28"/>
        <v>6</v>
      </c>
      <c r="F183" s="163">
        <f t="shared" si="29"/>
        <v>0</v>
      </c>
      <c r="G183" s="164">
        <f t="shared" si="30"/>
        <v>0</v>
      </c>
      <c r="H183" s="163">
        <f t="shared" si="31"/>
        <v>0</v>
      </c>
      <c r="I183" s="164">
        <f t="shared" si="32"/>
        <v>1</v>
      </c>
      <c r="J183" s="163">
        <f t="shared" si="33"/>
        <v>1</v>
      </c>
      <c r="K183" s="164"/>
      <c r="L183" s="166">
        <f t="shared" si="35"/>
        <v>179</v>
      </c>
      <c r="M183" s="166">
        <f t="shared" si="34"/>
        <v>447.5</v>
      </c>
    </row>
    <row r="184" spans="1:13" ht="12.75" customHeight="1" x14ac:dyDescent="0.25">
      <c r="A184" s="168">
        <f t="shared" si="24"/>
        <v>485</v>
      </c>
      <c r="B184" s="163">
        <f t="shared" si="25"/>
        <v>2</v>
      </c>
      <c r="C184" s="164">
        <f t="shared" si="26"/>
        <v>0</v>
      </c>
      <c r="D184" s="163">
        <f t="shared" si="27"/>
        <v>0</v>
      </c>
      <c r="E184" s="164">
        <f t="shared" si="28"/>
        <v>6</v>
      </c>
      <c r="F184" s="163">
        <f t="shared" si="29"/>
        <v>0</v>
      </c>
      <c r="G184" s="164">
        <f t="shared" si="30"/>
        <v>0</v>
      </c>
      <c r="H184" s="163">
        <f t="shared" si="31"/>
        <v>1</v>
      </c>
      <c r="I184" s="164">
        <f t="shared" si="32"/>
        <v>0</v>
      </c>
      <c r="J184" s="163">
        <f t="shared" si="33"/>
        <v>0</v>
      </c>
      <c r="K184" s="164"/>
      <c r="L184" s="166">
        <f t="shared" si="35"/>
        <v>180</v>
      </c>
      <c r="M184" s="166">
        <f t="shared" si="34"/>
        <v>450</v>
      </c>
    </row>
    <row r="185" spans="1:13" ht="12.75" customHeight="1" x14ac:dyDescent="0.25">
      <c r="A185" s="168">
        <f t="shared" si="24"/>
        <v>487.5</v>
      </c>
      <c r="B185" s="163">
        <f t="shared" si="25"/>
        <v>2</v>
      </c>
      <c r="C185" s="164">
        <f t="shared" si="26"/>
        <v>0</v>
      </c>
      <c r="D185" s="163">
        <f t="shared" si="27"/>
        <v>0</v>
      </c>
      <c r="E185" s="164">
        <f t="shared" si="28"/>
        <v>6</v>
      </c>
      <c r="F185" s="163">
        <f t="shared" si="29"/>
        <v>0</v>
      </c>
      <c r="G185" s="164">
        <f t="shared" si="30"/>
        <v>0</v>
      </c>
      <c r="H185" s="163">
        <f t="shared" si="31"/>
        <v>1</v>
      </c>
      <c r="I185" s="164">
        <f t="shared" si="32"/>
        <v>0</v>
      </c>
      <c r="J185" s="163">
        <f t="shared" si="33"/>
        <v>1</v>
      </c>
      <c r="K185" s="164"/>
      <c r="L185" s="166">
        <f t="shared" si="35"/>
        <v>181</v>
      </c>
      <c r="M185" s="166">
        <f t="shared" si="34"/>
        <v>452.5</v>
      </c>
    </row>
    <row r="186" spans="1:13" ht="12.75" customHeight="1" x14ac:dyDescent="0.25">
      <c r="A186" s="168">
        <f t="shared" si="24"/>
        <v>490</v>
      </c>
      <c r="B186" s="163">
        <f t="shared" si="25"/>
        <v>2</v>
      </c>
      <c r="C186" s="164">
        <f t="shared" si="26"/>
        <v>0</v>
      </c>
      <c r="D186" s="163">
        <f t="shared" si="27"/>
        <v>0</v>
      </c>
      <c r="E186" s="164">
        <f t="shared" si="28"/>
        <v>6</v>
      </c>
      <c r="F186" s="163">
        <f t="shared" si="29"/>
        <v>0</v>
      </c>
      <c r="G186" s="164">
        <f t="shared" si="30"/>
        <v>0</v>
      </c>
      <c r="H186" s="163">
        <f t="shared" si="31"/>
        <v>1</v>
      </c>
      <c r="I186" s="164">
        <f t="shared" si="32"/>
        <v>1</v>
      </c>
      <c r="J186" s="163">
        <f t="shared" si="33"/>
        <v>0</v>
      </c>
      <c r="K186" s="164"/>
      <c r="L186" s="166">
        <f t="shared" si="35"/>
        <v>182</v>
      </c>
      <c r="M186" s="166">
        <f t="shared" si="34"/>
        <v>455</v>
      </c>
    </row>
    <row r="187" spans="1:13" ht="12.75" customHeight="1" x14ac:dyDescent="0.25">
      <c r="A187" s="168">
        <f t="shared" si="24"/>
        <v>492.5</v>
      </c>
      <c r="B187" s="163">
        <f t="shared" si="25"/>
        <v>2</v>
      </c>
      <c r="C187" s="164">
        <f t="shared" si="26"/>
        <v>0</v>
      </c>
      <c r="D187" s="163">
        <f t="shared" si="27"/>
        <v>0</v>
      </c>
      <c r="E187" s="164">
        <f t="shared" si="28"/>
        <v>6</v>
      </c>
      <c r="F187" s="163">
        <f t="shared" si="29"/>
        <v>0</v>
      </c>
      <c r="G187" s="164">
        <f t="shared" si="30"/>
        <v>0</v>
      </c>
      <c r="H187" s="163">
        <f t="shared" si="31"/>
        <v>1</v>
      </c>
      <c r="I187" s="164">
        <f t="shared" si="32"/>
        <v>1</v>
      </c>
      <c r="J187" s="163">
        <f t="shared" si="33"/>
        <v>1</v>
      </c>
      <c r="K187" s="164"/>
      <c r="L187" s="166">
        <f t="shared" si="35"/>
        <v>183</v>
      </c>
      <c r="M187" s="166">
        <f t="shared" si="34"/>
        <v>457.5</v>
      </c>
    </row>
    <row r="188" spans="1:13" ht="12.75" customHeight="1" x14ac:dyDescent="0.25">
      <c r="A188" s="168">
        <f t="shared" si="24"/>
        <v>495</v>
      </c>
      <c r="B188" s="163">
        <f t="shared" si="25"/>
        <v>2</v>
      </c>
      <c r="C188" s="164">
        <f t="shared" si="26"/>
        <v>0</v>
      </c>
      <c r="D188" s="163">
        <f t="shared" si="27"/>
        <v>0</v>
      </c>
      <c r="E188" s="164">
        <f t="shared" si="28"/>
        <v>6</v>
      </c>
      <c r="F188" s="163">
        <f t="shared" si="29"/>
        <v>0</v>
      </c>
      <c r="G188" s="164">
        <f t="shared" si="30"/>
        <v>1</v>
      </c>
      <c r="H188" s="163">
        <f t="shared" si="31"/>
        <v>0</v>
      </c>
      <c r="I188" s="164">
        <f t="shared" si="32"/>
        <v>0</v>
      </c>
      <c r="J188" s="163">
        <f t="shared" si="33"/>
        <v>0</v>
      </c>
      <c r="K188" s="164"/>
      <c r="L188" s="166">
        <f t="shared" si="35"/>
        <v>184</v>
      </c>
      <c r="M188" s="166">
        <f t="shared" si="34"/>
        <v>460</v>
      </c>
    </row>
    <row r="189" spans="1:13" ht="12.75" customHeight="1" x14ac:dyDescent="0.25">
      <c r="A189" s="168">
        <f t="shared" si="24"/>
        <v>497.5</v>
      </c>
      <c r="B189" s="163">
        <f t="shared" si="25"/>
        <v>2</v>
      </c>
      <c r="C189" s="164">
        <f t="shared" si="26"/>
        <v>0</v>
      </c>
      <c r="D189" s="163">
        <f t="shared" si="27"/>
        <v>0</v>
      </c>
      <c r="E189" s="164">
        <f t="shared" si="28"/>
        <v>6</v>
      </c>
      <c r="F189" s="163">
        <f t="shared" si="29"/>
        <v>0</v>
      </c>
      <c r="G189" s="164">
        <f t="shared" si="30"/>
        <v>1</v>
      </c>
      <c r="H189" s="163">
        <f t="shared" si="31"/>
        <v>0</v>
      </c>
      <c r="I189" s="164">
        <f t="shared" si="32"/>
        <v>0</v>
      </c>
      <c r="J189" s="163">
        <f t="shared" si="33"/>
        <v>1</v>
      </c>
      <c r="K189" s="164"/>
      <c r="L189" s="166">
        <f t="shared" si="35"/>
        <v>185</v>
      </c>
      <c r="M189" s="166">
        <f t="shared" si="34"/>
        <v>462.5</v>
      </c>
    </row>
    <row r="190" spans="1:13" ht="12.75" customHeight="1" x14ac:dyDescent="0.25">
      <c r="A190" s="168">
        <f t="shared" si="24"/>
        <v>500</v>
      </c>
      <c r="B190" s="163">
        <f t="shared" si="25"/>
        <v>2</v>
      </c>
      <c r="C190" s="164">
        <f t="shared" si="26"/>
        <v>0</v>
      </c>
      <c r="D190" s="163">
        <f t="shared" si="27"/>
        <v>0</v>
      </c>
      <c r="E190" s="164">
        <f t="shared" si="28"/>
        <v>6</v>
      </c>
      <c r="F190" s="163">
        <f t="shared" si="29"/>
        <v>0</v>
      </c>
      <c r="G190" s="164">
        <f t="shared" si="30"/>
        <v>1</v>
      </c>
      <c r="H190" s="163">
        <f t="shared" si="31"/>
        <v>0</v>
      </c>
      <c r="I190" s="164">
        <f t="shared" si="32"/>
        <v>1</v>
      </c>
      <c r="J190" s="163">
        <f t="shared" si="33"/>
        <v>0</v>
      </c>
      <c r="K190" s="164"/>
      <c r="L190" s="166">
        <f t="shared" si="35"/>
        <v>186</v>
      </c>
      <c r="M190" s="166">
        <f t="shared" si="34"/>
        <v>465</v>
      </c>
    </row>
    <row r="191" spans="1:13" ht="12.75" customHeight="1" x14ac:dyDescent="0.25">
      <c r="A191" s="168">
        <f t="shared" si="24"/>
        <v>502.5</v>
      </c>
      <c r="B191" s="163">
        <f t="shared" si="25"/>
        <v>2</v>
      </c>
      <c r="C191" s="164">
        <f t="shared" si="26"/>
        <v>0</v>
      </c>
      <c r="D191" s="163">
        <f t="shared" si="27"/>
        <v>0</v>
      </c>
      <c r="E191" s="164">
        <f t="shared" si="28"/>
        <v>6</v>
      </c>
      <c r="F191" s="163">
        <f t="shared" si="29"/>
        <v>0</v>
      </c>
      <c r="G191" s="164">
        <f t="shared" si="30"/>
        <v>1</v>
      </c>
      <c r="H191" s="163">
        <f t="shared" si="31"/>
        <v>0</v>
      </c>
      <c r="I191" s="164">
        <f t="shared" si="32"/>
        <v>1</v>
      </c>
      <c r="J191" s="163">
        <f t="shared" si="33"/>
        <v>1</v>
      </c>
      <c r="K191" s="164"/>
      <c r="L191" s="166">
        <f t="shared" si="35"/>
        <v>187</v>
      </c>
      <c r="M191" s="166">
        <f t="shared" si="34"/>
        <v>467.5</v>
      </c>
    </row>
    <row r="192" spans="1:13" ht="12.75" customHeight="1" x14ac:dyDescent="0.25">
      <c r="A192" s="168">
        <f t="shared" si="24"/>
        <v>505</v>
      </c>
      <c r="B192" s="163">
        <f t="shared" si="25"/>
        <v>2</v>
      </c>
      <c r="C192" s="164">
        <f t="shared" si="26"/>
        <v>0</v>
      </c>
      <c r="D192" s="163">
        <f t="shared" si="27"/>
        <v>0</v>
      </c>
      <c r="E192" s="164">
        <f t="shared" si="28"/>
        <v>6</v>
      </c>
      <c r="F192" s="163">
        <f t="shared" si="29"/>
        <v>1</v>
      </c>
      <c r="G192" s="164">
        <f t="shared" si="30"/>
        <v>0</v>
      </c>
      <c r="H192" s="163">
        <f t="shared" si="31"/>
        <v>0</v>
      </c>
      <c r="I192" s="164">
        <f t="shared" si="32"/>
        <v>0</v>
      </c>
      <c r="J192" s="163">
        <f t="shared" si="33"/>
        <v>0</v>
      </c>
      <c r="K192" s="164"/>
      <c r="L192" s="166">
        <f t="shared" si="35"/>
        <v>188</v>
      </c>
      <c r="M192" s="166">
        <f t="shared" si="34"/>
        <v>470</v>
      </c>
    </row>
    <row r="193" spans="1:13" ht="12.75" customHeight="1" x14ac:dyDescent="0.25">
      <c r="A193" s="168">
        <f t="shared" si="24"/>
        <v>507.5</v>
      </c>
      <c r="B193" s="163">
        <f t="shared" si="25"/>
        <v>2</v>
      </c>
      <c r="C193" s="164">
        <f t="shared" si="26"/>
        <v>0</v>
      </c>
      <c r="D193" s="163">
        <f t="shared" si="27"/>
        <v>0</v>
      </c>
      <c r="E193" s="164">
        <f t="shared" si="28"/>
        <v>6</v>
      </c>
      <c r="F193" s="163">
        <f t="shared" si="29"/>
        <v>1</v>
      </c>
      <c r="G193" s="164">
        <f t="shared" si="30"/>
        <v>0</v>
      </c>
      <c r="H193" s="163">
        <f t="shared" si="31"/>
        <v>0</v>
      </c>
      <c r="I193" s="164">
        <f t="shared" si="32"/>
        <v>0</v>
      </c>
      <c r="J193" s="163">
        <f t="shared" si="33"/>
        <v>1</v>
      </c>
      <c r="K193" s="164"/>
      <c r="L193" s="166">
        <f t="shared" si="35"/>
        <v>189</v>
      </c>
      <c r="M193" s="166">
        <f t="shared" si="34"/>
        <v>472.5</v>
      </c>
    </row>
    <row r="194" spans="1:13" ht="12.75" customHeight="1" x14ac:dyDescent="0.25">
      <c r="A194" s="168">
        <f t="shared" si="24"/>
        <v>510</v>
      </c>
      <c r="B194" s="163">
        <f t="shared" si="25"/>
        <v>2</v>
      </c>
      <c r="C194" s="164">
        <f t="shared" si="26"/>
        <v>0</v>
      </c>
      <c r="D194" s="163">
        <f t="shared" si="27"/>
        <v>0</v>
      </c>
      <c r="E194" s="164">
        <f t="shared" si="28"/>
        <v>6</v>
      </c>
      <c r="F194" s="163">
        <f t="shared" si="29"/>
        <v>1</v>
      </c>
      <c r="G194" s="164">
        <f t="shared" si="30"/>
        <v>0</v>
      </c>
      <c r="H194" s="163">
        <f t="shared" si="31"/>
        <v>0</v>
      </c>
      <c r="I194" s="164">
        <f t="shared" si="32"/>
        <v>1</v>
      </c>
      <c r="J194" s="163">
        <f t="shared" si="33"/>
        <v>0</v>
      </c>
      <c r="K194" s="164"/>
      <c r="L194" s="166">
        <f t="shared" si="35"/>
        <v>190</v>
      </c>
      <c r="M194" s="166">
        <f t="shared" si="34"/>
        <v>475</v>
      </c>
    </row>
    <row r="195" spans="1:13" ht="12.75" customHeight="1" x14ac:dyDescent="0.25">
      <c r="A195" s="168">
        <f t="shared" si="24"/>
        <v>512.5</v>
      </c>
      <c r="B195" s="163">
        <f t="shared" si="25"/>
        <v>2</v>
      </c>
      <c r="C195" s="164">
        <f t="shared" si="26"/>
        <v>0</v>
      </c>
      <c r="D195" s="163">
        <f t="shared" si="27"/>
        <v>0</v>
      </c>
      <c r="E195" s="164">
        <f t="shared" si="28"/>
        <v>6</v>
      </c>
      <c r="F195" s="163">
        <f t="shared" si="29"/>
        <v>1</v>
      </c>
      <c r="G195" s="164">
        <f t="shared" si="30"/>
        <v>0</v>
      </c>
      <c r="H195" s="163">
        <f t="shared" si="31"/>
        <v>0</v>
      </c>
      <c r="I195" s="164">
        <f t="shared" si="32"/>
        <v>1</v>
      </c>
      <c r="J195" s="163">
        <f t="shared" si="33"/>
        <v>1</v>
      </c>
      <c r="K195" s="164"/>
      <c r="L195" s="166">
        <f t="shared" si="35"/>
        <v>191</v>
      </c>
      <c r="M195" s="166">
        <f t="shared" si="34"/>
        <v>477.5</v>
      </c>
    </row>
    <row r="196" spans="1:13" ht="12.75" customHeight="1" x14ac:dyDescent="0.25">
      <c r="A196" s="168">
        <f t="shared" si="24"/>
        <v>515</v>
      </c>
      <c r="B196" s="163">
        <f t="shared" si="25"/>
        <v>2</v>
      </c>
      <c r="C196" s="164">
        <f t="shared" si="26"/>
        <v>0</v>
      </c>
      <c r="D196" s="163">
        <f t="shared" si="27"/>
        <v>0</v>
      </c>
      <c r="E196" s="164">
        <f t="shared" si="28"/>
        <v>7</v>
      </c>
      <c r="F196" s="163">
        <f t="shared" si="29"/>
        <v>0</v>
      </c>
      <c r="G196" s="164">
        <f t="shared" si="30"/>
        <v>0</v>
      </c>
      <c r="H196" s="163">
        <f t="shared" si="31"/>
        <v>0</v>
      </c>
      <c r="I196" s="164">
        <f t="shared" si="32"/>
        <v>0</v>
      </c>
      <c r="J196" s="163">
        <f t="shared" si="33"/>
        <v>0</v>
      </c>
      <c r="K196" s="164"/>
      <c r="L196" s="166">
        <f t="shared" si="35"/>
        <v>192</v>
      </c>
      <c r="M196" s="166">
        <f t="shared" si="34"/>
        <v>480</v>
      </c>
    </row>
    <row r="197" spans="1:13" ht="12.75" customHeight="1" x14ac:dyDescent="0.25">
      <c r="A197" s="168">
        <f t="shared" ref="A197:A260" si="36">IF(M197+$K$2&gt;$L$1,0,M197+$K$2)</f>
        <v>517.5</v>
      </c>
      <c r="B197" s="163">
        <f t="shared" ref="B197:B260" si="37">IF(A197=0,0,MIN($B$1/2,INT(M197/(2*$B$2))))</f>
        <v>2</v>
      </c>
      <c r="C197" s="164">
        <f t="shared" ref="C197:C260" si="38">IF(A197=0,0,MIN($C$1/2,INT(($M197-2*$B197*$B$2)/(2*$C$2))))</f>
        <v>0</v>
      </c>
      <c r="D197" s="163">
        <f t="shared" ref="D197:D260" si="39">IF(A197=0,0,MIN($D$1/2,INT(($M197-2*$B197*$B$2-2*$C197*$C$2)/(2*$D$2))))</f>
        <v>0</v>
      </c>
      <c r="E197" s="164">
        <f t="shared" ref="E197:E260" si="40">IF(A197=0,0,MIN($E$1/2,INT(($M197-2*$B197*$B$2-2*$C197*$C$2-2*$D197*$D$2)/(2*$E$2))))</f>
        <v>7</v>
      </c>
      <c r="F197" s="163">
        <f t="shared" ref="F197:F260" si="41">IF(A197=0,0,MIN($F$1/2,INT(($M197-2*$B197*$B$2-2*$C197*$C$2-2*$D197*$D$2-2*$E197*$E$2)/(2*$F$2))))</f>
        <v>0</v>
      </c>
      <c r="G197" s="164">
        <f t="shared" ref="G197:G260" si="42">IF(A197=0,0,MIN($G$1/2,INT(($M197-2*$B197*$B$2-2*$C197*$C$2-2*$D197*$D$2-2*$E197*$E$2-2*$F197*$F$2)/(2*$G$2))))</f>
        <v>0</v>
      </c>
      <c r="H197" s="163">
        <f t="shared" ref="H197:H260" si="43">IF(A197=0,0,MIN($H$1/2,INT(($M197-2*$B197*$B$2-2*$C197*$C$2-2*$D197*$D$2-2*$E197*$E$2-2*$F197*$F$2-2*$G197*$G$2)/(2*$H$2))))</f>
        <v>0</v>
      </c>
      <c r="I197" s="164">
        <f t="shared" ref="I197:I260" si="44">IF(A197=0,0,MIN($I$1/2,INT(($M197-2*$B197*$B$2-2*$C197*$C$2-2*$D197*$D$2-2*$E197*$E$2-2*$F197*$F$2-2*$G197*$G$2-2*$H197*$H$2)/(2*$I$2))))</f>
        <v>0</v>
      </c>
      <c r="J197" s="163">
        <f t="shared" ref="J197:J260" si="45">IF(A197=0,0,MIN($J$1/2,INT(($M197-2*$B197*$B$2-2*$C197*$C$2-2*$D197*$D$2-2*$E197*$E$2-2*$F197*$F$2-2*$G197*$G$2-2*$H197*$H$2-2*$I197*$I$2)/(2*$J$2))))</f>
        <v>1</v>
      </c>
      <c r="K197" s="164"/>
      <c r="L197" s="166">
        <f t="shared" si="35"/>
        <v>193</v>
      </c>
      <c r="M197" s="166">
        <f t="shared" ref="M197:M260" si="46">IF($A$2="Pounds",5*L197,2.5*L197)</f>
        <v>482.5</v>
      </c>
    </row>
    <row r="198" spans="1:13" ht="12.75" customHeight="1" x14ac:dyDescent="0.25">
      <c r="A198" s="168">
        <f t="shared" si="36"/>
        <v>520</v>
      </c>
      <c r="B198" s="163">
        <f t="shared" si="37"/>
        <v>2</v>
      </c>
      <c r="C198" s="164">
        <f t="shared" si="38"/>
        <v>0</v>
      </c>
      <c r="D198" s="163">
        <f t="shared" si="39"/>
        <v>0</v>
      </c>
      <c r="E198" s="164">
        <f t="shared" si="40"/>
        <v>7</v>
      </c>
      <c r="F198" s="163">
        <f t="shared" si="41"/>
        <v>0</v>
      </c>
      <c r="G198" s="164">
        <f t="shared" si="42"/>
        <v>0</v>
      </c>
      <c r="H198" s="163">
        <f t="shared" si="43"/>
        <v>0</v>
      </c>
      <c r="I198" s="164">
        <f t="shared" si="44"/>
        <v>1</v>
      </c>
      <c r="J198" s="163">
        <f t="shared" si="45"/>
        <v>0</v>
      </c>
      <c r="K198" s="164"/>
      <c r="L198" s="166">
        <f t="shared" si="35"/>
        <v>194</v>
      </c>
      <c r="M198" s="166">
        <f t="shared" si="46"/>
        <v>485</v>
      </c>
    </row>
    <row r="199" spans="1:13" ht="12.75" customHeight="1" x14ac:dyDescent="0.25">
      <c r="A199" s="168">
        <f t="shared" si="36"/>
        <v>522.5</v>
      </c>
      <c r="B199" s="163">
        <f t="shared" si="37"/>
        <v>2</v>
      </c>
      <c r="C199" s="164">
        <f t="shared" si="38"/>
        <v>0</v>
      </c>
      <c r="D199" s="163">
        <f t="shared" si="39"/>
        <v>0</v>
      </c>
      <c r="E199" s="164">
        <f t="shared" si="40"/>
        <v>7</v>
      </c>
      <c r="F199" s="163">
        <f t="shared" si="41"/>
        <v>0</v>
      </c>
      <c r="G199" s="164">
        <f t="shared" si="42"/>
        <v>0</v>
      </c>
      <c r="H199" s="163">
        <f t="shared" si="43"/>
        <v>0</v>
      </c>
      <c r="I199" s="164">
        <f t="shared" si="44"/>
        <v>1</v>
      </c>
      <c r="J199" s="163">
        <f t="shared" si="45"/>
        <v>1</v>
      </c>
      <c r="K199" s="164"/>
      <c r="L199" s="166">
        <f t="shared" si="35"/>
        <v>195</v>
      </c>
      <c r="M199" s="166">
        <f t="shared" si="46"/>
        <v>487.5</v>
      </c>
    </row>
    <row r="200" spans="1:13" ht="12.75" customHeight="1" x14ac:dyDescent="0.25">
      <c r="A200" s="168">
        <f t="shared" si="36"/>
        <v>525</v>
      </c>
      <c r="B200" s="163">
        <f t="shared" si="37"/>
        <v>2</v>
      </c>
      <c r="C200" s="164">
        <f t="shared" si="38"/>
        <v>0</v>
      </c>
      <c r="D200" s="163">
        <f t="shared" si="39"/>
        <v>0</v>
      </c>
      <c r="E200" s="164">
        <f t="shared" si="40"/>
        <v>7</v>
      </c>
      <c r="F200" s="163">
        <f t="shared" si="41"/>
        <v>0</v>
      </c>
      <c r="G200" s="164">
        <f t="shared" si="42"/>
        <v>0</v>
      </c>
      <c r="H200" s="163">
        <f t="shared" si="43"/>
        <v>1</v>
      </c>
      <c r="I200" s="164">
        <f t="shared" si="44"/>
        <v>0</v>
      </c>
      <c r="J200" s="163">
        <f t="shared" si="45"/>
        <v>0</v>
      </c>
      <c r="K200" s="164"/>
      <c r="L200" s="166">
        <f t="shared" si="35"/>
        <v>196</v>
      </c>
      <c r="M200" s="166">
        <f t="shared" si="46"/>
        <v>490</v>
      </c>
    </row>
    <row r="201" spans="1:13" ht="12.75" customHeight="1" x14ac:dyDescent="0.25">
      <c r="A201" s="168">
        <f t="shared" si="36"/>
        <v>527.5</v>
      </c>
      <c r="B201" s="163">
        <f t="shared" si="37"/>
        <v>2</v>
      </c>
      <c r="C201" s="164">
        <f t="shared" si="38"/>
        <v>0</v>
      </c>
      <c r="D201" s="163">
        <f t="shared" si="39"/>
        <v>0</v>
      </c>
      <c r="E201" s="164">
        <f t="shared" si="40"/>
        <v>7</v>
      </c>
      <c r="F201" s="163">
        <f t="shared" si="41"/>
        <v>0</v>
      </c>
      <c r="G201" s="164">
        <f t="shared" si="42"/>
        <v>0</v>
      </c>
      <c r="H201" s="163">
        <f t="shared" si="43"/>
        <v>1</v>
      </c>
      <c r="I201" s="164">
        <f t="shared" si="44"/>
        <v>0</v>
      </c>
      <c r="J201" s="163">
        <f t="shared" si="45"/>
        <v>1</v>
      </c>
      <c r="K201" s="164"/>
      <c r="L201" s="166">
        <f t="shared" si="35"/>
        <v>197</v>
      </c>
      <c r="M201" s="166">
        <f t="shared" si="46"/>
        <v>492.5</v>
      </c>
    </row>
    <row r="202" spans="1:13" ht="12.75" customHeight="1" x14ac:dyDescent="0.25">
      <c r="A202" s="168">
        <f t="shared" si="36"/>
        <v>530</v>
      </c>
      <c r="B202" s="163">
        <f t="shared" si="37"/>
        <v>2</v>
      </c>
      <c r="C202" s="164">
        <f t="shared" si="38"/>
        <v>0</v>
      </c>
      <c r="D202" s="163">
        <f t="shared" si="39"/>
        <v>0</v>
      </c>
      <c r="E202" s="164">
        <f t="shared" si="40"/>
        <v>7</v>
      </c>
      <c r="F202" s="163">
        <f t="shared" si="41"/>
        <v>0</v>
      </c>
      <c r="G202" s="164">
        <f t="shared" si="42"/>
        <v>0</v>
      </c>
      <c r="H202" s="163">
        <f t="shared" si="43"/>
        <v>1</v>
      </c>
      <c r="I202" s="164">
        <f t="shared" si="44"/>
        <v>1</v>
      </c>
      <c r="J202" s="163">
        <f t="shared" si="45"/>
        <v>0</v>
      </c>
      <c r="K202" s="164"/>
      <c r="L202" s="166">
        <f t="shared" si="35"/>
        <v>198</v>
      </c>
      <c r="M202" s="166">
        <f t="shared" si="46"/>
        <v>495</v>
      </c>
    </row>
    <row r="203" spans="1:13" ht="12.75" customHeight="1" x14ac:dyDescent="0.25">
      <c r="A203" s="168">
        <f t="shared" si="36"/>
        <v>532.5</v>
      </c>
      <c r="B203" s="163">
        <f t="shared" si="37"/>
        <v>2</v>
      </c>
      <c r="C203" s="164">
        <f t="shared" si="38"/>
        <v>0</v>
      </c>
      <c r="D203" s="163">
        <f t="shared" si="39"/>
        <v>0</v>
      </c>
      <c r="E203" s="164">
        <f t="shared" si="40"/>
        <v>7</v>
      </c>
      <c r="F203" s="163">
        <f t="shared" si="41"/>
        <v>0</v>
      </c>
      <c r="G203" s="164">
        <f t="shared" si="42"/>
        <v>0</v>
      </c>
      <c r="H203" s="163">
        <f t="shared" si="43"/>
        <v>1</v>
      </c>
      <c r="I203" s="164">
        <f t="shared" si="44"/>
        <v>1</v>
      </c>
      <c r="J203" s="163">
        <f t="shared" si="45"/>
        <v>1</v>
      </c>
      <c r="K203" s="164"/>
      <c r="L203" s="166">
        <f t="shared" si="35"/>
        <v>199</v>
      </c>
      <c r="M203" s="166">
        <f t="shared" si="46"/>
        <v>497.5</v>
      </c>
    </row>
    <row r="204" spans="1:13" ht="12.75" customHeight="1" x14ac:dyDescent="0.25">
      <c r="A204" s="168">
        <f t="shared" si="36"/>
        <v>535</v>
      </c>
      <c r="B204" s="163">
        <f t="shared" si="37"/>
        <v>2</v>
      </c>
      <c r="C204" s="164">
        <f t="shared" si="38"/>
        <v>0</v>
      </c>
      <c r="D204" s="163">
        <f t="shared" si="39"/>
        <v>0</v>
      </c>
      <c r="E204" s="164">
        <f t="shared" si="40"/>
        <v>7</v>
      </c>
      <c r="F204" s="163">
        <f t="shared" si="41"/>
        <v>0</v>
      </c>
      <c r="G204" s="164">
        <f t="shared" si="42"/>
        <v>1</v>
      </c>
      <c r="H204" s="163">
        <f t="shared" si="43"/>
        <v>0</v>
      </c>
      <c r="I204" s="164">
        <f t="shared" si="44"/>
        <v>0</v>
      </c>
      <c r="J204" s="163">
        <f t="shared" si="45"/>
        <v>0</v>
      </c>
      <c r="K204" s="164"/>
      <c r="L204" s="166">
        <f t="shared" si="35"/>
        <v>200</v>
      </c>
      <c r="M204" s="166">
        <f t="shared" si="46"/>
        <v>500</v>
      </c>
    </row>
    <row r="205" spans="1:13" ht="12.75" customHeight="1" x14ac:dyDescent="0.25">
      <c r="A205" s="168">
        <f t="shared" si="36"/>
        <v>537.5</v>
      </c>
      <c r="B205" s="163">
        <f t="shared" si="37"/>
        <v>2</v>
      </c>
      <c r="C205" s="164">
        <f t="shared" si="38"/>
        <v>0</v>
      </c>
      <c r="D205" s="163">
        <f t="shared" si="39"/>
        <v>0</v>
      </c>
      <c r="E205" s="164">
        <f t="shared" si="40"/>
        <v>7</v>
      </c>
      <c r="F205" s="163">
        <f t="shared" si="41"/>
        <v>0</v>
      </c>
      <c r="G205" s="164">
        <f t="shared" si="42"/>
        <v>1</v>
      </c>
      <c r="H205" s="163">
        <f t="shared" si="43"/>
        <v>0</v>
      </c>
      <c r="I205" s="164">
        <f t="shared" si="44"/>
        <v>0</v>
      </c>
      <c r="J205" s="163">
        <f t="shared" si="45"/>
        <v>1</v>
      </c>
      <c r="K205" s="164"/>
      <c r="L205" s="166">
        <f t="shared" ref="L205:L260" si="47">L204+1</f>
        <v>201</v>
      </c>
      <c r="M205" s="166">
        <f t="shared" si="46"/>
        <v>502.5</v>
      </c>
    </row>
    <row r="206" spans="1:13" ht="12.75" customHeight="1" x14ac:dyDescent="0.25">
      <c r="A206" s="168">
        <f t="shared" si="36"/>
        <v>540</v>
      </c>
      <c r="B206" s="163">
        <f t="shared" si="37"/>
        <v>2</v>
      </c>
      <c r="C206" s="164">
        <f t="shared" si="38"/>
        <v>0</v>
      </c>
      <c r="D206" s="163">
        <f t="shared" si="39"/>
        <v>0</v>
      </c>
      <c r="E206" s="164">
        <f t="shared" si="40"/>
        <v>7</v>
      </c>
      <c r="F206" s="163">
        <f t="shared" si="41"/>
        <v>0</v>
      </c>
      <c r="G206" s="164">
        <f t="shared" si="42"/>
        <v>1</v>
      </c>
      <c r="H206" s="163">
        <f t="shared" si="43"/>
        <v>0</v>
      </c>
      <c r="I206" s="164">
        <f t="shared" si="44"/>
        <v>1</v>
      </c>
      <c r="J206" s="163">
        <f t="shared" si="45"/>
        <v>0</v>
      </c>
      <c r="K206" s="164"/>
      <c r="L206" s="166">
        <f t="shared" si="47"/>
        <v>202</v>
      </c>
      <c r="M206" s="166">
        <f t="shared" si="46"/>
        <v>505</v>
      </c>
    </row>
    <row r="207" spans="1:13" ht="12.75" customHeight="1" x14ac:dyDescent="0.25">
      <c r="A207" s="168">
        <f t="shared" si="36"/>
        <v>542.5</v>
      </c>
      <c r="B207" s="163">
        <f t="shared" si="37"/>
        <v>2</v>
      </c>
      <c r="C207" s="164">
        <f t="shared" si="38"/>
        <v>0</v>
      </c>
      <c r="D207" s="163">
        <f t="shared" si="39"/>
        <v>0</v>
      </c>
      <c r="E207" s="164">
        <f t="shared" si="40"/>
        <v>7</v>
      </c>
      <c r="F207" s="163">
        <f t="shared" si="41"/>
        <v>0</v>
      </c>
      <c r="G207" s="164">
        <f t="shared" si="42"/>
        <v>1</v>
      </c>
      <c r="H207" s="163">
        <f t="shared" si="43"/>
        <v>0</v>
      </c>
      <c r="I207" s="164">
        <f t="shared" si="44"/>
        <v>1</v>
      </c>
      <c r="J207" s="163">
        <f t="shared" si="45"/>
        <v>1</v>
      </c>
      <c r="K207" s="164"/>
      <c r="L207" s="166">
        <f t="shared" si="47"/>
        <v>203</v>
      </c>
      <c r="M207" s="166">
        <f t="shared" si="46"/>
        <v>507.5</v>
      </c>
    </row>
    <row r="208" spans="1:13" ht="12.75" customHeight="1" x14ac:dyDescent="0.25">
      <c r="A208" s="168">
        <f t="shared" si="36"/>
        <v>545</v>
      </c>
      <c r="B208" s="163">
        <f t="shared" si="37"/>
        <v>2</v>
      </c>
      <c r="C208" s="164">
        <f t="shared" si="38"/>
        <v>0</v>
      </c>
      <c r="D208" s="163">
        <f t="shared" si="39"/>
        <v>0</v>
      </c>
      <c r="E208" s="164">
        <f t="shared" si="40"/>
        <v>7</v>
      </c>
      <c r="F208" s="163">
        <f t="shared" si="41"/>
        <v>1</v>
      </c>
      <c r="G208" s="164">
        <f t="shared" si="42"/>
        <v>0</v>
      </c>
      <c r="H208" s="163">
        <f t="shared" si="43"/>
        <v>0</v>
      </c>
      <c r="I208" s="164">
        <f t="shared" si="44"/>
        <v>0</v>
      </c>
      <c r="J208" s="163">
        <f t="shared" si="45"/>
        <v>0</v>
      </c>
      <c r="K208" s="164"/>
      <c r="L208" s="166">
        <f t="shared" si="47"/>
        <v>204</v>
      </c>
      <c r="M208" s="166">
        <f t="shared" si="46"/>
        <v>510</v>
      </c>
    </row>
    <row r="209" spans="1:13" ht="12.75" customHeight="1" x14ac:dyDescent="0.25">
      <c r="A209" s="168">
        <f t="shared" si="36"/>
        <v>547.5</v>
      </c>
      <c r="B209" s="163">
        <f t="shared" si="37"/>
        <v>2</v>
      </c>
      <c r="C209" s="164">
        <f t="shared" si="38"/>
        <v>0</v>
      </c>
      <c r="D209" s="163">
        <f t="shared" si="39"/>
        <v>0</v>
      </c>
      <c r="E209" s="164">
        <f t="shared" si="40"/>
        <v>7</v>
      </c>
      <c r="F209" s="163">
        <f t="shared" si="41"/>
        <v>1</v>
      </c>
      <c r="G209" s="164">
        <f t="shared" si="42"/>
        <v>0</v>
      </c>
      <c r="H209" s="163">
        <f t="shared" si="43"/>
        <v>0</v>
      </c>
      <c r="I209" s="164">
        <f t="shared" si="44"/>
        <v>0</v>
      </c>
      <c r="J209" s="163">
        <f t="shared" si="45"/>
        <v>1</v>
      </c>
      <c r="K209" s="164"/>
      <c r="L209" s="166">
        <f t="shared" si="47"/>
        <v>205</v>
      </c>
      <c r="M209" s="166">
        <f t="shared" si="46"/>
        <v>512.5</v>
      </c>
    </row>
    <row r="210" spans="1:13" ht="12.75" customHeight="1" x14ac:dyDescent="0.25">
      <c r="A210" s="168">
        <f t="shared" si="36"/>
        <v>550</v>
      </c>
      <c r="B210" s="163">
        <f t="shared" si="37"/>
        <v>2</v>
      </c>
      <c r="C210" s="164">
        <f t="shared" si="38"/>
        <v>0</v>
      </c>
      <c r="D210" s="163">
        <f t="shared" si="39"/>
        <v>0</v>
      </c>
      <c r="E210" s="164">
        <f t="shared" si="40"/>
        <v>7</v>
      </c>
      <c r="F210" s="163">
        <f t="shared" si="41"/>
        <v>1</v>
      </c>
      <c r="G210" s="164">
        <f t="shared" si="42"/>
        <v>0</v>
      </c>
      <c r="H210" s="163">
        <f t="shared" si="43"/>
        <v>0</v>
      </c>
      <c r="I210" s="164">
        <f t="shared" si="44"/>
        <v>1</v>
      </c>
      <c r="J210" s="163">
        <f t="shared" si="45"/>
        <v>0</v>
      </c>
      <c r="K210" s="164"/>
      <c r="L210" s="166">
        <f t="shared" si="47"/>
        <v>206</v>
      </c>
      <c r="M210" s="166">
        <f t="shared" si="46"/>
        <v>515</v>
      </c>
    </row>
    <row r="211" spans="1:13" ht="12.75" customHeight="1" x14ac:dyDescent="0.25">
      <c r="A211" s="168">
        <f t="shared" si="36"/>
        <v>552.5</v>
      </c>
      <c r="B211" s="163">
        <f t="shared" si="37"/>
        <v>2</v>
      </c>
      <c r="C211" s="164">
        <f t="shared" si="38"/>
        <v>0</v>
      </c>
      <c r="D211" s="163">
        <f t="shared" si="39"/>
        <v>0</v>
      </c>
      <c r="E211" s="164">
        <f t="shared" si="40"/>
        <v>7</v>
      </c>
      <c r="F211" s="163">
        <f t="shared" si="41"/>
        <v>1</v>
      </c>
      <c r="G211" s="164">
        <f t="shared" si="42"/>
        <v>0</v>
      </c>
      <c r="H211" s="163">
        <f t="shared" si="43"/>
        <v>0</v>
      </c>
      <c r="I211" s="164">
        <f t="shared" si="44"/>
        <v>1</v>
      </c>
      <c r="J211" s="163">
        <f t="shared" si="45"/>
        <v>1</v>
      </c>
      <c r="K211" s="164"/>
      <c r="L211" s="166">
        <f t="shared" si="47"/>
        <v>207</v>
      </c>
      <c r="M211" s="166">
        <f t="shared" si="46"/>
        <v>517.5</v>
      </c>
    </row>
    <row r="212" spans="1:13" ht="12.75" customHeight="1" x14ac:dyDescent="0.25">
      <c r="A212" s="168">
        <f t="shared" si="36"/>
        <v>555</v>
      </c>
      <c r="B212" s="163">
        <f t="shared" si="37"/>
        <v>2</v>
      </c>
      <c r="C212" s="164">
        <f t="shared" si="38"/>
        <v>0</v>
      </c>
      <c r="D212" s="163">
        <f t="shared" si="39"/>
        <v>0</v>
      </c>
      <c r="E212" s="164">
        <f t="shared" si="40"/>
        <v>8</v>
      </c>
      <c r="F212" s="163">
        <f t="shared" si="41"/>
        <v>0</v>
      </c>
      <c r="G212" s="164">
        <f t="shared" si="42"/>
        <v>0</v>
      </c>
      <c r="H212" s="163">
        <f t="shared" si="43"/>
        <v>0</v>
      </c>
      <c r="I212" s="164">
        <f t="shared" si="44"/>
        <v>0</v>
      </c>
      <c r="J212" s="163">
        <f t="shared" si="45"/>
        <v>0</v>
      </c>
      <c r="K212" s="164"/>
      <c r="L212" s="166">
        <f t="shared" si="47"/>
        <v>208</v>
      </c>
      <c r="M212" s="166">
        <f t="shared" si="46"/>
        <v>520</v>
      </c>
    </row>
    <row r="213" spans="1:13" ht="12.75" customHeight="1" x14ac:dyDescent="0.25">
      <c r="A213" s="168">
        <f t="shared" si="36"/>
        <v>557.5</v>
      </c>
      <c r="B213" s="163">
        <f t="shared" si="37"/>
        <v>2</v>
      </c>
      <c r="C213" s="164">
        <f t="shared" si="38"/>
        <v>0</v>
      </c>
      <c r="D213" s="163">
        <f t="shared" si="39"/>
        <v>0</v>
      </c>
      <c r="E213" s="164">
        <f t="shared" si="40"/>
        <v>8</v>
      </c>
      <c r="F213" s="163">
        <f t="shared" si="41"/>
        <v>0</v>
      </c>
      <c r="G213" s="164">
        <f t="shared" si="42"/>
        <v>0</v>
      </c>
      <c r="H213" s="163">
        <f t="shared" si="43"/>
        <v>0</v>
      </c>
      <c r="I213" s="164">
        <f t="shared" si="44"/>
        <v>0</v>
      </c>
      <c r="J213" s="163">
        <f t="shared" si="45"/>
        <v>1</v>
      </c>
      <c r="K213" s="164"/>
      <c r="L213" s="166">
        <f t="shared" si="47"/>
        <v>209</v>
      </c>
      <c r="M213" s="166">
        <f t="shared" si="46"/>
        <v>522.5</v>
      </c>
    </row>
    <row r="214" spans="1:13" ht="12.75" customHeight="1" x14ac:dyDescent="0.25">
      <c r="A214" s="168">
        <f t="shared" si="36"/>
        <v>560</v>
      </c>
      <c r="B214" s="163">
        <f t="shared" si="37"/>
        <v>2</v>
      </c>
      <c r="C214" s="164">
        <f t="shared" si="38"/>
        <v>0</v>
      </c>
      <c r="D214" s="163">
        <f t="shared" si="39"/>
        <v>0</v>
      </c>
      <c r="E214" s="164">
        <f t="shared" si="40"/>
        <v>8</v>
      </c>
      <c r="F214" s="163">
        <f t="shared" si="41"/>
        <v>0</v>
      </c>
      <c r="G214" s="164">
        <f t="shared" si="42"/>
        <v>0</v>
      </c>
      <c r="H214" s="163">
        <f t="shared" si="43"/>
        <v>0</v>
      </c>
      <c r="I214" s="164">
        <f t="shared" si="44"/>
        <v>1</v>
      </c>
      <c r="J214" s="163">
        <f t="shared" si="45"/>
        <v>0</v>
      </c>
      <c r="K214" s="164"/>
      <c r="L214" s="166">
        <f t="shared" si="47"/>
        <v>210</v>
      </c>
      <c r="M214" s="166">
        <f t="shared" si="46"/>
        <v>525</v>
      </c>
    </row>
    <row r="215" spans="1:13" ht="12.75" customHeight="1" x14ac:dyDescent="0.25">
      <c r="A215" s="168">
        <f t="shared" si="36"/>
        <v>562.5</v>
      </c>
      <c r="B215" s="163">
        <f t="shared" si="37"/>
        <v>2</v>
      </c>
      <c r="C215" s="164">
        <f t="shared" si="38"/>
        <v>0</v>
      </c>
      <c r="D215" s="163">
        <f t="shared" si="39"/>
        <v>0</v>
      </c>
      <c r="E215" s="164">
        <f t="shared" si="40"/>
        <v>8</v>
      </c>
      <c r="F215" s="163">
        <f t="shared" si="41"/>
        <v>0</v>
      </c>
      <c r="G215" s="164">
        <f t="shared" si="42"/>
        <v>0</v>
      </c>
      <c r="H215" s="163">
        <f t="shared" si="43"/>
        <v>0</v>
      </c>
      <c r="I215" s="164">
        <f t="shared" si="44"/>
        <v>1</v>
      </c>
      <c r="J215" s="163">
        <f t="shared" si="45"/>
        <v>1</v>
      </c>
      <c r="K215" s="164"/>
      <c r="L215" s="166">
        <f t="shared" si="47"/>
        <v>211</v>
      </c>
      <c r="M215" s="166">
        <f t="shared" si="46"/>
        <v>527.5</v>
      </c>
    </row>
    <row r="216" spans="1:13" ht="12.75" customHeight="1" x14ac:dyDescent="0.25">
      <c r="A216" s="168">
        <f t="shared" si="36"/>
        <v>565</v>
      </c>
      <c r="B216" s="163">
        <f t="shared" si="37"/>
        <v>2</v>
      </c>
      <c r="C216" s="164">
        <f t="shared" si="38"/>
        <v>0</v>
      </c>
      <c r="D216" s="163">
        <f t="shared" si="39"/>
        <v>0</v>
      </c>
      <c r="E216" s="164">
        <f t="shared" si="40"/>
        <v>8</v>
      </c>
      <c r="F216" s="163">
        <f t="shared" si="41"/>
        <v>0</v>
      </c>
      <c r="G216" s="164">
        <f t="shared" si="42"/>
        <v>0</v>
      </c>
      <c r="H216" s="163">
        <f t="shared" si="43"/>
        <v>1</v>
      </c>
      <c r="I216" s="164">
        <f t="shared" si="44"/>
        <v>0</v>
      </c>
      <c r="J216" s="163">
        <f t="shared" si="45"/>
        <v>0</v>
      </c>
      <c r="K216" s="164"/>
      <c r="L216" s="166">
        <f t="shared" si="47"/>
        <v>212</v>
      </c>
      <c r="M216" s="166">
        <f t="shared" si="46"/>
        <v>530</v>
      </c>
    </row>
    <row r="217" spans="1:13" ht="12.75" customHeight="1" x14ac:dyDescent="0.25">
      <c r="A217" s="168">
        <f t="shared" si="36"/>
        <v>567.5</v>
      </c>
      <c r="B217" s="163">
        <f t="shared" si="37"/>
        <v>2</v>
      </c>
      <c r="C217" s="164">
        <f t="shared" si="38"/>
        <v>0</v>
      </c>
      <c r="D217" s="163">
        <f t="shared" si="39"/>
        <v>0</v>
      </c>
      <c r="E217" s="164">
        <f t="shared" si="40"/>
        <v>8</v>
      </c>
      <c r="F217" s="163">
        <f t="shared" si="41"/>
        <v>0</v>
      </c>
      <c r="G217" s="164">
        <f t="shared" si="42"/>
        <v>0</v>
      </c>
      <c r="H217" s="163">
        <f t="shared" si="43"/>
        <v>1</v>
      </c>
      <c r="I217" s="164">
        <f t="shared" si="44"/>
        <v>0</v>
      </c>
      <c r="J217" s="163">
        <f t="shared" si="45"/>
        <v>1</v>
      </c>
      <c r="K217" s="164"/>
      <c r="L217" s="166">
        <f t="shared" si="47"/>
        <v>213</v>
      </c>
      <c r="M217" s="166">
        <f t="shared" si="46"/>
        <v>532.5</v>
      </c>
    </row>
    <row r="218" spans="1:13" ht="12.75" customHeight="1" x14ac:dyDescent="0.25">
      <c r="A218" s="168">
        <f t="shared" si="36"/>
        <v>570</v>
      </c>
      <c r="B218" s="163">
        <f t="shared" si="37"/>
        <v>2</v>
      </c>
      <c r="C218" s="164">
        <f t="shared" si="38"/>
        <v>0</v>
      </c>
      <c r="D218" s="163">
        <f t="shared" si="39"/>
        <v>0</v>
      </c>
      <c r="E218" s="164">
        <f t="shared" si="40"/>
        <v>8</v>
      </c>
      <c r="F218" s="163">
        <f t="shared" si="41"/>
        <v>0</v>
      </c>
      <c r="G218" s="164">
        <f t="shared" si="42"/>
        <v>0</v>
      </c>
      <c r="H218" s="163">
        <f t="shared" si="43"/>
        <v>1</v>
      </c>
      <c r="I218" s="164">
        <f t="shared" si="44"/>
        <v>1</v>
      </c>
      <c r="J218" s="163">
        <f t="shared" si="45"/>
        <v>0</v>
      </c>
      <c r="K218" s="164"/>
      <c r="L218" s="166">
        <f t="shared" si="47"/>
        <v>214</v>
      </c>
      <c r="M218" s="166">
        <f t="shared" si="46"/>
        <v>535</v>
      </c>
    </row>
    <row r="219" spans="1:13" ht="12.75" customHeight="1" x14ac:dyDescent="0.25">
      <c r="A219" s="168">
        <f t="shared" si="36"/>
        <v>572.5</v>
      </c>
      <c r="B219" s="163">
        <f t="shared" si="37"/>
        <v>2</v>
      </c>
      <c r="C219" s="164">
        <f t="shared" si="38"/>
        <v>0</v>
      </c>
      <c r="D219" s="163">
        <f t="shared" si="39"/>
        <v>0</v>
      </c>
      <c r="E219" s="164">
        <f t="shared" si="40"/>
        <v>8</v>
      </c>
      <c r="F219" s="163">
        <f t="shared" si="41"/>
        <v>0</v>
      </c>
      <c r="G219" s="164">
        <f t="shared" si="42"/>
        <v>0</v>
      </c>
      <c r="H219" s="163">
        <f t="shared" si="43"/>
        <v>1</v>
      </c>
      <c r="I219" s="164">
        <f t="shared" si="44"/>
        <v>1</v>
      </c>
      <c r="J219" s="163">
        <f t="shared" si="45"/>
        <v>1</v>
      </c>
      <c r="K219" s="164"/>
      <c r="L219" s="166">
        <f t="shared" si="47"/>
        <v>215</v>
      </c>
      <c r="M219" s="166">
        <f t="shared" si="46"/>
        <v>537.5</v>
      </c>
    </row>
    <row r="220" spans="1:13" ht="12.75" customHeight="1" x14ac:dyDescent="0.25">
      <c r="A220" s="168">
        <f t="shared" si="36"/>
        <v>575</v>
      </c>
      <c r="B220" s="163">
        <f t="shared" si="37"/>
        <v>2</v>
      </c>
      <c r="C220" s="164">
        <f t="shared" si="38"/>
        <v>0</v>
      </c>
      <c r="D220" s="163">
        <f t="shared" si="39"/>
        <v>0</v>
      </c>
      <c r="E220" s="164">
        <f t="shared" si="40"/>
        <v>8</v>
      </c>
      <c r="F220" s="163">
        <f t="shared" si="41"/>
        <v>0</v>
      </c>
      <c r="G220" s="164">
        <f t="shared" si="42"/>
        <v>1</v>
      </c>
      <c r="H220" s="163">
        <f t="shared" si="43"/>
        <v>0</v>
      </c>
      <c r="I220" s="164">
        <f t="shared" si="44"/>
        <v>0</v>
      </c>
      <c r="J220" s="163">
        <f t="shared" si="45"/>
        <v>0</v>
      </c>
      <c r="K220" s="164"/>
      <c r="L220" s="166">
        <f t="shared" si="47"/>
        <v>216</v>
      </c>
      <c r="M220" s="166">
        <f t="shared" si="46"/>
        <v>540</v>
      </c>
    </row>
    <row r="221" spans="1:13" ht="12.75" customHeight="1" x14ac:dyDescent="0.25">
      <c r="A221" s="168">
        <f t="shared" si="36"/>
        <v>577.5</v>
      </c>
      <c r="B221" s="163">
        <f t="shared" si="37"/>
        <v>2</v>
      </c>
      <c r="C221" s="164">
        <f t="shared" si="38"/>
        <v>0</v>
      </c>
      <c r="D221" s="163">
        <f t="shared" si="39"/>
        <v>0</v>
      </c>
      <c r="E221" s="164">
        <f t="shared" si="40"/>
        <v>8</v>
      </c>
      <c r="F221" s="163">
        <f t="shared" si="41"/>
        <v>0</v>
      </c>
      <c r="G221" s="164">
        <f t="shared" si="42"/>
        <v>1</v>
      </c>
      <c r="H221" s="163">
        <f t="shared" si="43"/>
        <v>0</v>
      </c>
      <c r="I221" s="164">
        <f t="shared" si="44"/>
        <v>0</v>
      </c>
      <c r="J221" s="163">
        <f t="shared" si="45"/>
        <v>1</v>
      </c>
      <c r="K221" s="164"/>
      <c r="L221" s="166">
        <f t="shared" si="47"/>
        <v>217</v>
      </c>
      <c r="M221" s="166">
        <f t="shared" si="46"/>
        <v>542.5</v>
      </c>
    </row>
    <row r="222" spans="1:13" ht="12.75" customHeight="1" x14ac:dyDescent="0.25">
      <c r="A222" s="168">
        <f t="shared" si="36"/>
        <v>580</v>
      </c>
      <c r="B222" s="163">
        <f t="shared" si="37"/>
        <v>2</v>
      </c>
      <c r="C222" s="164">
        <f t="shared" si="38"/>
        <v>0</v>
      </c>
      <c r="D222" s="163">
        <f t="shared" si="39"/>
        <v>0</v>
      </c>
      <c r="E222" s="164">
        <f t="shared" si="40"/>
        <v>8</v>
      </c>
      <c r="F222" s="163">
        <f t="shared" si="41"/>
        <v>0</v>
      </c>
      <c r="G222" s="164">
        <f t="shared" si="42"/>
        <v>1</v>
      </c>
      <c r="H222" s="163">
        <f t="shared" si="43"/>
        <v>0</v>
      </c>
      <c r="I222" s="164">
        <f t="shared" si="44"/>
        <v>1</v>
      </c>
      <c r="J222" s="163">
        <f t="shared" si="45"/>
        <v>0</v>
      </c>
      <c r="K222" s="164"/>
      <c r="L222" s="166">
        <f t="shared" si="47"/>
        <v>218</v>
      </c>
      <c r="M222" s="166">
        <f t="shared" si="46"/>
        <v>545</v>
      </c>
    </row>
    <row r="223" spans="1:13" ht="12.75" customHeight="1" x14ac:dyDescent="0.25">
      <c r="A223" s="168">
        <f t="shared" si="36"/>
        <v>582.5</v>
      </c>
      <c r="B223" s="163">
        <f t="shared" si="37"/>
        <v>2</v>
      </c>
      <c r="C223" s="164">
        <f t="shared" si="38"/>
        <v>0</v>
      </c>
      <c r="D223" s="163">
        <f t="shared" si="39"/>
        <v>0</v>
      </c>
      <c r="E223" s="164">
        <f t="shared" si="40"/>
        <v>8</v>
      </c>
      <c r="F223" s="163">
        <f t="shared" si="41"/>
        <v>0</v>
      </c>
      <c r="G223" s="164">
        <f t="shared" si="42"/>
        <v>1</v>
      </c>
      <c r="H223" s="163">
        <f t="shared" si="43"/>
        <v>0</v>
      </c>
      <c r="I223" s="164">
        <f t="shared" si="44"/>
        <v>1</v>
      </c>
      <c r="J223" s="163">
        <f t="shared" si="45"/>
        <v>1</v>
      </c>
      <c r="K223" s="164"/>
      <c r="L223" s="166">
        <f t="shared" si="47"/>
        <v>219</v>
      </c>
      <c r="M223" s="166">
        <f t="shared" si="46"/>
        <v>547.5</v>
      </c>
    </row>
    <row r="224" spans="1:13" ht="12.75" customHeight="1" x14ac:dyDescent="0.25">
      <c r="A224" s="168">
        <f t="shared" si="36"/>
        <v>585</v>
      </c>
      <c r="B224" s="163">
        <f t="shared" si="37"/>
        <v>2</v>
      </c>
      <c r="C224" s="164">
        <f t="shared" si="38"/>
        <v>0</v>
      </c>
      <c r="D224" s="163">
        <f t="shared" si="39"/>
        <v>0</v>
      </c>
      <c r="E224" s="164">
        <f t="shared" si="40"/>
        <v>8</v>
      </c>
      <c r="F224" s="163">
        <f t="shared" si="41"/>
        <v>1</v>
      </c>
      <c r="G224" s="164">
        <f t="shared" si="42"/>
        <v>0</v>
      </c>
      <c r="H224" s="163">
        <f t="shared" si="43"/>
        <v>0</v>
      </c>
      <c r="I224" s="164">
        <f t="shared" si="44"/>
        <v>0</v>
      </c>
      <c r="J224" s="163">
        <f t="shared" si="45"/>
        <v>0</v>
      </c>
      <c r="K224" s="164"/>
      <c r="L224" s="166">
        <f t="shared" si="47"/>
        <v>220</v>
      </c>
      <c r="M224" s="166">
        <f t="shared" si="46"/>
        <v>550</v>
      </c>
    </row>
    <row r="225" spans="1:13" ht="12.75" customHeight="1" x14ac:dyDescent="0.25">
      <c r="A225" s="168">
        <f t="shared" si="36"/>
        <v>587.5</v>
      </c>
      <c r="B225" s="163">
        <f t="shared" si="37"/>
        <v>2</v>
      </c>
      <c r="C225" s="164">
        <f t="shared" si="38"/>
        <v>0</v>
      </c>
      <c r="D225" s="163">
        <f t="shared" si="39"/>
        <v>0</v>
      </c>
      <c r="E225" s="164">
        <f t="shared" si="40"/>
        <v>8</v>
      </c>
      <c r="F225" s="163">
        <f t="shared" si="41"/>
        <v>1</v>
      </c>
      <c r="G225" s="164">
        <f t="shared" si="42"/>
        <v>0</v>
      </c>
      <c r="H225" s="163">
        <f t="shared" si="43"/>
        <v>0</v>
      </c>
      <c r="I225" s="164">
        <f t="shared" si="44"/>
        <v>0</v>
      </c>
      <c r="J225" s="163">
        <f t="shared" si="45"/>
        <v>1</v>
      </c>
      <c r="K225" s="164"/>
      <c r="L225" s="166">
        <f t="shared" si="47"/>
        <v>221</v>
      </c>
      <c r="M225" s="166">
        <f t="shared" si="46"/>
        <v>552.5</v>
      </c>
    </row>
    <row r="226" spans="1:13" ht="12.75" customHeight="1" x14ac:dyDescent="0.25">
      <c r="A226" s="168">
        <f t="shared" si="36"/>
        <v>590</v>
      </c>
      <c r="B226" s="163">
        <f t="shared" si="37"/>
        <v>2</v>
      </c>
      <c r="C226" s="164">
        <f t="shared" si="38"/>
        <v>0</v>
      </c>
      <c r="D226" s="163">
        <f t="shared" si="39"/>
        <v>0</v>
      </c>
      <c r="E226" s="164">
        <f t="shared" si="40"/>
        <v>8</v>
      </c>
      <c r="F226" s="163">
        <f t="shared" si="41"/>
        <v>1</v>
      </c>
      <c r="G226" s="164">
        <f t="shared" si="42"/>
        <v>0</v>
      </c>
      <c r="H226" s="163">
        <f t="shared" si="43"/>
        <v>0</v>
      </c>
      <c r="I226" s="164">
        <f t="shared" si="44"/>
        <v>1</v>
      </c>
      <c r="J226" s="163">
        <f t="shared" si="45"/>
        <v>0</v>
      </c>
      <c r="K226" s="164"/>
      <c r="L226" s="166">
        <f t="shared" si="47"/>
        <v>222</v>
      </c>
      <c r="M226" s="166">
        <f t="shared" si="46"/>
        <v>555</v>
      </c>
    </row>
    <row r="227" spans="1:13" ht="12.75" customHeight="1" x14ac:dyDescent="0.25">
      <c r="A227" s="168">
        <f t="shared" si="36"/>
        <v>592.5</v>
      </c>
      <c r="B227" s="163">
        <f t="shared" si="37"/>
        <v>2</v>
      </c>
      <c r="C227" s="164">
        <f t="shared" si="38"/>
        <v>0</v>
      </c>
      <c r="D227" s="163">
        <f t="shared" si="39"/>
        <v>0</v>
      </c>
      <c r="E227" s="164">
        <f t="shared" si="40"/>
        <v>8</v>
      </c>
      <c r="F227" s="163">
        <f t="shared" si="41"/>
        <v>1</v>
      </c>
      <c r="G227" s="164">
        <f t="shared" si="42"/>
        <v>0</v>
      </c>
      <c r="H227" s="163">
        <f t="shared" si="43"/>
        <v>0</v>
      </c>
      <c r="I227" s="164">
        <f t="shared" si="44"/>
        <v>1</v>
      </c>
      <c r="J227" s="163">
        <f t="shared" si="45"/>
        <v>1</v>
      </c>
      <c r="K227" s="164"/>
      <c r="L227" s="166">
        <f t="shared" si="47"/>
        <v>223</v>
      </c>
      <c r="M227" s="166">
        <f t="shared" si="46"/>
        <v>557.5</v>
      </c>
    </row>
    <row r="228" spans="1:13" ht="12.75" customHeight="1" x14ac:dyDescent="0.25">
      <c r="A228" s="168">
        <f t="shared" si="36"/>
        <v>595</v>
      </c>
      <c r="B228" s="163">
        <f t="shared" si="37"/>
        <v>2</v>
      </c>
      <c r="C228" s="164">
        <f t="shared" si="38"/>
        <v>0</v>
      </c>
      <c r="D228" s="163">
        <f t="shared" si="39"/>
        <v>0</v>
      </c>
      <c r="E228" s="164">
        <f t="shared" si="40"/>
        <v>8</v>
      </c>
      <c r="F228" s="163">
        <f t="shared" si="41"/>
        <v>1</v>
      </c>
      <c r="G228" s="164">
        <f t="shared" si="42"/>
        <v>0</v>
      </c>
      <c r="H228" s="163">
        <f t="shared" si="43"/>
        <v>1</v>
      </c>
      <c r="I228" s="164">
        <f t="shared" si="44"/>
        <v>0</v>
      </c>
      <c r="J228" s="163">
        <f t="shared" si="45"/>
        <v>0</v>
      </c>
      <c r="K228" s="164"/>
      <c r="L228" s="166">
        <f t="shared" si="47"/>
        <v>224</v>
      </c>
      <c r="M228" s="166">
        <f t="shared" si="46"/>
        <v>560</v>
      </c>
    </row>
    <row r="229" spans="1:13" ht="12.75" customHeight="1" x14ac:dyDescent="0.25">
      <c r="A229" s="168">
        <f t="shared" si="36"/>
        <v>597.5</v>
      </c>
      <c r="B229" s="163">
        <f t="shared" si="37"/>
        <v>2</v>
      </c>
      <c r="C229" s="164">
        <f t="shared" si="38"/>
        <v>0</v>
      </c>
      <c r="D229" s="163">
        <f t="shared" si="39"/>
        <v>0</v>
      </c>
      <c r="E229" s="164">
        <f t="shared" si="40"/>
        <v>8</v>
      </c>
      <c r="F229" s="163">
        <f t="shared" si="41"/>
        <v>1</v>
      </c>
      <c r="G229" s="164">
        <f t="shared" si="42"/>
        <v>0</v>
      </c>
      <c r="H229" s="163">
        <f t="shared" si="43"/>
        <v>1</v>
      </c>
      <c r="I229" s="164">
        <f t="shared" si="44"/>
        <v>0</v>
      </c>
      <c r="J229" s="163">
        <f t="shared" si="45"/>
        <v>1</v>
      </c>
      <c r="K229" s="164"/>
      <c r="L229" s="166">
        <f t="shared" si="47"/>
        <v>225</v>
      </c>
      <c r="M229" s="166">
        <f t="shared" si="46"/>
        <v>562.5</v>
      </c>
    </row>
    <row r="230" spans="1:13" ht="12.75" customHeight="1" x14ac:dyDescent="0.25">
      <c r="A230" s="168">
        <f t="shared" si="36"/>
        <v>600</v>
      </c>
      <c r="B230" s="163">
        <f t="shared" si="37"/>
        <v>2</v>
      </c>
      <c r="C230" s="164">
        <f t="shared" si="38"/>
        <v>0</v>
      </c>
      <c r="D230" s="163">
        <f t="shared" si="39"/>
        <v>0</v>
      </c>
      <c r="E230" s="164">
        <f t="shared" si="40"/>
        <v>8</v>
      </c>
      <c r="F230" s="163">
        <f t="shared" si="41"/>
        <v>1</v>
      </c>
      <c r="G230" s="164">
        <f t="shared" si="42"/>
        <v>0</v>
      </c>
      <c r="H230" s="163">
        <f t="shared" si="43"/>
        <v>1</v>
      </c>
      <c r="I230" s="164">
        <f t="shared" si="44"/>
        <v>1</v>
      </c>
      <c r="J230" s="163">
        <f t="shared" si="45"/>
        <v>0</v>
      </c>
      <c r="K230" s="164"/>
      <c r="L230" s="166">
        <f t="shared" si="47"/>
        <v>226</v>
      </c>
      <c r="M230" s="166">
        <f t="shared" si="46"/>
        <v>565</v>
      </c>
    </row>
    <row r="231" spans="1:13" ht="12.75" customHeight="1" x14ac:dyDescent="0.25">
      <c r="A231" s="168">
        <f t="shared" si="36"/>
        <v>602.5</v>
      </c>
      <c r="B231" s="163">
        <f t="shared" si="37"/>
        <v>2</v>
      </c>
      <c r="C231" s="164">
        <f t="shared" si="38"/>
        <v>0</v>
      </c>
      <c r="D231" s="163">
        <f t="shared" si="39"/>
        <v>0</v>
      </c>
      <c r="E231" s="164">
        <f t="shared" si="40"/>
        <v>8</v>
      </c>
      <c r="F231" s="163">
        <f t="shared" si="41"/>
        <v>1</v>
      </c>
      <c r="G231" s="164">
        <f t="shared" si="42"/>
        <v>0</v>
      </c>
      <c r="H231" s="163">
        <f t="shared" si="43"/>
        <v>1</v>
      </c>
      <c r="I231" s="164">
        <f t="shared" si="44"/>
        <v>1</v>
      </c>
      <c r="J231" s="163">
        <f t="shared" si="45"/>
        <v>1</v>
      </c>
      <c r="K231" s="164"/>
      <c r="L231" s="166">
        <f t="shared" si="47"/>
        <v>227</v>
      </c>
      <c r="M231" s="166">
        <f t="shared" si="46"/>
        <v>567.5</v>
      </c>
    </row>
    <row r="232" spans="1:13" ht="12.75" customHeight="1" x14ac:dyDescent="0.25">
      <c r="A232" s="168">
        <f t="shared" si="36"/>
        <v>605</v>
      </c>
      <c r="B232" s="163">
        <f t="shared" si="37"/>
        <v>2</v>
      </c>
      <c r="C232" s="164">
        <f t="shared" si="38"/>
        <v>0</v>
      </c>
      <c r="D232" s="163">
        <f t="shared" si="39"/>
        <v>0</v>
      </c>
      <c r="E232" s="164">
        <f t="shared" si="40"/>
        <v>8</v>
      </c>
      <c r="F232" s="163">
        <f t="shared" si="41"/>
        <v>1</v>
      </c>
      <c r="G232" s="164">
        <f t="shared" si="42"/>
        <v>1</v>
      </c>
      <c r="H232" s="163">
        <f t="shared" si="43"/>
        <v>0</v>
      </c>
      <c r="I232" s="164">
        <f t="shared" si="44"/>
        <v>0</v>
      </c>
      <c r="J232" s="163">
        <f t="shared" si="45"/>
        <v>0</v>
      </c>
      <c r="K232" s="164"/>
      <c r="L232" s="166">
        <f t="shared" si="47"/>
        <v>228</v>
      </c>
      <c r="M232" s="166">
        <f t="shared" si="46"/>
        <v>570</v>
      </c>
    </row>
    <row r="233" spans="1:13" ht="12.75" customHeight="1" x14ac:dyDescent="0.25">
      <c r="A233" s="168">
        <f t="shared" si="36"/>
        <v>607.5</v>
      </c>
      <c r="B233" s="163">
        <f t="shared" si="37"/>
        <v>2</v>
      </c>
      <c r="C233" s="164">
        <f t="shared" si="38"/>
        <v>0</v>
      </c>
      <c r="D233" s="163">
        <f t="shared" si="39"/>
        <v>0</v>
      </c>
      <c r="E233" s="164">
        <f t="shared" si="40"/>
        <v>8</v>
      </c>
      <c r="F233" s="163">
        <f t="shared" si="41"/>
        <v>1</v>
      </c>
      <c r="G233" s="164">
        <f t="shared" si="42"/>
        <v>1</v>
      </c>
      <c r="H233" s="163">
        <f t="shared" si="43"/>
        <v>0</v>
      </c>
      <c r="I233" s="164">
        <f t="shared" si="44"/>
        <v>0</v>
      </c>
      <c r="J233" s="163">
        <f t="shared" si="45"/>
        <v>1</v>
      </c>
      <c r="K233" s="164"/>
      <c r="L233" s="166">
        <f t="shared" si="47"/>
        <v>229</v>
      </c>
      <c r="M233" s="166">
        <f t="shared" si="46"/>
        <v>572.5</v>
      </c>
    </row>
    <row r="234" spans="1:13" ht="12.75" customHeight="1" x14ac:dyDescent="0.25">
      <c r="A234" s="168">
        <f t="shared" si="36"/>
        <v>610</v>
      </c>
      <c r="B234" s="163">
        <f t="shared" si="37"/>
        <v>2</v>
      </c>
      <c r="C234" s="164">
        <f t="shared" si="38"/>
        <v>0</v>
      </c>
      <c r="D234" s="163">
        <f t="shared" si="39"/>
        <v>0</v>
      </c>
      <c r="E234" s="164">
        <f t="shared" si="40"/>
        <v>8</v>
      </c>
      <c r="F234" s="163">
        <f t="shared" si="41"/>
        <v>1</v>
      </c>
      <c r="G234" s="164">
        <f t="shared" si="42"/>
        <v>1</v>
      </c>
      <c r="H234" s="163">
        <f t="shared" si="43"/>
        <v>0</v>
      </c>
      <c r="I234" s="164">
        <f t="shared" si="44"/>
        <v>1</v>
      </c>
      <c r="J234" s="163">
        <f t="shared" si="45"/>
        <v>0</v>
      </c>
      <c r="K234" s="164"/>
      <c r="L234" s="166">
        <f t="shared" si="47"/>
        <v>230</v>
      </c>
      <c r="M234" s="166">
        <f t="shared" si="46"/>
        <v>575</v>
      </c>
    </row>
    <row r="235" spans="1:13" ht="12.75" customHeight="1" x14ac:dyDescent="0.25">
      <c r="A235" s="168">
        <f t="shared" si="36"/>
        <v>612.5</v>
      </c>
      <c r="B235" s="163">
        <f t="shared" si="37"/>
        <v>2</v>
      </c>
      <c r="C235" s="164">
        <f t="shared" si="38"/>
        <v>0</v>
      </c>
      <c r="D235" s="163">
        <f t="shared" si="39"/>
        <v>0</v>
      </c>
      <c r="E235" s="164">
        <f t="shared" si="40"/>
        <v>8</v>
      </c>
      <c r="F235" s="163">
        <f t="shared" si="41"/>
        <v>1</v>
      </c>
      <c r="G235" s="164">
        <f t="shared" si="42"/>
        <v>1</v>
      </c>
      <c r="H235" s="163">
        <f t="shared" si="43"/>
        <v>0</v>
      </c>
      <c r="I235" s="164">
        <f t="shared" si="44"/>
        <v>1</v>
      </c>
      <c r="J235" s="163">
        <f t="shared" si="45"/>
        <v>1</v>
      </c>
      <c r="K235" s="164"/>
      <c r="L235" s="166">
        <f t="shared" si="47"/>
        <v>231</v>
      </c>
      <c r="M235" s="166">
        <f t="shared" si="46"/>
        <v>577.5</v>
      </c>
    </row>
    <row r="236" spans="1:13" ht="12.75" customHeight="1" x14ac:dyDescent="0.25">
      <c r="A236" s="168">
        <f t="shared" si="36"/>
        <v>615</v>
      </c>
      <c r="B236" s="163">
        <f t="shared" si="37"/>
        <v>2</v>
      </c>
      <c r="C236" s="164">
        <f t="shared" si="38"/>
        <v>0</v>
      </c>
      <c r="D236" s="163">
        <f t="shared" si="39"/>
        <v>0</v>
      </c>
      <c r="E236" s="164">
        <f t="shared" si="40"/>
        <v>8</v>
      </c>
      <c r="F236" s="163">
        <f t="shared" si="41"/>
        <v>1</v>
      </c>
      <c r="G236" s="164">
        <f t="shared" si="42"/>
        <v>1</v>
      </c>
      <c r="H236" s="163">
        <f t="shared" si="43"/>
        <v>1</v>
      </c>
      <c r="I236" s="164">
        <f t="shared" si="44"/>
        <v>0</v>
      </c>
      <c r="J236" s="163">
        <f t="shared" si="45"/>
        <v>0</v>
      </c>
      <c r="K236" s="164"/>
      <c r="L236" s="166">
        <f t="shared" si="47"/>
        <v>232</v>
      </c>
      <c r="M236" s="166">
        <f t="shared" si="46"/>
        <v>580</v>
      </c>
    </row>
    <row r="237" spans="1:13" ht="12.75" customHeight="1" x14ac:dyDescent="0.25">
      <c r="A237" s="168">
        <f t="shared" si="36"/>
        <v>617.5</v>
      </c>
      <c r="B237" s="163">
        <f t="shared" si="37"/>
        <v>2</v>
      </c>
      <c r="C237" s="164">
        <f t="shared" si="38"/>
        <v>0</v>
      </c>
      <c r="D237" s="163">
        <f t="shared" si="39"/>
        <v>0</v>
      </c>
      <c r="E237" s="164">
        <f t="shared" si="40"/>
        <v>8</v>
      </c>
      <c r="F237" s="163">
        <f t="shared" si="41"/>
        <v>1</v>
      </c>
      <c r="G237" s="164">
        <f t="shared" si="42"/>
        <v>1</v>
      </c>
      <c r="H237" s="163">
        <f t="shared" si="43"/>
        <v>1</v>
      </c>
      <c r="I237" s="164">
        <f t="shared" si="44"/>
        <v>0</v>
      </c>
      <c r="J237" s="163">
        <f t="shared" si="45"/>
        <v>1</v>
      </c>
      <c r="K237" s="164"/>
      <c r="L237" s="166">
        <f t="shared" si="47"/>
        <v>233</v>
      </c>
      <c r="M237" s="166">
        <f t="shared" si="46"/>
        <v>582.5</v>
      </c>
    </row>
    <row r="238" spans="1:13" ht="12.75" customHeight="1" x14ac:dyDescent="0.25">
      <c r="A238" s="168">
        <f t="shared" si="36"/>
        <v>620</v>
      </c>
      <c r="B238" s="163">
        <f t="shared" si="37"/>
        <v>2</v>
      </c>
      <c r="C238" s="164">
        <f t="shared" si="38"/>
        <v>0</v>
      </c>
      <c r="D238" s="163">
        <f t="shared" si="39"/>
        <v>0</v>
      </c>
      <c r="E238" s="164">
        <f t="shared" si="40"/>
        <v>8</v>
      </c>
      <c r="F238" s="163">
        <f t="shared" si="41"/>
        <v>1</v>
      </c>
      <c r="G238" s="164">
        <f t="shared" si="42"/>
        <v>1</v>
      </c>
      <c r="H238" s="163">
        <f t="shared" si="43"/>
        <v>1</v>
      </c>
      <c r="I238" s="164">
        <f t="shared" si="44"/>
        <v>1</v>
      </c>
      <c r="J238" s="163">
        <f t="shared" si="45"/>
        <v>0</v>
      </c>
      <c r="K238" s="164"/>
      <c r="L238" s="166">
        <f t="shared" si="47"/>
        <v>234</v>
      </c>
      <c r="M238" s="166">
        <f t="shared" si="46"/>
        <v>585</v>
      </c>
    </row>
    <row r="239" spans="1:13" ht="12.75" customHeight="1" x14ac:dyDescent="0.25">
      <c r="A239" s="168">
        <f t="shared" si="36"/>
        <v>622.5</v>
      </c>
      <c r="B239" s="163">
        <f t="shared" si="37"/>
        <v>2</v>
      </c>
      <c r="C239" s="164">
        <f t="shared" si="38"/>
        <v>0</v>
      </c>
      <c r="D239" s="163">
        <f t="shared" si="39"/>
        <v>0</v>
      </c>
      <c r="E239" s="164">
        <f t="shared" si="40"/>
        <v>8</v>
      </c>
      <c r="F239" s="163">
        <f t="shared" si="41"/>
        <v>1</v>
      </c>
      <c r="G239" s="164">
        <f t="shared" si="42"/>
        <v>1</v>
      </c>
      <c r="H239" s="163">
        <f t="shared" si="43"/>
        <v>1</v>
      </c>
      <c r="I239" s="164">
        <f t="shared" si="44"/>
        <v>1</v>
      </c>
      <c r="J239" s="163">
        <f t="shared" si="45"/>
        <v>1</v>
      </c>
      <c r="K239" s="164"/>
      <c r="L239" s="166">
        <f t="shared" si="47"/>
        <v>235</v>
      </c>
      <c r="M239" s="166">
        <f t="shared" si="46"/>
        <v>587.5</v>
      </c>
    </row>
    <row r="240" spans="1:13" ht="12.75" customHeight="1" x14ac:dyDescent="0.25">
      <c r="A240" s="168">
        <f t="shared" si="36"/>
        <v>625</v>
      </c>
      <c r="B240" s="163">
        <f t="shared" si="37"/>
        <v>2</v>
      </c>
      <c r="C240" s="164">
        <f t="shared" si="38"/>
        <v>0</v>
      </c>
      <c r="D240" s="163">
        <f t="shared" si="39"/>
        <v>0</v>
      </c>
      <c r="E240" s="164">
        <f t="shared" si="40"/>
        <v>8</v>
      </c>
      <c r="F240" s="163">
        <f t="shared" si="41"/>
        <v>1</v>
      </c>
      <c r="G240" s="164">
        <f t="shared" si="42"/>
        <v>1</v>
      </c>
      <c r="H240" s="163">
        <f t="shared" si="43"/>
        <v>2</v>
      </c>
      <c r="I240" s="164">
        <f t="shared" si="44"/>
        <v>0</v>
      </c>
      <c r="J240" s="163">
        <f t="shared" si="45"/>
        <v>0</v>
      </c>
      <c r="K240" s="164"/>
      <c r="L240" s="166">
        <f t="shared" si="47"/>
        <v>236</v>
      </c>
      <c r="M240" s="166">
        <f t="shared" si="46"/>
        <v>590</v>
      </c>
    </row>
    <row r="241" spans="1:13" ht="12.75" customHeight="1" x14ac:dyDescent="0.25">
      <c r="A241" s="168">
        <f t="shared" si="36"/>
        <v>627.5</v>
      </c>
      <c r="B241" s="163">
        <f t="shared" si="37"/>
        <v>2</v>
      </c>
      <c r="C241" s="164">
        <f t="shared" si="38"/>
        <v>0</v>
      </c>
      <c r="D241" s="163">
        <f t="shared" si="39"/>
        <v>0</v>
      </c>
      <c r="E241" s="164">
        <f t="shared" si="40"/>
        <v>8</v>
      </c>
      <c r="F241" s="163">
        <f t="shared" si="41"/>
        <v>1</v>
      </c>
      <c r="G241" s="164">
        <f t="shared" si="42"/>
        <v>1</v>
      </c>
      <c r="H241" s="163">
        <f t="shared" si="43"/>
        <v>2</v>
      </c>
      <c r="I241" s="164">
        <f t="shared" si="44"/>
        <v>0</v>
      </c>
      <c r="J241" s="163">
        <f t="shared" si="45"/>
        <v>1</v>
      </c>
      <c r="K241" s="164"/>
      <c r="L241" s="166">
        <f t="shared" si="47"/>
        <v>237</v>
      </c>
      <c r="M241" s="166">
        <f t="shared" si="46"/>
        <v>592.5</v>
      </c>
    </row>
    <row r="242" spans="1:13" ht="12.75" customHeight="1" x14ac:dyDescent="0.25">
      <c r="A242" s="168">
        <f t="shared" si="36"/>
        <v>630</v>
      </c>
      <c r="B242" s="163">
        <f t="shared" si="37"/>
        <v>2</v>
      </c>
      <c r="C242" s="164">
        <f t="shared" si="38"/>
        <v>0</v>
      </c>
      <c r="D242" s="163">
        <f t="shared" si="39"/>
        <v>0</v>
      </c>
      <c r="E242" s="164">
        <f t="shared" si="40"/>
        <v>8</v>
      </c>
      <c r="F242" s="163">
        <f t="shared" si="41"/>
        <v>1</v>
      </c>
      <c r="G242" s="164">
        <f t="shared" si="42"/>
        <v>1</v>
      </c>
      <c r="H242" s="163">
        <f t="shared" si="43"/>
        <v>2</v>
      </c>
      <c r="I242" s="164">
        <f t="shared" si="44"/>
        <v>1</v>
      </c>
      <c r="J242" s="163">
        <f t="shared" si="45"/>
        <v>0</v>
      </c>
      <c r="K242" s="164"/>
      <c r="L242" s="166">
        <f t="shared" si="47"/>
        <v>238</v>
      </c>
      <c r="M242" s="166">
        <f t="shared" si="46"/>
        <v>595</v>
      </c>
    </row>
    <row r="243" spans="1:13" ht="12.75" customHeight="1" x14ac:dyDescent="0.25">
      <c r="A243" s="168">
        <f t="shared" si="36"/>
        <v>632.5</v>
      </c>
      <c r="B243" s="163">
        <f t="shared" si="37"/>
        <v>2</v>
      </c>
      <c r="C243" s="164">
        <f t="shared" si="38"/>
        <v>0</v>
      </c>
      <c r="D243" s="163">
        <f t="shared" si="39"/>
        <v>0</v>
      </c>
      <c r="E243" s="164">
        <f t="shared" si="40"/>
        <v>8</v>
      </c>
      <c r="F243" s="163">
        <f t="shared" si="41"/>
        <v>1</v>
      </c>
      <c r="G243" s="164">
        <f t="shared" si="42"/>
        <v>1</v>
      </c>
      <c r="H243" s="163">
        <f t="shared" si="43"/>
        <v>2</v>
      </c>
      <c r="I243" s="164">
        <f t="shared" si="44"/>
        <v>1</v>
      </c>
      <c r="J243" s="163">
        <f t="shared" si="45"/>
        <v>1</v>
      </c>
      <c r="K243" s="164"/>
      <c r="L243" s="166">
        <f t="shared" si="47"/>
        <v>239</v>
      </c>
      <c r="M243" s="166">
        <f t="shared" si="46"/>
        <v>597.5</v>
      </c>
    </row>
    <row r="244" spans="1:13" ht="12.75" customHeight="1" x14ac:dyDescent="0.25">
      <c r="A244" s="168">
        <f t="shared" si="36"/>
        <v>0</v>
      </c>
      <c r="B244" s="163">
        <f t="shared" si="37"/>
        <v>0</v>
      </c>
      <c r="C244" s="164">
        <f t="shared" si="38"/>
        <v>0</v>
      </c>
      <c r="D244" s="163">
        <f t="shared" si="39"/>
        <v>0</v>
      </c>
      <c r="E244" s="164">
        <f t="shared" si="40"/>
        <v>0</v>
      </c>
      <c r="F244" s="163">
        <f t="shared" si="41"/>
        <v>0</v>
      </c>
      <c r="G244" s="164">
        <f t="shared" si="42"/>
        <v>0</v>
      </c>
      <c r="H244" s="163">
        <f t="shared" si="43"/>
        <v>0</v>
      </c>
      <c r="I244" s="164">
        <f t="shared" si="44"/>
        <v>0</v>
      </c>
      <c r="J244" s="163">
        <f t="shared" si="45"/>
        <v>0</v>
      </c>
      <c r="K244" s="164"/>
      <c r="L244" s="166">
        <f t="shared" si="47"/>
        <v>240</v>
      </c>
      <c r="M244" s="166">
        <f t="shared" si="46"/>
        <v>600</v>
      </c>
    </row>
    <row r="245" spans="1:13" ht="12.75" customHeight="1" x14ac:dyDescent="0.25">
      <c r="A245" s="168">
        <f t="shared" si="36"/>
        <v>0</v>
      </c>
      <c r="B245" s="163">
        <f t="shared" si="37"/>
        <v>0</v>
      </c>
      <c r="C245" s="164">
        <f t="shared" si="38"/>
        <v>0</v>
      </c>
      <c r="D245" s="163">
        <f t="shared" si="39"/>
        <v>0</v>
      </c>
      <c r="E245" s="164">
        <f t="shared" si="40"/>
        <v>0</v>
      </c>
      <c r="F245" s="163">
        <f t="shared" si="41"/>
        <v>0</v>
      </c>
      <c r="G245" s="164">
        <f t="shared" si="42"/>
        <v>0</v>
      </c>
      <c r="H245" s="163">
        <f t="shared" si="43"/>
        <v>0</v>
      </c>
      <c r="I245" s="164">
        <f t="shared" si="44"/>
        <v>0</v>
      </c>
      <c r="J245" s="163">
        <f t="shared" si="45"/>
        <v>0</v>
      </c>
      <c r="K245" s="164"/>
      <c r="L245" s="166">
        <f t="shared" si="47"/>
        <v>241</v>
      </c>
      <c r="M245" s="166">
        <f t="shared" si="46"/>
        <v>602.5</v>
      </c>
    </row>
    <row r="246" spans="1:13" ht="12.75" customHeight="1" x14ac:dyDescent="0.25">
      <c r="A246" s="168">
        <f t="shared" si="36"/>
        <v>0</v>
      </c>
      <c r="B246" s="163">
        <f t="shared" si="37"/>
        <v>0</v>
      </c>
      <c r="C246" s="164">
        <f t="shared" si="38"/>
        <v>0</v>
      </c>
      <c r="D246" s="163">
        <f t="shared" si="39"/>
        <v>0</v>
      </c>
      <c r="E246" s="164">
        <f t="shared" si="40"/>
        <v>0</v>
      </c>
      <c r="F246" s="163">
        <f t="shared" si="41"/>
        <v>0</v>
      </c>
      <c r="G246" s="164">
        <f t="shared" si="42"/>
        <v>0</v>
      </c>
      <c r="H246" s="163">
        <f t="shared" si="43"/>
        <v>0</v>
      </c>
      <c r="I246" s="164">
        <f t="shared" si="44"/>
        <v>0</v>
      </c>
      <c r="J246" s="163">
        <f t="shared" si="45"/>
        <v>0</v>
      </c>
      <c r="K246" s="164"/>
      <c r="L246" s="166">
        <f t="shared" si="47"/>
        <v>242</v>
      </c>
      <c r="M246" s="166">
        <f t="shared" si="46"/>
        <v>605</v>
      </c>
    </row>
    <row r="247" spans="1:13" ht="12.75" customHeight="1" x14ac:dyDescent="0.25">
      <c r="A247" s="168">
        <f t="shared" si="36"/>
        <v>0</v>
      </c>
      <c r="B247" s="163">
        <f t="shared" si="37"/>
        <v>0</v>
      </c>
      <c r="C247" s="164">
        <f t="shared" si="38"/>
        <v>0</v>
      </c>
      <c r="D247" s="163">
        <f t="shared" si="39"/>
        <v>0</v>
      </c>
      <c r="E247" s="164">
        <f t="shared" si="40"/>
        <v>0</v>
      </c>
      <c r="F247" s="163">
        <f t="shared" si="41"/>
        <v>0</v>
      </c>
      <c r="G247" s="164">
        <f t="shared" si="42"/>
        <v>0</v>
      </c>
      <c r="H247" s="163">
        <f t="shared" si="43"/>
        <v>0</v>
      </c>
      <c r="I247" s="164">
        <f t="shared" si="44"/>
        <v>0</v>
      </c>
      <c r="J247" s="163">
        <f t="shared" si="45"/>
        <v>0</v>
      </c>
      <c r="K247" s="164"/>
      <c r="L247" s="166">
        <f t="shared" si="47"/>
        <v>243</v>
      </c>
      <c r="M247" s="166">
        <f t="shared" si="46"/>
        <v>607.5</v>
      </c>
    </row>
    <row r="248" spans="1:13" ht="12.75" customHeight="1" x14ac:dyDescent="0.25">
      <c r="A248" s="168">
        <f t="shared" si="36"/>
        <v>0</v>
      </c>
      <c r="B248" s="163">
        <f t="shared" si="37"/>
        <v>0</v>
      </c>
      <c r="C248" s="164">
        <f t="shared" si="38"/>
        <v>0</v>
      </c>
      <c r="D248" s="163">
        <f t="shared" si="39"/>
        <v>0</v>
      </c>
      <c r="E248" s="164">
        <f t="shared" si="40"/>
        <v>0</v>
      </c>
      <c r="F248" s="163">
        <f t="shared" si="41"/>
        <v>0</v>
      </c>
      <c r="G248" s="164">
        <f t="shared" si="42"/>
        <v>0</v>
      </c>
      <c r="H248" s="163">
        <f t="shared" si="43"/>
        <v>0</v>
      </c>
      <c r="I248" s="164">
        <f t="shared" si="44"/>
        <v>0</v>
      </c>
      <c r="J248" s="163">
        <f t="shared" si="45"/>
        <v>0</v>
      </c>
      <c r="K248" s="164"/>
      <c r="L248" s="166">
        <f t="shared" si="47"/>
        <v>244</v>
      </c>
      <c r="M248" s="166">
        <f t="shared" si="46"/>
        <v>610</v>
      </c>
    </row>
    <row r="249" spans="1:13" ht="12.75" customHeight="1" x14ac:dyDescent="0.25">
      <c r="A249" s="168">
        <f t="shared" si="36"/>
        <v>0</v>
      </c>
      <c r="B249" s="163">
        <f t="shared" si="37"/>
        <v>0</v>
      </c>
      <c r="C249" s="164">
        <f t="shared" si="38"/>
        <v>0</v>
      </c>
      <c r="D249" s="163">
        <f t="shared" si="39"/>
        <v>0</v>
      </c>
      <c r="E249" s="164">
        <f t="shared" si="40"/>
        <v>0</v>
      </c>
      <c r="F249" s="163">
        <f t="shared" si="41"/>
        <v>0</v>
      </c>
      <c r="G249" s="164">
        <f t="shared" si="42"/>
        <v>0</v>
      </c>
      <c r="H249" s="163">
        <f t="shared" si="43"/>
        <v>0</v>
      </c>
      <c r="I249" s="164">
        <f t="shared" si="44"/>
        <v>0</v>
      </c>
      <c r="J249" s="163">
        <f t="shared" si="45"/>
        <v>0</v>
      </c>
      <c r="K249" s="164"/>
      <c r="L249" s="166">
        <f t="shared" si="47"/>
        <v>245</v>
      </c>
      <c r="M249" s="166">
        <f t="shared" si="46"/>
        <v>612.5</v>
      </c>
    </row>
    <row r="250" spans="1:13" ht="12.75" customHeight="1" x14ac:dyDescent="0.25">
      <c r="A250" s="168">
        <f t="shared" si="36"/>
        <v>0</v>
      </c>
      <c r="B250" s="163">
        <f t="shared" si="37"/>
        <v>0</v>
      </c>
      <c r="C250" s="164">
        <f t="shared" si="38"/>
        <v>0</v>
      </c>
      <c r="D250" s="163">
        <f t="shared" si="39"/>
        <v>0</v>
      </c>
      <c r="E250" s="164">
        <f t="shared" si="40"/>
        <v>0</v>
      </c>
      <c r="F250" s="163">
        <f t="shared" si="41"/>
        <v>0</v>
      </c>
      <c r="G250" s="164">
        <f t="shared" si="42"/>
        <v>0</v>
      </c>
      <c r="H250" s="163">
        <f t="shared" si="43"/>
        <v>0</v>
      </c>
      <c r="I250" s="164">
        <f t="shared" si="44"/>
        <v>0</v>
      </c>
      <c r="J250" s="163">
        <f t="shared" si="45"/>
        <v>0</v>
      </c>
      <c r="K250" s="164"/>
      <c r="L250" s="166">
        <f t="shared" si="47"/>
        <v>246</v>
      </c>
      <c r="M250" s="166">
        <f t="shared" si="46"/>
        <v>615</v>
      </c>
    </row>
    <row r="251" spans="1:13" ht="12.75" customHeight="1" x14ac:dyDescent="0.25">
      <c r="A251" s="168">
        <f t="shared" si="36"/>
        <v>0</v>
      </c>
      <c r="B251" s="163">
        <f t="shared" si="37"/>
        <v>0</v>
      </c>
      <c r="C251" s="164">
        <f t="shared" si="38"/>
        <v>0</v>
      </c>
      <c r="D251" s="163">
        <f t="shared" si="39"/>
        <v>0</v>
      </c>
      <c r="E251" s="164">
        <f t="shared" si="40"/>
        <v>0</v>
      </c>
      <c r="F251" s="163">
        <f t="shared" si="41"/>
        <v>0</v>
      </c>
      <c r="G251" s="164">
        <f t="shared" si="42"/>
        <v>0</v>
      </c>
      <c r="H251" s="163">
        <f t="shared" si="43"/>
        <v>0</v>
      </c>
      <c r="I251" s="164">
        <f t="shared" si="44"/>
        <v>0</v>
      </c>
      <c r="J251" s="163">
        <f t="shared" si="45"/>
        <v>0</v>
      </c>
      <c r="K251" s="164"/>
      <c r="L251" s="166">
        <f t="shared" si="47"/>
        <v>247</v>
      </c>
      <c r="M251" s="166">
        <f t="shared" si="46"/>
        <v>617.5</v>
      </c>
    </row>
    <row r="252" spans="1:13" ht="12.75" customHeight="1" x14ac:dyDescent="0.25">
      <c r="A252" s="168">
        <f t="shared" si="36"/>
        <v>0</v>
      </c>
      <c r="B252" s="163">
        <f t="shared" si="37"/>
        <v>0</v>
      </c>
      <c r="C252" s="164">
        <f t="shared" si="38"/>
        <v>0</v>
      </c>
      <c r="D252" s="163">
        <f t="shared" si="39"/>
        <v>0</v>
      </c>
      <c r="E252" s="164">
        <f t="shared" si="40"/>
        <v>0</v>
      </c>
      <c r="F252" s="163">
        <f t="shared" si="41"/>
        <v>0</v>
      </c>
      <c r="G252" s="164">
        <f t="shared" si="42"/>
        <v>0</v>
      </c>
      <c r="H252" s="163">
        <f t="shared" si="43"/>
        <v>0</v>
      </c>
      <c r="I252" s="164">
        <f t="shared" si="44"/>
        <v>0</v>
      </c>
      <c r="J252" s="163">
        <f t="shared" si="45"/>
        <v>0</v>
      </c>
      <c r="K252" s="164"/>
      <c r="L252" s="166">
        <f t="shared" si="47"/>
        <v>248</v>
      </c>
      <c r="M252" s="166">
        <f t="shared" si="46"/>
        <v>620</v>
      </c>
    </row>
    <row r="253" spans="1:13" ht="12.75" customHeight="1" x14ac:dyDescent="0.25">
      <c r="A253" s="168">
        <f t="shared" si="36"/>
        <v>0</v>
      </c>
      <c r="B253" s="163">
        <f t="shared" si="37"/>
        <v>0</v>
      </c>
      <c r="C253" s="164">
        <f t="shared" si="38"/>
        <v>0</v>
      </c>
      <c r="D253" s="163">
        <f t="shared" si="39"/>
        <v>0</v>
      </c>
      <c r="E253" s="164">
        <f t="shared" si="40"/>
        <v>0</v>
      </c>
      <c r="F253" s="163">
        <f t="shared" si="41"/>
        <v>0</v>
      </c>
      <c r="G253" s="164">
        <f t="shared" si="42"/>
        <v>0</v>
      </c>
      <c r="H253" s="163">
        <f t="shared" si="43"/>
        <v>0</v>
      </c>
      <c r="I253" s="164">
        <f t="shared" si="44"/>
        <v>0</v>
      </c>
      <c r="J253" s="163">
        <f t="shared" si="45"/>
        <v>0</v>
      </c>
      <c r="K253" s="164"/>
      <c r="L253" s="166">
        <f t="shared" si="47"/>
        <v>249</v>
      </c>
      <c r="M253" s="166">
        <f t="shared" si="46"/>
        <v>622.5</v>
      </c>
    </row>
    <row r="254" spans="1:13" ht="12.75" customHeight="1" x14ac:dyDescent="0.25">
      <c r="A254" s="168">
        <f t="shared" si="36"/>
        <v>0</v>
      </c>
      <c r="B254" s="163">
        <f t="shared" si="37"/>
        <v>0</v>
      </c>
      <c r="C254" s="164">
        <f t="shared" si="38"/>
        <v>0</v>
      </c>
      <c r="D254" s="163">
        <f t="shared" si="39"/>
        <v>0</v>
      </c>
      <c r="E254" s="164">
        <f t="shared" si="40"/>
        <v>0</v>
      </c>
      <c r="F254" s="163">
        <f t="shared" si="41"/>
        <v>0</v>
      </c>
      <c r="G254" s="164">
        <f t="shared" si="42"/>
        <v>0</v>
      </c>
      <c r="H254" s="163">
        <f t="shared" si="43"/>
        <v>0</v>
      </c>
      <c r="I254" s="164">
        <f t="shared" si="44"/>
        <v>0</v>
      </c>
      <c r="J254" s="163">
        <f t="shared" si="45"/>
        <v>0</v>
      </c>
      <c r="K254" s="164"/>
      <c r="L254" s="166">
        <f t="shared" si="47"/>
        <v>250</v>
      </c>
      <c r="M254" s="166">
        <f t="shared" si="46"/>
        <v>625</v>
      </c>
    </row>
    <row r="255" spans="1:13" ht="12.75" customHeight="1" x14ac:dyDescent="0.25">
      <c r="A255" s="168">
        <f t="shared" si="36"/>
        <v>0</v>
      </c>
      <c r="B255" s="163">
        <f t="shared" si="37"/>
        <v>0</v>
      </c>
      <c r="C255" s="164">
        <f t="shared" si="38"/>
        <v>0</v>
      </c>
      <c r="D255" s="163">
        <f t="shared" si="39"/>
        <v>0</v>
      </c>
      <c r="E255" s="164">
        <f t="shared" si="40"/>
        <v>0</v>
      </c>
      <c r="F255" s="163">
        <f t="shared" si="41"/>
        <v>0</v>
      </c>
      <c r="G255" s="164">
        <f t="shared" si="42"/>
        <v>0</v>
      </c>
      <c r="H255" s="163">
        <f t="shared" si="43"/>
        <v>0</v>
      </c>
      <c r="I255" s="164">
        <f t="shared" si="44"/>
        <v>0</v>
      </c>
      <c r="J255" s="163">
        <f t="shared" si="45"/>
        <v>0</v>
      </c>
      <c r="K255" s="164"/>
      <c r="L255" s="166">
        <f t="shared" si="47"/>
        <v>251</v>
      </c>
      <c r="M255" s="166">
        <f t="shared" si="46"/>
        <v>627.5</v>
      </c>
    </row>
    <row r="256" spans="1:13" ht="12.75" customHeight="1" x14ac:dyDescent="0.25">
      <c r="A256" s="168">
        <f t="shared" si="36"/>
        <v>0</v>
      </c>
      <c r="B256" s="163">
        <f t="shared" si="37"/>
        <v>0</v>
      </c>
      <c r="C256" s="164">
        <f t="shared" si="38"/>
        <v>0</v>
      </c>
      <c r="D256" s="163">
        <f t="shared" si="39"/>
        <v>0</v>
      </c>
      <c r="E256" s="164">
        <f t="shared" si="40"/>
        <v>0</v>
      </c>
      <c r="F256" s="163">
        <f t="shared" si="41"/>
        <v>0</v>
      </c>
      <c r="G256" s="164">
        <f t="shared" si="42"/>
        <v>0</v>
      </c>
      <c r="H256" s="163">
        <f t="shared" si="43"/>
        <v>0</v>
      </c>
      <c r="I256" s="164">
        <f t="shared" si="44"/>
        <v>0</v>
      </c>
      <c r="J256" s="163">
        <f t="shared" si="45"/>
        <v>0</v>
      </c>
      <c r="K256" s="164"/>
      <c r="L256" s="166">
        <f t="shared" si="47"/>
        <v>252</v>
      </c>
      <c r="M256" s="166">
        <f t="shared" si="46"/>
        <v>630</v>
      </c>
    </row>
    <row r="257" spans="1:13" ht="12.75" customHeight="1" x14ac:dyDescent="0.25">
      <c r="A257" s="168">
        <f t="shared" si="36"/>
        <v>0</v>
      </c>
      <c r="B257" s="163">
        <f t="shared" si="37"/>
        <v>0</v>
      </c>
      <c r="C257" s="164">
        <f t="shared" si="38"/>
        <v>0</v>
      </c>
      <c r="D257" s="163">
        <f t="shared" si="39"/>
        <v>0</v>
      </c>
      <c r="E257" s="164">
        <f t="shared" si="40"/>
        <v>0</v>
      </c>
      <c r="F257" s="163">
        <f t="shared" si="41"/>
        <v>0</v>
      </c>
      <c r="G257" s="164">
        <f t="shared" si="42"/>
        <v>0</v>
      </c>
      <c r="H257" s="163">
        <f t="shared" si="43"/>
        <v>0</v>
      </c>
      <c r="I257" s="164">
        <f t="shared" si="44"/>
        <v>0</v>
      </c>
      <c r="J257" s="163">
        <f t="shared" si="45"/>
        <v>0</v>
      </c>
      <c r="K257" s="164"/>
      <c r="L257" s="166">
        <f t="shared" si="47"/>
        <v>253</v>
      </c>
      <c r="M257" s="166">
        <f t="shared" si="46"/>
        <v>632.5</v>
      </c>
    </row>
    <row r="258" spans="1:13" ht="12.75" customHeight="1" x14ac:dyDescent="0.25">
      <c r="A258" s="168">
        <f t="shared" si="36"/>
        <v>0</v>
      </c>
      <c r="B258" s="163">
        <f t="shared" si="37"/>
        <v>0</v>
      </c>
      <c r="C258" s="164">
        <f t="shared" si="38"/>
        <v>0</v>
      </c>
      <c r="D258" s="163">
        <f t="shared" si="39"/>
        <v>0</v>
      </c>
      <c r="E258" s="164">
        <f t="shared" si="40"/>
        <v>0</v>
      </c>
      <c r="F258" s="163">
        <f t="shared" si="41"/>
        <v>0</v>
      </c>
      <c r="G258" s="164">
        <f t="shared" si="42"/>
        <v>0</v>
      </c>
      <c r="H258" s="163">
        <f t="shared" si="43"/>
        <v>0</v>
      </c>
      <c r="I258" s="164">
        <f t="shared" si="44"/>
        <v>0</v>
      </c>
      <c r="J258" s="163">
        <f t="shared" si="45"/>
        <v>0</v>
      </c>
      <c r="K258" s="164"/>
      <c r="L258" s="166">
        <f t="shared" si="47"/>
        <v>254</v>
      </c>
      <c r="M258" s="166">
        <f t="shared" si="46"/>
        <v>635</v>
      </c>
    </row>
    <row r="259" spans="1:13" ht="12.75" customHeight="1" x14ac:dyDescent="0.25">
      <c r="A259" s="168">
        <f t="shared" si="36"/>
        <v>0</v>
      </c>
      <c r="B259" s="163">
        <f t="shared" si="37"/>
        <v>0</v>
      </c>
      <c r="C259" s="164">
        <f t="shared" si="38"/>
        <v>0</v>
      </c>
      <c r="D259" s="163">
        <f t="shared" si="39"/>
        <v>0</v>
      </c>
      <c r="E259" s="164">
        <f t="shared" si="40"/>
        <v>0</v>
      </c>
      <c r="F259" s="163">
        <f t="shared" si="41"/>
        <v>0</v>
      </c>
      <c r="G259" s="164">
        <f t="shared" si="42"/>
        <v>0</v>
      </c>
      <c r="H259" s="163">
        <f t="shared" si="43"/>
        <v>0</v>
      </c>
      <c r="I259" s="164">
        <f t="shared" si="44"/>
        <v>0</v>
      </c>
      <c r="J259" s="163">
        <f t="shared" si="45"/>
        <v>0</v>
      </c>
      <c r="K259" s="164"/>
      <c r="L259" s="166">
        <f t="shared" si="47"/>
        <v>255</v>
      </c>
      <c r="M259" s="166">
        <f t="shared" si="46"/>
        <v>637.5</v>
      </c>
    </row>
    <row r="260" spans="1:13" ht="12.75" customHeight="1" x14ac:dyDescent="0.25">
      <c r="A260" s="168">
        <f t="shared" si="36"/>
        <v>0</v>
      </c>
      <c r="B260" s="163">
        <f t="shared" si="37"/>
        <v>0</v>
      </c>
      <c r="C260" s="164">
        <f t="shared" si="38"/>
        <v>0</v>
      </c>
      <c r="D260" s="163">
        <f t="shared" si="39"/>
        <v>0</v>
      </c>
      <c r="E260" s="164">
        <f t="shared" si="40"/>
        <v>0</v>
      </c>
      <c r="F260" s="163">
        <f t="shared" si="41"/>
        <v>0</v>
      </c>
      <c r="G260" s="164">
        <f t="shared" si="42"/>
        <v>0</v>
      </c>
      <c r="H260" s="163">
        <f t="shared" si="43"/>
        <v>0</v>
      </c>
      <c r="I260" s="164">
        <f t="shared" si="44"/>
        <v>0</v>
      </c>
      <c r="J260" s="163">
        <f t="shared" si="45"/>
        <v>0</v>
      </c>
      <c r="K260" s="164"/>
      <c r="L260" s="166">
        <f t="shared" si="47"/>
        <v>256</v>
      </c>
      <c r="M260" s="166">
        <f t="shared" si="46"/>
        <v>640</v>
      </c>
    </row>
  </sheetData>
  <phoneticPr fontId="41" type="noConversion"/>
  <dataValidations count="5">
    <dataValidation type="list" allowBlank="1" showInputMessage="1" showErrorMessage="1" prompt="Select the number of plates at this weight from the pull down menu" sqref="F1:J1" xr:uid="{00000000-0002-0000-0F00-000000000000}">
      <formula1>"0,2,4"</formula1>
    </dataValidation>
    <dataValidation type="list" allowBlank="1" showInputMessage="1" showErrorMessage="1" sqref="E1" xr:uid="{00000000-0002-0000-0F00-000001000000}">
      <formula1>"0,2,4,6,8,10,12,14,16,18, 20"</formula1>
    </dataValidation>
    <dataValidation type="list" allowBlank="1" showInputMessage="1" showErrorMessage="1" prompt="Select Pounds or Kilos from the drop down menu" sqref="A2" xr:uid="{00000000-0002-0000-0F00-000002000000}">
      <formula1>"Pounds,Kilos"</formula1>
    </dataValidation>
    <dataValidation type="list" allowBlank="1" showInputMessage="1" showErrorMessage="1" prompt="Select the number of plates at this weight from the pull down menu" sqref="B1:D1" xr:uid="{00000000-0002-0000-0F00-000003000000}">
      <formula1>"0,2,4,6,8,10,12,14,16,18, 20"</formula1>
    </dataValidation>
    <dataValidation type="list" allowBlank="1" showInputMessage="1" showErrorMessage="1" sqref="K2" xr:uid="{00000000-0002-0000-0F00-000004000000}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CZ606"/>
  <sheetViews>
    <sheetView zoomScaleNormal="100" workbookViewId="0">
      <pane ySplit="2" topLeftCell="A13" activePane="bottomLeft" state="frozen"/>
      <selection activeCell="B1" sqref="B1"/>
      <selection pane="bottomLeft" activeCell="AM9" sqref="AM9"/>
    </sheetView>
  </sheetViews>
  <sheetFormatPr defaultColWidth="9.109375" defaultRowHeight="13.2" x14ac:dyDescent="0.25"/>
  <cols>
    <col min="1" max="1" width="9" style="56" customWidth="1"/>
    <col min="2" max="2" width="7.33203125" style="56" customWidth="1"/>
    <col min="3" max="3" width="33.88671875" style="56" customWidth="1"/>
    <col min="4" max="4" width="5.44140625" style="56" customWidth="1"/>
    <col min="5" max="5" width="16.44140625" style="56" customWidth="1"/>
    <col min="6" max="6" width="7.33203125" style="56" customWidth="1"/>
    <col min="7" max="7" width="11.21875" style="56" hidden="1" customWidth="1"/>
    <col min="8" max="8" width="9.109375" style="56" hidden="1" customWidth="1"/>
    <col min="9" max="9" width="4.44140625" style="56" customWidth="1"/>
    <col min="10" max="10" width="4.44140625" style="184" hidden="1" customWidth="1"/>
    <col min="11" max="11" width="8" style="56" hidden="1" customWidth="1"/>
    <col min="12" max="15" width="9.109375" style="56" hidden="1" customWidth="1"/>
    <col min="16" max="16" width="4.44140625" style="184" customWidth="1"/>
    <col min="17" max="17" width="8.5546875" style="56" customWidth="1"/>
    <col min="18" max="20" width="8.5546875" style="56" hidden="1" customWidth="1"/>
    <col min="21" max="22" width="8" style="56" hidden="1" customWidth="1"/>
    <col min="23" max="23" width="8" style="56" customWidth="1"/>
    <col min="24" max="33" width="9.109375" style="56" hidden="1" customWidth="1"/>
    <col min="34" max="34" width="33.109375" style="56" customWidth="1"/>
    <col min="35" max="35" width="14" style="56" customWidth="1"/>
    <col min="36" max="37" width="9.109375" style="13" hidden="1" customWidth="1"/>
    <col min="38" max="38" width="7.44140625" style="13" hidden="1" customWidth="1"/>
    <col min="39" max="39" width="21.109375" style="14" customWidth="1"/>
    <col min="40" max="103" width="9.109375" style="14" hidden="1" customWidth="1"/>
    <col min="104" max="104" width="24.44140625" style="14" customWidth="1"/>
    <col min="105" max="120" width="9.109375" style="14" customWidth="1"/>
    <col min="121" max="16384" width="9.109375" style="14"/>
  </cols>
  <sheetData>
    <row r="1" spans="1:103" customFormat="1" ht="38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184"/>
      <c r="K1" s="56"/>
      <c r="L1" s="56"/>
      <c r="M1" s="56"/>
      <c r="N1" s="56"/>
      <c r="O1" s="56"/>
      <c r="P1" s="184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2"/>
      <c r="AK1" s="2"/>
      <c r="AL1" s="2"/>
      <c r="AY1" s="19" t="str">
        <f>CONCATENATE("Setup!O7:O",COUNTA(Setup!O:O)+3)</f>
        <v>Setup!O7:O246</v>
      </c>
      <c r="BB1" t="s">
        <v>62</v>
      </c>
      <c r="BC1" t="s">
        <v>63</v>
      </c>
      <c r="BD1" t="s">
        <v>64</v>
      </c>
      <c r="BE1" t="s">
        <v>65</v>
      </c>
      <c r="BF1" t="s">
        <v>66</v>
      </c>
      <c r="CC1">
        <v>9</v>
      </c>
    </row>
    <row r="2" spans="1:103" s="173" customFormat="1" ht="27" thickBot="1" x14ac:dyDescent="0.3">
      <c r="A2" s="174"/>
      <c r="B2" s="174" t="s">
        <v>107</v>
      </c>
      <c r="C2" s="174" t="s">
        <v>0</v>
      </c>
      <c r="D2" s="174" t="s">
        <v>1</v>
      </c>
      <c r="E2" s="174" t="s">
        <v>29</v>
      </c>
      <c r="F2" s="174" t="str">
        <f>Setup!K6</f>
        <v>BWt (Kg)</v>
      </c>
      <c r="G2" s="174" t="s">
        <v>103</v>
      </c>
      <c r="H2" s="174" t="s">
        <v>94</v>
      </c>
      <c r="I2" s="174" t="s">
        <v>2</v>
      </c>
      <c r="J2" s="185" t="s">
        <v>26</v>
      </c>
      <c r="K2" s="174" t="s">
        <v>22</v>
      </c>
      <c r="L2" s="174" t="s">
        <v>23</v>
      </c>
      <c r="M2" s="174" t="s">
        <v>24</v>
      </c>
      <c r="N2" s="174" t="s">
        <v>25</v>
      </c>
      <c r="O2" s="174" t="s">
        <v>11</v>
      </c>
      <c r="P2" s="185" t="s">
        <v>27</v>
      </c>
      <c r="Q2" s="174" t="s">
        <v>104</v>
      </c>
      <c r="R2" s="174" t="s">
        <v>13</v>
      </c>
      <c r="S2" s="174" t="s">
        <v>14</v>
      </c>
      <c r="T2" s="174" t="s">
        <v>28</v>
      </c>
      <c r="U2" s="174" t="s">
        <v>15</v>
      </c>
      <c r="V2" s="174" t="s">
        <v>16</v>
      </c>
      <c r="W2" s="174" t="s">
        <v>17</v>
      </c>
      <c r="X2" s="174" t="s">
        <v>18</v>
      </c>
      <c r="Y2" s="174" t="s">
        <v>19</v>
      </c>
      <c r="Z2" s="174" t="s">
        <v>20</v>
      </c>
      <c r="AA2" s="174" t="s">
        <v>21</v>
      </c>
      <c r="AB2" s="174"/>
      <c r="AC2" s="174" t="s">
        <v>90</v>
      </c>
      <c r="AD2" s="174" t="s">
        <v>95</v>
      </c>
      <c r="AE2" s="174" t="s">
        <v>100</v>
      </c>
      <c r="AF2" s="174" t="s">
        <v>30</v>
      </c>
      <c r="AG2" s="174" t="s">
        <v>37</v>
      </c>
      <c r="AH2" s="174" t="s">
        <v>44</v>
      </c>
      <c r="AI2" s="174" t="s">
        <v>106</v>
      </c>
      <c r="AJ2" s="172" t="s">
        <v>102</v>
      </c>
      <c r="AK2" s="172" t="s">
        <v>36</v>
      </c>
      <c r="AL2" s="172" t="s">
        <v>38</v>
      </c>
      <c r="AP2" s="173" t="s">
        <v>98</v>
      </c>
      <c r="AQ2" s="173" t="s">
        <v>99</v>
      </c>
      <c r="AR2" s="173">
        <v>-1</v>
      </c>
      <c r="CC2" s="173">
        <v>39</v>
      </c>
      <c r="CH2" s="173" t="s">
        <v>80</v>
      </c>
      <c r="CI2" s="173" t="s">
        <v>22</v>
      </c>
      <c r="CJ2" s="173" t="s">
        <v>23</v>
      </c>
      <c r="CK2" s="173" t="s">
        <v>24</v>
      </c>
      <c r="CL2" s="173" t="s">
        <v>25</v>
      </c>
      <c r="CM2" s="173" t="s">
        <v>11</v>
      </c>
      <c r="CN2" s="173" t="s">
        <v>27</v>
      </c>
      <c r="CO2" s="173" t="s">
        <v>12</v>
      </c>
      <c r="CP2" s="173" t="s">
        <v>13</v>
      </c>
      <c r="CQ2" s="173" t="s">
        <v>14</v>
      </c>
      <c r="CR2" s="173" t="s">
        <v>28</v>
      </c>
      <c r="CS2" s="173" t="s">
        <v>15</v>
      </c>
      <c r="CT2" s="173" t="s">
        <v>16</v>
      </c>
      <c r="CU2" s="173" t="s">
        <v>17</v>
      </c>
      <c r="CV2" s="173" t="s">
        <v>18</v>
      </c>
      <c r="CW2" s="173" t="s">
        <v>19</v>
      </c>
      <c r="CX2" s="173" t="s">
        <v>20</v>
      </c>
      <c r="CY2" s="173" t="s">
        <v>21</v>
      </c>
    </row>
    <row r="3" spans="1:103" ht="12.75" customHeight="1" x14ac:dyDescent="0.25">
      <c r="B3" s="210" t="s">
        <v>32</v>
      </c>
      <c r="C3" t="s">
        <v>651</v>
      </c>
      <c r="D3">
        <v>20</v>
      </c>
      <c r="E3" t="s">
        <v>283</v>
      </c>
      <c r="F3" s="230">
        <v>54.95</v>
      </c>
      <c r="G3" s="217" t="s">
        <v>678</v>
      </c>
      <c r="J3" s="200"/>
      <c r="P3" s="200">
        <v>11</v>
      </c>
      <c r="Q3" s="56">
        <v>52.5</v>
      </c>
      <c r="W3" s="56">
        <v>115</v>
      </c>
      <c r="AH3" s="199"/>
      <c r="AI3" s="199" t="s">
        <v>667</v>
      </c>
    </row>
    <row r="4" spans="1:103" ht="12.75" customHeight="1" x14ac:dyDescent="0.25">
      <c r="B4" s="210" t="s">
        <v>32</v>
      </c>
      <c r="C4" t="s">
        <v>680</v>
      </c>
      <c r="D4">
        <v>30</v>
      </c>
      <c r="E4" t="s">
        <v>681</v>
      </c>
      <c r="F4" s="230">
        <v>67.05</v>
      </c>
      <c r="G4" s="199" t="s">
        <v>679</v>
      </c>
      <c r="J4" s="200"/>
      <c r="P4" s="200">
        <v>12</v>
      </c>
      <c r="Q4" s="56">
        <v>55</v>
      </c>
      <c r="W4" s="200">
        <v>125</v>
      </c>
      <c r="AH4" s="199"/>
      <c r="AI4" s="199" t="s">
        <v>667</v>
      </c>
    </row>
    <row r="5" spans="1:103" ht="13.8" x14ac:dyDescent="0.25">
      <c r="B5" s="210" t="s">
        <v>32</v>
      </c>
      <c r="C5" t="s">
        <v>662</v>
      </c>
      <c r="D5">
        <v>41</v>
      </c>
      <c r="E5" t="s">
        <v>295</v>
      </c>
      <c r="F5" s="230">
        <v>66.099999999999994</v>
      </c>
      <c r="J5" s="200"/>
      <c r="P5" s="200">
        <v>11</v>
      </c>
      <c r="Q5" s="56">
        <v>75</v>
      </c>
      <c r="AH5" s="199"/>
      <c r="AI5" s="199" t="s">
        <v>348</v>
      </c>
    </row>
    <row r="6" spans="1:103" ht="13.8" x14ac:dyDescent="0.25">
      <c r="B6" s="210" t="s">
        <v>32</v>
      </c>
      <c r="C6" t="s">
        <v>654</v>
      </c>
      <c r="D6">
        <v>60</v>
      </c>
      <c r="E6" t="s">
        <v>319</v>
      </c>
      <c r="F6" s="230">
        <v>69.25</v>
      </c>
      <c r="P6" s="200">
        <v>11</v>
      </c>
      <c r="Q6" s="56">
        <v>45</v>
      </c>
      <c r="W6" s="56">
        <v>92.5</v>
      </c>
      <c r="AH6" s="199"/>
      <c r="AI6" s="199" t="s">
        <v>667</v>
      </c>
    </row>
    <row r="7" spans="1:103" ht="13.8" x14ac:dyDescent="0.25">
      <c r="B7" s="210" t="s">
        <v>32</v>
      </c>
      <c r="C7" t="s">
        <v>652</v>
      </c>
      <c r="D7">
        <v>37</v>
      </c>
      <c r="E7" t="s">
        <v>288</v>
      </c>
      <c r="F7" s="230">
        <v>109.45</v>
      </c>
      <c r="J7" s="200"/>
      <c r="P7" s="200">
        <v>16</v>
      </c>
      <c r="Q7" s="56">
        <v>80</v>
      </c>
      <c r="W7" s="56">
        <v>140</v>
      </c>
      <c r="AH7" s="199"/>
      <c r="AI7" s="199" t="s">
        <v>667</v>
      </c>
    </row>
    <row r="8" spans="1:103" ht="13.8" x14ac:dyDescent="0.25">
      <c r="B8" s="210" t="s">
        <v>32</v>
      </c>
      <c r="C8" t="s">
        <v>657</v>
      </c>
      <c r="D8">
        <v>35</v>
      </c>
      <c r="E8" t="s">
        <v>288</v>
      </c>
      <c r="F8" s="230">
        <v>66.05</v>
      </c>
      <c r="J8" s="200"/>
      <c r="P8" s="200">
        <v>12</v>
      </c>
      <c r="Q8" s="56">
        <v>47.5</v>
      </c>
      <c r="W8" s="56">
        <v>112.5</v>
      </c>
      <c r="AH8" s="199"/>
      <c r="AI8" s="199" t="s">
        <v>667</v>
      </c>
    </row>
    <row r="9" spans="1:103" ht="12.75" customHeight="1" x14ac:dyDescent="0.25">
      <c r="B9" s="210" t="s">
        <v>32</v>
      </c>
      <c r="C9" s="217" t="s">
        <v>670</v>
      </c>
      <c r="D9">
        <v>14</v>
      </c>
      <c r="E9" t="s">
        <v>264</v>
      </c>
      <c r="F9" s="230">
        <v>51.6</v>
      </c>
      <c r="J9" s="200"/>
      <c r="P9" s="200">
        <v>12</v>
      </c>
      <c r="Q9" s="56">
        <v>52.5</v>
      </c>
      <c r="W9" s="56">
        <v>70</v>
      </c>
      <c r="AH9" s="199"/>
      <c r="AI9" s="199" t="s">
        <v>667</v>
      </c>
    </row>
    <row r="10" spans="1:103" ht="12.75" customHeight="1" x14ac:dyDescent="0.25">
      <c r="B10" s="210" t="s">
        <v>32</v>
      </c>
      <c r="C10" s="217" t="s">
        <v>671</v>
      </c>
      <c r="D10">
        <v>14</v>
      </c>
      <c r="E10" t="s">
        <v>264</v>
      </c>
      <c r="F10" s="230">
        <v>51.6</v>
      </c>
      <c r="J10" s="200"/>
      <c r="P10" s="200">
        <v>12</v>
      </c>
      <c r="Q10" s="200">
        <v>52.5</v>
      </c>
      <c r="W10" s="56">
        <v>70</v>
      </c>
      <c r="AH10" s="199"/>
      <c r="AI10" s="199" t="s">
        <v>667</v>
      </c>
    </row>
    <row r="11" spans="1:103" ht="12.75" customHeight="1" x14ac:dyDescent="0.25">
      <c r="B11" s="210" t="s">
        <v>32</v>
      </c>
      <c r="C11" t="s">
        <v>666</v>
      </c>
      <c r="D11">
        <v>41</v>
      </c>
      <c r="E11" t="s">
        <v>204</v>
      </c>
      <c r="F11" s="230">
        <v>102.5</v>
      </c>
      <c r="J11" s="200"/>
      <c r="P11" s="200"/>
      <c r="Q11" s="200"/>
      <c r="W11" s="56">
        <v>255</v>
      </c>
      <c r="AH11" s="199"/>
      <c r="AI11" s="199" t="s">
        <v>349</v>
      </c>
    </row>
    <row r="12" spans="1:103" ht="12.75" customHeight="1" x14ac:dyDescent="0.25">
      <c r="B12" s="210" t="s">
        <v>32</v>
      </c>
      <c r="C12" t="s">
        <v>656</v>
      </c>
      <c r="D12">
        <v>28</v>
      </c>
      <c r="E12" t="s">
        <v>169</v>
      </c>
      <c r="F12" s="230">
        <v>148.35</v>
      </c>
      <c r="P12" s="200">
        <v>19</v>
      </c>
      <c r="Q12" s="200">
        <v>157.5</v>
      </c>
      <c r="W12" s="56">
        <v>207.5</v>
      </c>
      <c r="AH12" s="199"/>
      <c r="AI12" s="199" t="s">
        <v>667</v>
      </c>
    </row>
    <row r="13" spans="1:103" ht="12.75" customHeight="1" x14ac:dyDescent="0.25">
      <c r="B13" s="210" t="s">
        <v>32</v>
      </c>
      <c r="C13" t="s">
        <v>665</v>
      </c>
      <c r="D13">
        <v>34</v>
      </c>
      <c r="E13" t="s">
        <v>169</v>
      </c>
      <c r="F13" s="230">
        <v>81.099999999999994</v>
      </c>
      <c r="J13" s="200"/>
      <c r="P13" s="200"/>
      <c r="W13" s="56">
        <v>160</v>
      </c>
      <c r="AH13" s="199"/>
      <c r="AI13" s="199" t="s">
        <v>349</v>
      </c>
    </row>
    <row r="14" spans="1:103" ht="12.75" customHeight="1" x14ac:dyDescent="0.25">
      <c r="B14" s="210" t="s">
        <v>32</v>
      </c>
      <c r="C14" t="s">
        <v>653</v>
      </c>
      <c r="D14">
        <v>19</v>
      </c>
      <c r="E14" t="s">
        <v>168</v>
      </c>
      <c r="F14" s="230">
        <v>80.3</v>
      </c>
      <c r="J14" s="200"/>
      <c r="P14" s="200">
        <v>15</v>
      </c>
      <c r="Q14" s="56">
        <v>115</v>
      </c>
      <c r="W14" s="56">
        <v>215</v>
      </c>
      <c r="AH14" s="199"/>
      <c r="AI14" s="199" t="s">
        <v>667</v>
      </c>
    </row>
    <row r="15" spans="1:103" ht="12.75" customHeight="1" x14ac:dyDescent="0.25">
      <c r="B15" s="210" t="s">
        <v>32</v>
      </c>
      <c r="C15" t="s">
        <v>659</v>
      </c>
      <c r="D15">
        <v>17</v>
      </c>
      <c r="E15" t="s">
        <v>180</v>
      </c>
      <c r="F15" s="230">
        <v>98.95</v>
      </c>
      <c r="J15" s="200"/>
      <c r="P15" s="200">
        <v>15</v>
      </c>
      <c r="Q15" s="56">
        <v>125</v>
      </c>
      <c r="W15" s="200"/>
      <c r="AH15" s="199"/>
      <c r="AI15" s="199" t="s">
        <v>348</v>
      </c>
    </row>
    <row r="16" spans="1:103" ht="12.75" customHeight="1" x14ac:dyDescent="0.25">
      <c r="B16" s="210" t="s">
        <v>32</v>
      </c>
      <c r="C16" t="s">
        <v>655</v>
      </c>
      <c r="D16">
        <v>18</v>
      </c>
      <c r="E16" t="s">
        <v>186</v>
      </c>
      <c r="F16" s="230">
        <v>64.95</v>
      </c>
      <c r="P16" s="200">
        <v>9</v>
      </c>
      <c r="Q16" s="56">
        <v>110</v>
      </c>
      <c r="W16" s="56">
        <v>250</v>
      </c>
      <c r="AH16" s="199"/>
      <c r="AI16" s="199" t="s">
        <v>667</v>
      </c>
    </row>
    <row r="17" spans="2:39" ht="12.75" customHeight="1" x14ac:dyDescent="0.25">
      <c r="B17" s="210" t="s">
        <v>32</v>
      </c>
      <c r="C17" t="s">
        <v>661</v>
      </c>
      <c r="D17">
        <v>43</v>
      </c>
      <c r="E17" t="s">
        <v>205</v>
      </c>
      <c r="F17" s="230">
        <v>137</v>
      </c>
      <c r="J17" s="200"/>
      <c r="P17" s="200">
        <v>15</v>
      </c>
      <c r="Q17" s="56">
        <v>212</v>
      </c>
      <c r="W17" s="200">
        <v>247.5</v>
      </c>
      <c r="AH17" s="199"/>
      <c r="AI17" s="199" t="s">
        <v>667</v>
      </c>
    </row>
    <row r="18" spans="2:39" ht="12.75" customHeight="1" x14ac:dyDescent="0.25">
      <c r="B18" s="210" t="s">
        <v>33</v>
      </c>
      <c r="C18" t="s">
        <v>682</v>
      </c>
      <c r="D18">
        <v>45</v>
      </c>
      <c r="E18" t="s">
        <v>210</v>
      </c>
      <c r="F18" s="230">
        <v>154.69999999999999</v>
      </c>
      <c r="J18" s="200"/>
      <c r="P18" s="200">
        <v>18</v>
      </c>
      <c r="Q18" s="56">
        <v>130</v>
      </c>
      <c r="W18" s="200"/>
      <c r="AH18" s="199"/>
      <c r="AI18" s="199" t="s">
        <v>348</v>
      </c>
    </row>
    <row r="19" spans="2:39" ht="12.75" customHeight="1" x14ac:dyDescent="0.25">
      <c r="B19" s="210" t="s">
        <v>33</v>
      </c>
      <c r="C19" t="s">
        <v>683</v>
      </c>
      <c r="D19">
        <v>45</v>
      </c>
      <c r="E19" t="s">
        <v>168</v>
      </c>
      <c r="F19" s="230">
        <v>154.69999999999999</v>
      </c>
      <c r="P19" s="200">
        <v>18</v>
      </c>
      <c r="Q19" s="56">
        <v>130</v>
      </c>
      <c r="W19" s="200"/>
      <c r="AH19" s="199"/>
      <c r="AI19" s="199" t="s">
        <v>348</v>
      </c>
      <c r="AM19" s="214"/>
    </row>
    <row r="20" spans="2:39" ht="12.75" customHeight="1" x14ac:dyDescent="0.25">
      <c r="B20" s="210" t="s">
        <v>33</v>
      </c>
      <c r="C20" t="s">
        <v>676</v>
      </c>
      <c r="D20">
        <v>48</v>
      </c>
      <c r="E20" t="s">
        <v>210</v>
      </c>
      <c r="F20" s="230">
        <v>127.05</v>
      </c>
      <c r="P20" s="200">
        <v>16</v>
      </c>
      <c r="Q20" s="56">
        <v>210</v>
      </c>
      <c r="W20" s="200"/>
      <c r="AH20" s="199"/>
      <c r="AI20" s="199" t="s">
        <v>348</v>
      </c>
      <c r="AM20" s="214"/>
    </row>
    <row r="21" spans="2:39" ht="12.75" customHeight="1" x14ac:dyDescent="0.25">
      <c r="B21" s="210" t="s">
        <v>33</v>
      </c>
      <c r="C21" t="s">
        <v>677</v>
      </c>
      <c r="D21">
        <v>48</v>
      </c>
      <c r="E21" t="s">
        <v>168</v>
      </c>
      <c r="F21" s="230">
        <v>127.05</v>
      </c>
      <c r="J21" s="200"/>
      <c r="P21" s="200">
        <v>16</v>
      </c>
      <c r="Q21" s="56">
        <v>210</v>
      </c>
      <c r="W21" s="200"/>
      <c r="AH21" s="199"/>
      <c r="AI21" s="199" t="s">
        <v>348</v>
      </c>
    </row>
    <row r="22" spans="2:39" ht="13.8" x14ac:dyDescent="0.25">
      <c r="B22" s="210" t="s">
        <v>33</v>
      </c>
      <c r="C22" s="217" t="s">
        <v>668</v>
      </c>
      <c r="D22">
        <v>46</v>
      </c>
      <c r="E22" t="s">
        <v>210</v>
      </c>
      <c r="F22" s="230">
        <v>151.6</v>
      </c>
      <c r="J22" s="200"/>
      <c r="P22" s="200">
        <v>16</v>
      </c>
      <c r="Q22" s="56">
        <v>240</v>
      </c>
      <c r="W22" s="200"/>
      <c r="AH22" s="199"/>
      <c r="AI22" s="199" t="s">
        <v>348</v>
      </c>
    </row>
    <row r="23" spans="2:39" ht="13.8" x14ac:dyDescent="0.25">
      <c r="B23" s="210" t="s">
        <v>33</v>
      </c>
      <c r="C23" s="217" t="s">
        <v>664</v>
      </c>
      <c r="D23">
        <v>49</v>
      </c>
      <c r="E23" t="s">
        <v>210</v>
      </c>
      <c r="F23" s="230">
        <v>98.1</v>
      </c>
      <c r="J23" s="200"/>
      <c r="P23" s="200">
        <v>18</v>
      </c>
      <c r="Q23" s="56">
        <v>85</v>
      </c>
      <c r="W23" s="200"/>
      <c r="AH23" s="199"/>
      <c r="AI23" s="199" t="s">
        <v>348</v>
      </c>
    </row>
    <row r="24" spans="2:39" ht="12.75" customHeight="1" x14ac:dyDescent="0.25">
      <c r="B24" s="210" t="s">
        <v>33</v>
      </c>
      <c r="C24" t="s">
        <v>658</v>
      </c>
      <c r="D24">
        <v>46</v>
      </c>
      <c r="E24" t="s">
        <v>210</v>
      </c>
      <c r="F24" s="230">
        <v>123.5</v>
      </c>
      <c r="J24" s="200"/>
      <c r="P24" s="200">
        <v>20</v>
      </c>
      <c r="Q24" s="56">
        <v>172.5</v>
      </c>
      <c r="W24" s="200"/>
      <c r="AH24" s="199"/>
      <c r="AI24" s="199" t="s">
        <v>348</v>
      </c>
      <c r="AM24" s="214"/>
    </row>
    <row r="25" spans="2:39" ht="12.75" customHeight="1" x14ac:dyDescent="0.25">
      <c r="B25" s="210" t="s">
        <v>33</v>
      </c>
      <c r="C25" t="s">
        <v>660</v>
      </c>
      <c r="D25">
        <v>51</v>
      </c>
      <c r="E25" t="s">
        <v>216</v>
      </c>
      <c r="F25" s="230">
        <v>121.35</v>
      </c>
      <c r="J25" s="200"/>
      <c r="P25" s="200"/>
      <c r="Q25" s="56">
        <v>175</v>
      </c>
      <c r="W25" s="200"/>
      <c r="AH25" s="199"/>
      <c r="AI25" s="199" t="s">
        <v>348</v>
      </c>
    </row>
    <row r="26" spans="2:39" ht="12.75" customHeight="1" x14ac:dyDescent="0.25">
      <c r="B26" s="210" t="s">
        <v>33</v>
      </c>
      <c r="C26" t="s">
        <v>663</v>
      </c>
      <c r="D26">
        <v>50</v>
      </c>
      <c r="E26" t="s">
        <v>217</v>
      </c>
      <c r="F26" s="230">
        <v>97.05</v>
      </c>
      <c r="J26" s="200"/>
      <c r="P26" s="200">
        <v>14</v>
      </c>
      <c r="Q26" s="56">
        <v>152.5</v>
      </c>
      <c r="W26" s="200"/>
      <c r="AH26" s="199"/>
      <c r="AI26" s="199" t="s">
        <v>348</v>
      </c>
    </row>
    <row r="27" spans="2:39" ht="12.75" customHeight="1" x14ac:dyDescent="0.25">
      <c r="B27" s="210" t="s">
        <v>33</v>
      </c>
      <c r="C27" s="217" t="s">
        <v>669</v>
      </c>
      <c r="D27">
        <v>46</v>
      </c>
      <c r="E27" t="s">
        <v>168</v>
      </c>
      <c r="F27" s="230">
        <v>151.6</v>
      </c>
      <c r="J27" s="200"/>
      <c r="P27" s="200">
        <v>16</v>
      </c>
      <c r="Q27" s="56">
        <v>240</v>
      </c>
      <c r="W27" s="200"/>
      <c r="AH27" s="199"/>
      <c r="AI27" s="199" t="s">
        <v>348</v>
      </c>
    </row>
    <row r="28" spans="2:39" ht="12.75" customHeight="1" x14ac:dyDescent="0.25">
      <c r="B28" s="210"/>
      <c r="C28" s="217"/>
      <c r="D28" s="217"/>
      <c r="E28" s="230"/>
      <c r="F28" s="230"/>
      <c r="J28" s="200"/>
      <c r="P28" s="200"/>
      <c r="AH28" s="199"/>
      <c r="AI28" s="199"/>
    </row>
    <row r="29" spans="2:39" ht="13.8" x14ac:dyDescent="0.25">
      <c r="B29" s="210"/>
      <c r="D29" s="217"/>
      <c r="E29" s="230"/>
      <c r="F29" s="230"/>
      <c r="J29" s="200"/>
      <c r="P29" s="200"/>
      <c r="AH29" s="199"/>
      <c r="AI29" s="199"/>
    </row>
    <row r="30" spans="2:39" ht="12.75" customHeight="1" x14ac:dyDescent="0.25">
      <c r="B30" s="210"/>
      <c r="D30" s="217"/>
      <c r="E30" s="230"/>
      <c r="F30" s="230"/>
      <c r="J30" s="200"/>
      <c r="P30" s="200"/>
      <c r="AH30" s="199"/>
      <c r="AI30" s="199"/>
      <c r="AM30" s="214"/>
    </row>
    <row r="31" spans="2:39" ht="12.75" customHeight="1" x14ac:dyDescent="0.25">
      <c r="B31" s="210"/>
      <c r="D31" s="217"/>
      <c r="E31" s="230"/>
      <c r="F31" s="230"/>
      <c r="J31" s="200"/>
      <c r="P31" s="200"/>
      <c r="AH31" s="199"/>
      <c r="AI31" s="199"/>
    </row>
    <row r="32" spans="2:39" ht="12.75" customHeight="1" x14ac:dyDescent="0.25">
      <c r="B32" s="210"/>
      <c r="D32" s="217"/>
      <c r="E32" s="231"/>
      <c r="F32" s="231"/>
      <c r="J32" s="200"/>
      <c r="P32" s="200"/>
      <c r="AH32" s="199"/>
      <c r="AI32" s="199"/>
    </row>
    <row r="33" spans="2:104" ht="12.75" customHeight="1" x14ac:dyDescent="0.25">
      <c r="B33" s="210"/>
      <c r="D33" s="217"/>
      <c r="E33" s="230"/>
      <c r="F33" s="230"/>
      <c r="J33" s="200"/>
      <c r="P33" s="200"/>
      <c r="AH33" s="199"/>
      <c r="AI33" s="199"/>
    </row>
    <row r="34" spans="2:104" ht="12.75" customHeight="1" x14ac:dyDescent="0.25">
      <c r="B34" s="210"/>
      <c r="D34" s="217"/>
      <c r="E34" s="231"/>
      <c r="F34" s="231"/>
      <c r="J34" s="200"/>
      <c r="P34" s="200"/>
      <c r="AH34" s="199"/>
      <c r="AI34" s="199"/>
    </row>
    <row r="35" spans="2:104" ht="12.75" customHeight="1" x14ac:dyDescent="0.25">
      <c r="B35" s="210"/>
      <c r="D35" s="217"/>
      <c r="E35" s="230"/>
      <c r="F35" s="230"/>
      <c r="J35" s="200"/>
      <c r="P35" s="200"/>
      <c r="AH35" s="199"/>
      <c r="AI35" s="199"/>
    </row>
    <row r="36" spans="2:104" ht="12.75" customHeight="1" x14ac:dyDescent="0.25">
      <c r="B36" s="210"/>
      <c r="D36" s="217"/>
      <c r="E36" s="231"/>
      <c r="F36" s="231"/>
      <c r="J36" s="200"/>
      <c r="P36" s="200"/>
      <c r="AH36" s="199"/>
      <c r="AI36" s="199"/>
    </row>
    <row r="37" spans="2:104" ht="12.75" customHeight="1" x14ac:dyDescent="0.25">
      <c r="B37" s="210"/>
      <c r="D37" s="217"/>
      <c r="E37" s="230"/>
      <c r="F37" s="230"/>
      <c r="J37" s="200"/>
      <c r="P37" s="200"/>
      <c r="AH37" s="199"/>
      <c r="AI37" s="199"/>
    </row>
    <row r="38" spans="2:104" ht="12.75" customHeight="1" x14ac:dyDescent="0.25">
      <c r="B38" s="210"/>
      <c r="D38" s="217"/>
      <c r="E38" s="231"/>
      <c r="F38" s="231"/>
      <c r="J38" s="200"/>
      <c r="P38" s="200"/>
      <c r="AH38" s="199"/>
      <c r="AI38" s="199"/>
    </row>
    <row r="39" spans="2:104" ht="12.75" customHeight="1" x14ac:dyDescent="0.25">
      <c r="B39" s="210"/>
      <c r="D39" s="217"/>
      <c r="E39" s="230"/>
      <c r="F39" s="230"/>
      <c r="P39" s="200"/>
      <c r="AH39" s="199"/>
      <c r="AI39" s="199"/>
    </row>
    <row r="40" spans="2:104" ht="12.75" customHeight="1" x14ac:dyDescent="0.25">
      <c r="B40" s="210"/>
      <c r="C40" s="217"/>
      <c r="D40" s="217"/>
      <c r="E40" s="230"/>
      <c r="F40" s="230"/>
      <c r="P40" s="200"/>
      <c r="AH40" s="199"/>
      <c r="AI40" s="199"/>
    </row>
    <row r="41" spans="2:104" ht="12.75" customHeight="1" x14ac:dyDescent="0.25">
      <c r="B41" s="210"/>
      <c r="C41" s="217"/>
      <c r="D41" s="217"/>
      <c r="E41" s="231"/>
      <c r="F41" s="231"/>
      <c r="J41" s="200"/>
      <c r="P41" s="200"/>
      <c r="AH41" s="199"/>
      <c r="AI41" s="199"/>
    </row>
    <row r="42" spans="2:104" ht="12.75" customHeight="1" x14ac:dyDescent="0.25">
      <c r="B42" s="210"/>
      <c r="C42" s="215"/>
      <c r="D42" s="198"/>
      <c r="E42" s="215"/>
      <c r="P42" s="200"/>
      <c r="AH42" s="199"/>
      <c r="AI42" s="199"/>
    </row>
    <row r="43" spans="2:104" ht="12.75" customHeight="1" x14ac:dyDescent="0.25">
      <c r="B43" s="210"/>
      <c r="C43" s="215"/>
      <c r="D43" s="198"/>
      <c r="E43" s="215"/>
      <c r="P43" s="200"/>
      <c r="AH43" s="199"/>
      <c r="AI43" s="199"/>
    </row>
    <row r="44" spans="2:104" ht="12.75" customHeight="1" x14ac:dyDescent="0.25">
      <c r="B44" s="210"/>
      <c r="C44" s="215"/>
      <c r="D44" s="198"/>
      <c r="E44" s="215"/>
      <c r="P44" s="200"/>
      <c r="AH44" s="199"/>
      <c r="AI44" s="199"/>
    </row>
    <row r="45" spans="2:104" ht="12.75" customHeight="1" x14ac:dyDescent="0.25">
      <c r="B45" s="210"/>
      <c r="C45" s="215"/>
      <c r="D45" s="198"/>
      <c r="E45" s="215"/>
      <c r="P45" s="200"/>
      <c r="AH45" s="199"/>
      <c r="AI45" s="199"/>
      <c r="CZ45" s="211"/>
    </row>
    <row r="46" spans="2:104" ht="12.75" customHeight="1" x14ac:dyDescent="0.25">
      <c r="B46" s="210"/>
      <c r="C46" s="215"/>
      <c r="D46" s="198"/>
      <c r="E46" s="215"/>
      <c r="P46" s="200"/>
      <c r="AH46" s="199"/>
      <c r="AI46" s="199"/>
      <c r="CZ46" s="211"/>
    </row>
    <row r="47" spans="2:104" ht="12.75" customHeight="1" x14ac:dyDescent="0.25">
      <c r="B47" s="210"/>
      <c r="C47" s="215"/>
      <c r="D47" s="198"/>
      <c r="E47" s="215"/>
      <c r="I47" s="199"/>
      <c r="P47" s="200"/>
      <c r="AH47" s="199"/>
      <c r="AI47" s="199"/>
    </row>
    <row r="48" spans="2:104" x14ac:dyDescent="0.25">
      <c r="B48" s="210"/>
      <c r="C48" s="215"/>
      <c r="D48" s="198"/>
      <c r="E48" s="215"/>
      <c r="P48" s="200"/>
      <c r="AH48" s="199"/>
      <c r="AI48" s="199"/>
    </row>
    <row r="49" spans="2:39" ht="12.75" customHeight="1" x14ac:dyDescent="0.25">
      <c r="B49" s="210"/>
      <c r="C49" s="215"/>
      <c r="D49" s="198"/>
      <c r="E49" s="215"/>
      <c r="P49" s="200"/>
      <c r="AH49" s="199"/>
      <c r="AI49" s="199"/>
    </row>
    <row r="50" spans="2:39" ht="12.75" customHeight="1" x14ac:dyDescent="0.25">
      <c r="B50" s="210"/>
      <c r="C50" s="215"/>
      <c r="D50" s="198"/>
      <c r="E50" s="215"/>
      <c r="P50" s="200"/>
      <c r="AH50" s="199"/>
      <c r="AI50" s="199"/>
    </row>
    <row r="51" spans="2:39" ht="12.75" customHeight="1" x14ac:dyDescent="0.25">
      <c r="B51" s="210"/>
      <c r="C51" s="215"/>
      <c r="D51" s="198"/>
      <c r="E51" s="215"/>
      <c r="P51" s="200"/>
      <c r="AH51" s="199"/>
      <c r="AI51" s="199"/>
    </row>
    <row r="52" spans="2:39" ht="12.75" customHeight="1" x14ac:dyDescent="0.25">
      <c r="B52" s="210"/>
      <c r="C52" s="215"/>
      <c r="D52" s="198"/>
      <c r="E52" s="215"/>
      <c r="P52" s="200"/>
      <c r="AH52" s="199"/>
      <c r="AI52" s="199"/>
    </row>
    <row r="53" spans="2:39" ht="12.75" customHeight="1" x14ac:dyDescent="0.25">
      <c r="B53" s="210"/>
      <c r="C53" s="215"/>
      <c r="D53" s="198"/>
      <c r="E53" s="215"/>
      <c r="P53" s="200"/>
      <c r="AH53" s="199"/>
      <c r="AI53" s="199"/>
    </row>
    <row r="54" spans="2:39" ht="12.75" customHeight="1" x14ac:dyDescent="0.25">
      <c r="B54" s="210"/>
      <c r="C54" s="215"/>
      <c r="D54" s="198"/>
      <c r="E54" s="215"/>
      <c r="P54" s="200"/>
      <c r="AH54" s="199"/>
      <c r="AI54" s="199"/>
    </row>
    <row r="55" spans="2:39" x14ac:dyDescent="0.25">
      <c r="B55" s="210"/>
      <c r="C55" s="215"/>
      <c r="D55" s="198"/>
      <c r="E55" s="215"/>
      <c r="P55" s="200"/>
      <c r="AH55" s="199"/>
      <c r="AI55" s="199"/>
    </row>
    <row r="56" spans="2:39" ht="12.75" customHeight="1" x14ac:dyDescent="0.25">
      <c r="B56" s="210"/>
      <c r="C56" s="215"/>
      <c r="D56" s="198"/>
      <c r="E56" s="215"/>
      <c r="P56" s="200"/>
      <c r="AH56" s="199"/>
      <c r="AI56" s="199"/>
    </row>
    <row r="57" spans="2:39" ht="12.75" customHeight="1" x14ac:dyDescent="0.25">
      <c r="B57" s="210"/>
      <c r="C57" s="215"/>
      <c r="D57" s="198"/>
      <c r="E57" s="215"/>
      <c r="P57" s="200"/>
      <c r="AH57" s="199"/>
      <c r="AI57" s="199"/>
    </row>
    <row r="58" spans="2:39" ht="12.75" customHeight="1" x14ac:dyDescent="0.25">
      <c r="B58" s="210"/>
      <c r="C58" s="215"/>
      <c r="D58" s="198"/>
      <c r="E58" s="215"/>
      <c r="P58" s="200"/>
      <c r="AH58" s="199"/>
      <c r="AI58" s="199"/>
      <c r="AM58" s="214"/>
    </row>
    <row r="59" spans="2:39" ht="12.75" customHeight="1" x14ac:dyDescent="0.25">
      <c r="B59" s="210"/>
      <c r="C59" s="215"/>
      <c r="D59" s="198"/>
      <c r="E59" s="215"/>
      <c r="P59" s="200"/>
      <c r="AH59" s="199"/>
      <c r="AI59" s="199"/>
    </row>
    <row r="60" spans="2:39" ht="12.75" customHeight="1" x14ac:dyDescent="0.25">
      <c r="B60" s="210"/>
      <c r="C60" s="215"/>
      <c r="D60" s="198"/>
      <c r="E60" s="215"/>
      <c r="P60" s="200"/>
      <c r="AH60" s="199"/>
      <c r="AI60" s="199"/>
    </row>
    <row r="61" spans="2:39" ht="12.75" customHeight="1" x14ac:dyDescent="0.25">
      <c r="B61" s="210"/>
      <c r="C61" s="215"/>
      <c r="D61" s="198"/>
      <c r="E61" s="215"/>
      <c r="P61" s="200"/>
      <c r="AH61" s="199"/>
      <c r="AI61" s="199"/>
    </row>
    <row r="62" spans="2:39" ht="12.75" customHeight="1" x14ac:dyDescent="0.25">
      <c r="B62" s="210"/>
      <c r="C62" s="215"/>
      <c r="D62" s="198"/>
      <c r="E62" s="215"/>
      <c r="P62" s="200"/>
      <c r="AH62" s="199"/>
      <c r="AI62" s="199"/>
    </row>
    <row r="63" spans="2:39" ht="12.75" customHeight="1" x14ac:dyDescent="0.25">
      <c r="B63" s="210"/>
      <c r="C63" s="215"/>
      <c r="D63" s="198"/>
      <c r="E63" s="215"/>
      <c r="P63" s="200"/>
      <c r="AH63" s="199"/>
      <c r="AI63" s="199"/>
    </row>
    <row r="64" spans="2:39" x14ac:dyDescent="0.25">
      <c r="B64" s="210"/>
      <c r="C64" s="215"/>
      <c r="D64" s="198"/>
      <c r="E64" s="215"/>
      <c r="P64" s="200"/>
      <c r="AH64" s="199"/>
      <c r="AI64" s="199"/>
    </row>
    <row r="65" spans="2:104" ht="12.75" customHeight="1" x14ac:dyDescent="0.25">
      <c r="B65" s="210"/>
      <c r="C65" s="215"/>
      <c r="D65" s="198"/>
      <c r="E65" s="215"/>
      <c r="P65" s="200"/>
      <c r="AH65" s="199"/>
      <c r="AI65" s="199"/>
    </row>
    <row r="66" spans="2:104" ht="12.75" customHeight="1" x14ac:dyDescent="0.25">
      <c r="B66" s="210"/>
      <c r="C66" s="215"/>
      <c r="D66" s="198"/>
      <c r="E66" s="215"/>
      <c r="P66" s="200"/>
      <c r="AH66" s="199"/>
      <c r="AI66" s="199"/>
    </row>
    <row r="67" spans="2:104" ht="12.75" customHeight="1" x14ac:dyDescent="0.25">
      <c r="B67" s="210"/>
      <c r="C67" s="215"/>
      <c r="D67" s="198"/>
      <c r="E67" s="215"/>
      <c r="P67" s="200"/>
      <c r="AH67" s="199"/>
      <c r="AI67" s="199"/>
    </row>
    <row r="68" spans="2:104" ht="12.75" customHeight="1" x14ac:dyDescent="0.25">
      <c r="B68" s="210"/>
      <c r="C68" s="215"/>
      <c r="D68" s="198"/>
      <c r="E68" s="215"/>
      <c r="P68" s="200"/>
      <c r="AH68" s="199"/>
      <c r="AI68" s="199"/>
    </row>
    <row r="69" spans="2:104" x14ac:dyDescent="0.25">
      <c r="B69" s="210"/>
      <c r="C69" s="215"/>
      <c r="D69" s="198"/>
      <c r="E69" s="215"/>
      <c r="P69" s="200"/>
      <c r="AH69" s="199"/>
      <c r="AI69" s="199"/>
    </row>
    <row r="70" spans="2:104" x14ac:dyDescent="0.25">
      <c r="B70" s="210"/>
      <c r="C70" s="215"/>
      <c r="D70" s="198"/>
      <c r="E70" s="215"/>
      <c r="P70" s="200"/>
      <c r="AH70" s="199"/>
      <c r="AI70" s="199"/>
    </row>
    <row r="71" spans="2:104" x14ac:dyDescent="0.25">
      <c r="B71" s="210"/>
      <c r="C71" s="215"/>
      <c r="D71" s="198"/>
      <c r="E71" s="215"/>
      <c r="P71" s="200"/>
      <c r="AH71" s="199"/>
      <c r="AI71" s="199"/>
    </row>
    <row r="72" spans="2:104" ht="12.75" customHeight="1" x14ac:dyDescent="0.25">
      <c r="B72" s="210"/>
      <c r="C72" s="215"/>
      <c r="D72" s="198"/>
      <c r="E72" s="215"/>
      <c r="P72" s="200"/>
      <c r="AH72" s="199"/>
      <c r="AI72" s="199"/>
    </row>
    <row r="73" spans="2:104" ht="12.75" customHeight="1" x14ac:dyDescent="0.25">
      <c r="B73" s="210"/>
      <c r="C73" s="215"/>
      <c r="D73" s="198"/>
      <c r="E73" s="215"/>
      <c r="P73" s="200"/>
      <c r="AH73" s="199"/>
      <c r="AI73" s="199"/>
    </row>
    <row r="74" spans="2:104" ht="12.75" customHeight="1" x14ac:dyDescent="0.25">
      <c r="B74" s="210"/>
      <c r="C74" s="215"/>
      <c r="D74" s="198"/>
      <c r="E74" s="215"/>
      <c r="P74" s="200"/>
      <c r="AH74" s="199"/>
      <c r="AI74" s="199"/>
    </row>
    <row r="75" spans="2:104" ht="12.75" customHeight="1" x14ac:dyDescent="0.25">
      <c r="B75" s="210"/>
      <c r="C75" s="215"/>
      <c r="D75" s="198"/>
      <c r="E75" s="215"/>
      <c r="P75" s="200"/>
      <c r="AH75" s="199"/>
      <c r="AI75" s="199"/>
    </row>
    <row r="76" spans="2:104" ht="15" customHeight="1" x14ac:dyDescent="0.25">
      <c r="B76" s="210"/>
      <c r="C76" s="215"/>
      <c r="D76" s="198"/>
      <c r="E76" s="215"/>
      <c r="P76" s="200"/>
      <c r="AH76" s="199"/>
      <c r="AI76" s="199"/>
    </row>
    <row r="77" spans="2:104" ht="12.75" customHeight="1" x14ac:dyDescent="0.25">
      <c r="B77" s="210"/>
      <c r="C77" s="215"/>
      <c r="D77" s="198"/>
      <c r="E77" s="215"/>
      <c r="P77" s="200"/>
      <c r="AH77" s="199"/>
      <c r="AI77" s="199"/>
      <c r="CZ77" s="211"/>
    </row>
    <row r="78" spans="2:104" ht="15" customHeight="1" x14ac:dyDescent="0.25">
      <c r="B78" s="210"/>
      <c r="C78" s="215"/>
      <c r="D78" s="198"/>
      <c r="E78" s="215"/>
      <c r="P78" s="200"/>
      <c r="AH78" s="199"/>
      <c r="AI78" s="199"/>
    </row>
    <row r="79" spans="2:104" ht="15" customHeight="1" x14ac:dyDescent="0.25">
      <c r="B79" s="210"/>
      <c r="C79" s="215"/>
      <c r="D79" s="198"/>
      <c r="E79" s="215"/>
      <c r="P79" s="200"/>
      <c r="AH79" s="199"/>
      <c r="AI79" s="199"/>
    </row>
    <row r="80" spans="2:104" ht="12.75" customHeight="1" x14ac:dyDescent="0.25">
      <c r="B80" s="210"/>
      <c r="C80" s="215"/>
      <c r="D80" s="198"/>
      <c r="E80" s="215"/>
      <c r="P80" s="200"/>
      <c r="AH80" s="199"/>
      <c r="AI80" s="199"/>
    </row>
    <row r="81" spans="2:35" ht="12.75" customHeight="1" x14ac:dyDescent="0.25">
      <c r="B81" s="210"/>
      <c r="C81" s="215"/>
      <c r="D81" s="198"/>
      <c r="E81" s="215"/>
      <c r="P81" s="200"/>
      <c r="AH81" s="199"/>
      <c r="AI81" s="199"/>
    </row>
    <row r="82" spans="2:35" ht="12.75" customHeight="1" x14ac:dyDescent="0.25">
      <c r="B82" s="210"/>
      <c r="C82" s="215"/>
      <c r="D82" s="198"/>
      <c r="E82" s="215"/>
      <c r="P82" s="200"/>
      <c r="AH82" s="199"/>
      <c r="AI82" s="199"/>
    </row>
    <row r="83" spans="2:35" ht="12.75" customHeight="1" x14ac:dyDescent="0.25">
      <c r="B83" s="210"/>
      <c r="C83" s="215"/>
      <c r="D83" s="198"/>
      <c r="E83" s="215"/>
      <c r="P83" s="200"/>
      <c r="AH83" s="199"/>
      <c r="AI83" s="199"/>
    </row>
    <row r="84" spans="2:35" x14ac:dyDescent="0.25">
      <c r="B84" s="210"/>
      <c r="C84" s="215"/>
      <c r="D84" s="198"/>
      <c r="E84" s="215"/>
      <c r="P84" s="200"/>
      <c r="AH84" s="199"/>
      <c r="AI84" s="199"/>
    </row>
    <row r="85" spans="2:35" x14ac:dyDescent="0.25">
      <c r="B85" s="210"/>
      <c r="C85" s="215"/>
      <c r="D85" s="198"/>
      <c r="E85" s="215"/>
      <c r="P85" s="200"/>
      <c r="AH85" s="199"/>
      <c r="AI85" s="199"/>
    </row>
    <row r="86" spans="2:35" ht="12.75" customHeight="1" x14ac:dyDescent="0.25">
      <c r="B86" s="210"/>
      <c r="C86" s="215"/>
      <c r="D86" s="198"/>
      <c r="E86" s="215"/>
      <c r="P86" s="200"/>
      <c r="AH86" s="199"/>
      <c r="AI86" s="199"/>
    </row>
    <row r="87" spans="2:35" ht="12.75" customHeight="1" x14ac:dyDescent="0.25">
      <c r="B87" s="210"/>
      <c r="C87" s="215"/>
      <c r="D87" s="198"/>
      <c r="E87" s="215"/>
      <c r="P87" s="200"/>
      <c r="AH87" s="199"/>
      <c r="AI87" s="199"/>
    </row>
    <row r="88" spans="2:35" x14ac:dyDescent="0.25">
      <c r="B88" s="210"/>
      <c r="C88" s="215"/>
      <c r="D88" s="198"/>
      <c r="E88" s="215"/>
      <c r="P88" s="200"/>
      <c r="AH88" s="199"/>
      <c r="AI88" s="199"/>
    </row>
    <row r="89" spans="2:35" x14ac:dyDescent="0.25">
      <c r="B89" s="210"/>
      <c r="C89" s="215"/>
      <c r="D89" s="198"/>
      <c r="E89" s="215"/>
      <c r="P89" s="200"/>
      <c r="AH89" s="199"/>
      <c r="AI89" s="199"/>
    </row>
    <row r="90" spans="2:35" x14ac:dyDescent="0.25">
      <c r="B90" s="210"/>
      <c r="C90" s="215"/>
      <c r="D90" s="198"/>
      <c r="E90" s="215"/>
      <c r="P90" s="200"/>
      <c r="AH90" s="199"/>
      <c r="AI90" s="199"/>
    </row>
    <row r="91" spans="2:35" x14ac:dyDescent="0.25">
      <c r="B91" s="210"/>
      <c r="C91" s="215"/>
      <c r="D91" s="198"/>
      <c r="E91" s="215"/>
      <c r="P91" s="200"/>
      <c r="AH91" s="199"/>
      <c r="AI91" s="199"/>
    </row>
    <row r="92" spans="2:35" x14ac:dyDescent="0.25">
      <c r="B92" s="210"/>
      <c r="C92" s="215"/>
      <c r="D92" s="198"/>
      <c r="E92" s="215"/>
      <c r="P92" s="200"/>
      <c r="AH92" s="199"/>
      <c r="AI92" s="199"/>
    </row>
    <row r="93" spans="2:35" x14ac:dyDescent="0.25">
      <c r="B93" s="210"/>
      <c r="C93" s="215"/>
      <c r="D93" s="198"/>
      <c r="E93" s="215"/>
      <c r="P93" s="200"/>
      <c r="AH93" s="199"/>
      <c r="AI93" s="199"/>
    </row>
    <row r="94" spans="2:35" x14ac:dyDescent="0.25">
      <c r="B94" s="210"/>
      <c r="C94" s="215"/>
      <c r="D94" s="198"/>
      <c r="E94" s="215"/>
      <c r="P94" s="200"/>
      <c r="AH94" s="199"/>
      <c r="AI94" s="199"/>
    </row>
    <row r="95" spans="2:35" x14ac:dyDescent="0.25">
      <c r="B95" s="210"/>
      <c r="C95" s="215"/>
      <c r="D95" s="198"/>
      <c r="E95" s="215"/>
      <c r="P95" s="200"/>
      <c r="AH95" s="199"/>
      <c r="AI95" s="199"/>
    </row>
    <row r="96" spans="2:35" x14ac:dyDescent="0.25">
      <c r="B96" s="210"/>
      <c r="C96" s="215"/>
      <c r="D96" s="198"/>
      <c r="E96" s="215"/>
      <c r="P96" s="200"/>
      <c r="AH96" s="199"/>
      <c r="AI96" s="199"/>
    </row>
    <row r="97" spans="2:35" x14ac:dyDescent="0.25">
      <c r="B97" s="210"/>
      <c r="C97" s="215"/>
      <c r="D97" s="198"/>
      <c r="E97" s="215"/>
      <c r="P97" s="200"/>
      <c r="AH97" s="199"/>
      <c r="AI97" s="199"/>
    </row>
    <row r="98" spans="2:35" x14ac:dyDescent="0.25">
      <c r="B98" s="210"/>
      <c r="C98" s="215"/>
      <c r="D98" s="198"/>
      <c r="E98" s="215"/>
      <c r="P98" s="200"/>
      <c r="AH98" s="199"/>
      <c r="AI98" s="199"/>
    </row>
    <row r="99" spans="2:35" x14ac:dyDescent="0.25">
      <c r="B99" s="210"/>
      <c r="C99" s="215"/>
      <c r="D99" s="198"/>
      <c r="E99" s="215"/>
      <c r="P99" s="200"/>
      <c r="AH99" s="199"/>
      <c r="AI99" s="199"/>
    </row>
    <row r="100" spans="2:35" x14ac:dyDescent="0.25">
      <c r="B100" s="210"/>
      <c r="C100" s="215"/>
      <c r="D100" s="198"/>
      <c r="E100" s="215"/>
      <c r="P100" s="200"/>
      <c r="AH100" s="199"/>
      <c r="AI100" s="199"/>
    </row>
    <row r="101" spans="2:35" x14ac:dyDescent="0.25">
      <c r="B101" s="210"/>
      <c r="C101" s="215"/>
      <c r="D101" s="198"/>
      <c r="E101" s="215"/>
      <c r="P101" s="200"/>
      <c r="AH101" s="199"/>
      <c r="AI101" s="199"/>
    </row>
    <row r="102" spans="2:35" x14ac:dyDescent="0.25">
      <c r="B102" s="210"/>
      <c r="C102" s="215"/>
      <c r="D102" s="198"/>
      <c r="E102" s="215"/>
      <c r="P102" s="200"/>
      <c r="AH102" s="199"/>
      <c r="AI102" s="199"/>
    </row>
    <row r="103" spans="2:35" x14ac:dyDescent="0.25">
      <c r="B103" s="210"/>
      <c r="C103" s="215"/>
      <c r="D103" s="198"/>
      <c r="E103" s="215"/>
      <c r="P103" s="200"/>
      <c r="AH103" s="199"/>
      <c r="AI103" s="199"/>
    </row>
    <row r="104" spans="2:35" x14ac:dyDescent="0.25">
      <c r="B104" s="210"/>
      <c r="C104" s="215"/>
      <c r="D104" s="198"/>
      <c r="E104" s="215"/>
      <c r="P104" s="200"/>
      <c r="AH104" s="199"/>
      <c r="AI104" s="199"/>
    </row>
    <row r="105" spans="2:35" x14ac:dyDescent="0.25">
      <c r="B105" s="210"/>
      <c r="C105" s="215"/>
      <c r="D105" s="198"/>
      <c r="E105" s="215"/>
      <c r="P105" s="200"/>
      <c r="AH105" s="199"/>
      <c r="AI105" s="199"/>
    </row>
    <row r="106" spans="2:35" x14ac:dyDescent="0.25">
      <c r="B106" s="210"/>
      <c r="C106" s="215"/>
      <c r="D106" s="198"/>
      <c r="E106" s="215"/>
      <c r="P106" s="200"/>
      <c r="AH106" s="199"/>
      <c r="AI106" s="199"/>
    </row>
    <row r="107" spans="2:35" x14ac:dyDescent="0.25">
      <c r="B107" s="210"/>
      <c r="C107" s="215"/>
      <c r="D107" s="198"/>
      <c r="E107" s="215"/>
      <c r="P107" s="200"/>
      <c r="AH107" s="199"/>
      <c r="AI107" s="199"/>
    </row>
    <row r="108" spans="2:35" x14ac:dyDescent="0.25">
      <c r="B108" s="210"/>
      <c r="C108" s="215"/>
      <c r="D108" s="198"/>
      <c r="E108" s="215"/>
      <c r="P108" s="200"/>
      <c r="AH108" s="199"/>
      <c r="AI108" s="199"/>
    </row>
    <row r="109" spans="2:35" x14ac:dyDescent="0.25">
      <c r="B109" s="210"/>
      <c r="C109" s="215"/>
      <c r="D109" s="198"/>
      <c r="E109" s="215"/>
      <c r="P109" s="200"/>
      <c r="AH109" s="199"/>
      <c r="AI109" s="199"/>
    </row>
    <row r="110" spans="2:35" x14ac:dyDescent="0.25">
      <c r="B110" s="210"/>
      <c r="C110" s="215"/>
      <c r="D110" s="198"/>
      <c r="E110" s="215"/>
      <c r="P110" s="200"/>
      <c r="AH110" s="199"/>
      <c r="AI110" s="199"/>
    </row>
    <row r="111" spans="2:35" x14ac:dyDescent="0.25">
      <c r="B111" s="210"/>
      <c r="C111" s="215"/>
      <c r="D111" s="198"/>
      <c r="E111" s="215"/>
      <c r="P111" s="200"/>
      <c r="AH111" s="199"/>
      <c r="AI111" s="199"/>
    </row>
    <row r="112" spans="2:35" x14ac:dyDescent="0.25">
      <c r="B112" s="210"/>
      <c r="C112" s="215"/>
      <c r="D112" s="198"/>
      <c r="E112" s="215"/>
      <c r="P112" s="200"/>
      <c r="AH112" s="199"/>
      <c r="AI112" s="199"/>
    </row>
    <row r="113" spans="2:35" x14ac:dyDescent="0.25">
      <c r="B113" s="210"/>
      <c r="C113" s="215"/>
      <c r="D113" s="198"/>
      <c r="E113" s="215"/>
      <c r="P113" s="200"/>
      <c r="AH113" s="199"/>
      <c r="AI113" s="199"/>
    </row>
    <row r="114" spans="2:35" x14ac:dyDescent="0.25">
      <c r="B114" s="210"/>
      <c r="C114" s="215"/>
      <c r="D114" s="198"/>
      <c r="E114" s="215"/>
      <c r="P114" s="200"/>
      <c r="AH114" s="199"/>
      <c r="AI114" s="199"/>
    </row>
    <row r="115" spans="2:35" x14ac:dyDescent="0.25">
      <c r="B115" s="210"/>
      <c r="C115" s="215"/>
      <c r="D115" s="198"/>
      <c r="E115" s="215"/>
      <c r="P115" s="200"/>
      <c r="AH115" s="199"/>
      <c r="AI115" s="199"/>
    </row>
    <row r="116" spans="2:35" x14ac:dyDescent="0.25">
      <c r="B116" s="210"/>
      <c r="C116" s="215"/>
      <c r="D116" s="198"/>
      <c r="E116" s="215"/>
      <c r="P116" s="200"/>
      <c r="AH116" s="199"/>
      <c r="AI116" s="199"/>
    </row>
    <row r="117" spans="2:35" x14ac:dyDescent="0.25">
      <c r="B117" s="210"/>
      <c r="C117" s="215"/>
      <c r="D117" s="198"/>
      <c r="E117" s="215"/>
      <c r="P117" s="200"/>
      <c r="AH117" s="199"/>
      <c r="AI117" s="199"/>
    </row>
    <row r="118" spans="2:35" x14ac:dyDescent="0.25">
      <c r="B118" s="210"/>
      <c r="C118" s="215"/>
      <c r="D118" s="198"/>
      <c r="E118" s="215"/>
      <c r="P118" s="200"/>
      <c r="AH118" s="199"/>
      <c r="AI118" s="199"/>
    </row>
    <row r="119" spans="2:35" x14ac:dyDescent="0.25">
      <c r="B119" s="210"/>
      <c r="C119" s="215"/>
      <c r="D119" s="198"/>
      <c r="E119" s="215"/>
      <c r="P119" s="200"/>
      <c r="AH119" s="199"/>
      <c r="AI119" s="199"/>
    </row>
    <row r="120" spans="2:35" x14ac:dyDescent="0.25">
      <c r="B120" s="210"/>
      <c r="C120" s="215"/>
      <c r="D120" s="198"/>
      <c r="E120" s="215"/>
      <c r="P120" s="200"/>
      <c r="AH120" s="199"/>
      <c r="AI120" s="199"/>
    </row>
    <row r="121" spans="2:35" x14ac:dyDescent="0.25">
      <c r="B121" s="210"/>
      <c r="C121" s="215"/>
      <c r="D121" s="198"/>
      <c r="E121" s="215"/>
      <c r="P121" s="200"/>
      <c r="AH121" s="199"/>
      <c r="AI121" s="199"/>
    </row>
    <row r="122" spans="2:35" x14ac:dyDescent="0.25">
      <c r="B122" s="210"/>
      <c r="C122" s="215"/>
      <c r="D122" s="198"/>
      <c r="E122" s="215"/>
      <c r="P122" s="200"/>
      <c r="AH122" s="199"/>
      <c r="AI122" s="199"/>
    </row>
    <row r="123" spans="2:35" x14ac:dyDescent="0.25">
      <c r="B123" s="210"/>
      <c r="C123" s="215"/>
      <c r="D123" s="198"/>
      <c r="E123" s="215"/>
      <c r="P123" s="200"/>
      <c r="AH123" s="199"/>
      <c r="AI123" s="199"/>
    </row>
    <row r="124" spans="2:35" x14ac:dyDescent="0.25">
      <c r="B124" s="210"/>
      <c r="C124" s="215"/>
      <c r="D124" s="198"/>
      <c r="E124" s="215"/>
      <c r="P124" s="200"/>
      <c r="AH124" s="199"/>
      <c r="AI124" s="199"/>
    </row>
    <row r="125" spans="2:35" x14ac:dyDescent="0.25">
      <c r="B125" s="210"/>
      <c r="C125" s="215"/>
      <c r="D125" s="198"/>
      <c r="E125" s="215"/>
      <c r="P125" s="200"/>
      <c r="AH125" s="199"/>
      <c r="AI125" s="199"/>
    </row>
    <row r="126" spans="2:35" x14ac:dyDescent="0.25">
      <c r="B126" s="210"/>
      <c r="C126" s="215"/>
      <c r="D126" s="198"/>
      <c r="E126" s="215"/>
      <c r="P126" s="200"/>
      <c r="AH126" s="199"/>
      <c r="AI126" s="199"/>
    </row>
    <row r="127" spans="2:35" x14ac:dyDescent="0.25">
      <c r="B127" s="210"/>
      <c r="C127" s="215"/>
      <c r="D127" s="198"/>
      <c r="E127" s="215"/>
      <c r="P127" s="200"/>
      <c r="AH127" s="199"/>
      <c r="AI127" s="199"/>
    </row>
    <row r="128" spans="2:35" x14ac:dyDescent="0.25">
      <c r="B128" s="210"/>
      <c r="C128" s="215"/>
      <c r="D128" s="198"/>
      <c r="E128" s="215"/>
      <c r="P128" s="200"/>
      <c r="AH128" s="199"/>
      <c r="AI128" s="199"/>
    </row>
    <row r="129" spans="2:35" x14ac:dyDescent="0.25">
      <c r="B129" s="210"/>
      <c r="C129" s="215"/>
      <c r="D129" s="198"/>
      <c r="E129" s="215"/>
      <c r="P129" s="200"/>
      <c r="AH129" s="199"/>
      <c r="AI129" s="199"/>
    </row>
    <row r="130" spans="2:35" x14ac:dyDescent="0.25">
      <c r="B130" s="210"/>
      <c r="C130" s="215"/>
      <c r="D130" s="198"/>
      <c r="E130" s="215"/>
      <c r="P130" s="200"/>
      <c r="AH130" s="199"/>
      <c r="AI130" s="199"/>
    </row>
    <row r="131" spans="2:35" x14ac:dyDescent="0.25">
      <c r="B131" s="210"/>
      <c r="C131" s="215"/>
      <c r="D131" s="198"/>
      <c r="E131" s="215"/>
      <c r="P131" s="200"/>
      <c r="AH131" s="199"/>
      <c r="AI131" s="199"/>
    </row>
    <row r="132" spans="2:35" x14ac:dyDescent="0.25">
      <c r="B132" s="210"/>
      <c r="C132" s="215"/>
      <c r="D132" s="198"/>
      <c r="E132" s="215"/>
      <c r="P132" s="200"/>
      <c r="AH132" s="199"/>
      <c r="AI132" s="199"/>
    </row>
    <row r="133" spans="2:35" x14ac:dyDescent="0.25">
      <c r="B133" s="210"/>
      <c r="C133" s="215"/>
      <c r="D133" s="198"/>
      <c r="E133" s="215"/>
      <c r="P133" s="200"/>
      <c r="AH133" s="199"/>
      <c r="AI133" s="199"/>
    </row>
    <row r="134" spans="2:35" x14ac:dyDescent="0.25">
      <c r="B134" s="210"/>
      <c r="C134" s="215"/>
      <c r="D134" s="198"/>
      <c r="E134" s="215"/>
      <c r="P134" s="200"/>
      <c r="AH134" s="199"/>
      <c r="AI134" s="199"/>
    </row>
    <row r="135" spans="2:35" x14ac:dyDescent="0.25">
      <c r="B135" s="210"/>
      <c r="C135" s="215"/>
      <c r="D135" s="198"/>
      <c r="E135" s="215"/>
      <c r="P135" s="200"/>
      <c r="AH135" s="199"/>
      <c r="AI135" s="199"/>
    </row>
    <row r="136" spans="2:35" x14ac:dyDescent="0.25">
      <c r="B136" s="210"/>
      <c r="C136" s="215"/>
      <c r="D136" s="198"/>
      <c r="E136" s="215"/>
      <c r="P136" s="200"/>
      <c r="AH136" s="199"/>
      <c r="AI136" s="199"/>
    </row>
    <row r="137" spans="2:35" x14ac:dyDescent="0.25">
      <c r="B137" s="210"/>
      <c r="C137" s="215"/>
      <c r="D137" s="198"/>
      <c r="E137" s="215"/>
      <c r="P137" s="200"/>
      <c r="AH137" s="199"/>
      <c r="AI137" s="199"/>
    </row>
    <row r="138" spans="2:35" x14ac:dyDescent="0.25">
      <c r="B138" s="210"/>
      <c r="C138" s="215"/>
      <c r="D138" s="198"/>
      <c r="E138" s="215"/>
      <c r="P138" s="200"/>
      <c r="AH138" s="199"/>
      <c r="AI138" s="199"/>
    </row>
    <row r="139" spans="2:35" x14ac:dyDescent="0.25">
      <c r="B139" s="210"/>
      <c r="C139" s="215"/>
      <c r="D139" s="198"/>
      <c r="E139" s="215"/>
      <c r="P139" s="200"/>
      <c r="AH139" s="199"/>
      <c r="AI139" s="199"/>
    </row>
    <row r="140" spans="2:35" x14ac:dyDescent="0.25">
      <c r="B140" s="210"/>
      <c r="C140" s="215"/>
      <c r="D140" s="198"/>
      <c r="E140" s="215"/>
      <c r="P140" s="200"/>
      <c r="AH140" s="199"/>
      <c r="AI140" s="199"/>
    </row>
    <row r="141" spans="2:35" x14ac:dyDescent="0.25">
      <c r="B141" s="210"/>
      <c r="C141" s="215"/>
      <c r="D141" s="198"/>
      <c r="E141" s="215"/>
      <c r="P141" s="200"/>
      <c r="AH141" s="199"/>
      <c r="AI141" s="199"/>
    </row>
    <row r="142" spans="2:35" x14ac:dyDescent="0.25">
      <c r="B142" s="210"/>
      <c r="C142" s="215"/>
      <c r="D142" s="198"/>
      <c r="E142" s="215"/>
      <c r="P142" s="200"/>
      <c r="AH142" s="199"/>
      <c r="AI142" s="199"/>
    </row>
    <row r="143" spans="2:35" x14ac:dyDescent="0.25">
      <c r="B143" s="210"/>
      <c r="C143" s="215"/>
      <c r="D143" s="198"/>
      <c r="E143" s="215"/>
      <c r="P143" s="200"/>
      <c r="AH143" s="199"/>
      <c r="AI143" s="199"/>
    </row>
    <row r="144" spans="2:35" x14ac:dyDescent="0.25">
      <c r="B144" s="210"/>
      <c r="C144" s="215"/>
      <c r="D144" s="198"/>
      <c r="E144" s="215"/>
      <c r="P144" s="200"/>
      <c r="AH144" s="199"/>
      <c r="AI144" s="199"/>
    </row>
    <row r="145" spans="2:35" x14ac:dyDescent="0.25">
      <c r="B145" s="210"/>
      <c r="C145" s="215"/>
      <c r="D145" s="198"/>
      <c r="E145" s="215"/>
      <c r="P145" s="200"/>
      <c r="AH145" s="199"/>
      <c r="AI145" s="199"/>
    </row>
    <row r="146" spans="2:35" x14ac:dyDescent="0.25">
      <c r="B146" s="210"/>
      <c r="C146" s="215"/>
      <c r="D146" s="198"/>
      <c r="E146" s="215"/>
      <c r="P146" s="200"/>
      <c r="AH146" s="199"/>
      <c r="AI146" s="199"/>
    </row>
    <row r="147" spans="2:35" x14ac:dyDescent="0.25">
      <c r="B147" s="210"/>
      <c r="C147" s="215"/>
      <c r="D147" s="198"/>
      <c r="E147" s="215"/>
      <c r="P147" s="200"/>
      <c r="AH147" s="199"/>
      <c r="AI147" s="199"/>
    </row>
    <row r="148" spans="2:35" x14ac:dyDescent="0.25">
      <c r="B148" s="210"/>
      <c r="C148" s="215"/>
      <c r="D148" s="198"/>
      <c r="E148" s="215"/>
      <c r="P148" s="200"/>
      <c r="AH148" s="199"/>
      <c r="AI148" s="199"/>
    </row>
    <row r="149" spans="2:35" x14ac:dyDescent="0.25">
      <c r="B149" s="210"/>
      <c r="C149" s="215"/>
      <c r="D149" s="198"/>
      <c r="E149" s="215"/>
      <c r="P149" s="200"/>
      <c r="AH149" s="199"/>
      <c r="AI149" s="199"/>
    </row>
    <row r="150" spans="2:35" x14ac:dyDescent="0.25">
      <c r="B150" s="210"/>
      <c r="C150" s="215"/>
      <c r="D150" s="198"/>
      <c r="E150" s="215"/>
      <c r="P150" s="200"/>
      <c r="AH150" s="199"/>
      <c r="AI150" s="199"/>
    </row>
    <row r="151" spans="2:35" x14ac:dyDescent="0.25">
      <c r="B151" s="210"/>
      <c r="C151" s="215"/>
      <c r="D151" s="198"/>
      <c r="E151" s="215"/>
      <c r="P151" s="200"/>
      <c r="AH151" s="199"/>
      <c r="AI151" s="199"/>
    </row>
    <row r="152" spans="2:35" x14ac:dyDescent="0.25">
      <c r="B152" s="210"/>
      <c r="C152" s="215"/>
      <c r="D152" s="198"/>
      <c r="E152" s="215"/>
      <c r="P152" s="200"/>
      <c r="AH152" s="199"/>
      <c r="AI152" s="199"/>
    </row>
    <row r="153" spans="2:35" x14ac:dyDescent="0.25">
      <c r="B153" s="210"/>
      <c r="C153" s="215"/>
      <c r="D153" s="198"/>
      <c r="E153" s="215"/>
      <c r="P153" s="200"/>
      <c r="AH153" s="199"/>
      <c r="AI153" s="199"/>
    </row>
    <row r="154" spans="2:35" x14ac:dyDescent="0.25">
      <c r="B154" s="210"/>
      <c r="C154" s="215"/>
      <c r="D154" s="198"/>
      <c r="E154" s="215"/>
      <c r="P154" s="200"/>
      <c r="AH154" s="199"/>
      <c r="AI154" s="199"/>
    </row>
    <row r="155" spans="2:35" x14ac:dyDescent="0.25">
      <c r="B155" s="210"/>
      <c r="C155" s="215"/>
      <c r="D155" s="198"/>
      <c r="E155" s="215"/>
      <c r="P155" s="200"/>
      <c r="AH155" s="199"/>
      <c r="AI155" s="199"/>
    </row>
    <row r="156" spans="2:35" x14ac:dyDescent="0.25">
      <c r="B156" s="210"/>
      <c r="C156" s="215"/>
      <c r="D156" s="198"/>
      <c r="E156" s="215"/>
      <c r="P156" s="200"/>
      <c r="AH156" s="199"/>
      <c r="AI156" s="199"/>
    </row>
    <row r="157" spans="2:35" x14ac:dyDescent="0.25">
      <c r="B157" s="210"/>
      <c r="C157" s="215"/>
      <c r="D157" s="198"/>
      <c r="E157" s="215"/>
      <c r="P157" s="200"/>
      <c r="AH157" s="199"/>
      <c r="AI157" s="199"/>
    </row>
    <row r="158" spans="2:35" x14ac:dyDescent="0.25">
      <c r="B158" s="210"/>
      <c r="C158" s="215"/>
      <c r="D158" s="198"/>
      <c r="E158" s="215"/>
      <c r="P158" s="200"/>
      <c r="AH158" s="199"/>
      <c r="AI158" s="199"/>
    </row>
    <row r="159" spans="2:35" x14ac:dyDescent="0.25">
      <c r="B159" s="210"/>
      <c r="C159" s="215"/>
      <c r="D159" s="198"/>
      <c r="E159" s="215"/>
      <c r="P159" s="200"/>
      <c r="AH159" s="199"/>
      <c r="AI159" s="199"/>
    </row>
    <row r="160" spans="2:35" x14ac:dyDescent="0.25">
      <c r="B160" s="210"/>
      <c r="C160" s="215"/>
      <c r="D160" s="198"/>
      <c r="E160" s="215"/>
      <c r="P160" s="200"/>
      <c r="AH160" s="199"/>
      <c r="AI160" s="199"/>
    </row>
    <row r="161" spans="2:35" x14ac:dyDescent="0.25">
      <c r="B161" s="210"/>
      <c r="C161" s="215"/>
      <c r="D161" s="198"/>
      <c r="E161" s="215"/>
      <c r="P161" s="200"/>
      <c r="AH161" s="199"/>
      <c r="AI161" s="199"/>
    </row>
    <row r="162" spans="2:35" x14ac:dyDescent="0.25">
      <c r="B162" s="210"/>
      <c r="C162" s="215"/>
      <c r="D162" s="198"/>
      <c r="E162" s="215"/>
      <c r="P162" s="200"/>
      <c r="AH162" s="199"/>
      <c r="AI162" s="199"/>
    </row>
    <row r="163" spans="2:35" x14ac:dyDescent="0.25">
      <c r="B163" s="210"/>
      <c r="C163" s="215"/>
      <c r="D163" s="198"/>
      <c r="E163" s="215"/>
      <c r="P163" s="200"/>
      <c r="AH163" s="199"/>
      <c r="AI163" s="199"/>
    </row>
    <row r="164" spans="2:35" x14ac:dyDescent="0.25">
      <c r="B164" s="210"/>
      <c r="C164" s="215"/>
      <c r="D164" s="198"/>
      <c r="E164" s="215"/>
      <c r="P164" s="200"/>
      <c r="AH164" s="199"/>
      <c r="AI164" s="199"/>
    </row>
    <row r="165" spans="2:35" x14ac:dyDescent="0.25">
      <c r="B165" s="210"/>
      <c r="C165" s="215"/>
      <c r="D165" s="198"/>
      <c r="E165" s="215"/>
      <c r="P165" s="200"/>
      <c r="AH165" s="199"/>
      <c r="AI165" s="199"/>
    </row>
    <row r="166" spans="2:35" x14ac:dyDescent="0.25">
      <c r="B166" s="210"/>
      <c r="C166" s="215"/>
      <c r="D166" s="198"/>
      <c r="E166" s="215"/>
      <c r="P166" s="200"/>
      <c r="AH166" s="199"/>
      <c r="AI166" s="199"/>
    </row>
    <row r="167" spans="2:35" x14ac:dyDescent="0.25">
      <c r="B167" s="210"/>
      <c r="C167" s="215"/>
      <c r="D167" s="198"/>
      <c r="E167" s="215"/>
      <c r="P167" s="200"/>
      <c r="AH167" s="199"/>
      <c r="AI167" s="199"/>
    </row>
    <row r="168" spans="2:35" x14ac:dyDescent="0.25">
      <c r="B168" s="210"/>
      <c r="C168" s="215"/>
      <c r="D168" s="198"/>
      <c r="E168" s="215"/>
      <c r="P168" s="200"/>
      <c r="AH168" s="199"/>
      <c r="AI168" s="199"/>
    </row>
    <row r="169" spans="2:35" x14ac:dyDescent="0.25">
      <c r="B169" s="210"/>
      <c r="C169" s="215"/>
      <c r="D169" s="198"/>
      <c r="E169" s="215"/>
      <c r="P169" s="200"/>
      <c r="AH169" s="199"/>
      <c r="AI169" s="199"/>
    </row>
    <row r="170" spans="2:35" x14ac:dyDescent="0.25">
      <c r="B170" s="210"/>
      <c r="C170" s="215"/>
      <c r="D170" s="198"/>
      <c r="E170" s="215"/>
      <c r="P170" s="200"/>
      <c r="AH170" s="199"/>
      <c r="AI170" s="199"/>
    </row>
    <row r="171" spans="2:35" x14ac:dyDescent="0.25">
      <c r="B171" s="210"/>
      <c r="C171" s="215"/>
      <c r="D171" s="198"/>
      <c r="E171" s="215"/>
      <c r="P171" s="200"/>
      <c r="AH171" s="199"/>
      <c r="AI171" s="199"/>
    </row>
    <row r="172" spans="2:35" x14ac:dyDescent="0.25">
      <c r="B172" s="210"/>
      <c r="C172" s="215"/>
      <c r="D172" s="198"/>
      <c r="E172" s="215"/>
      <c r="P172" s="200"/>
      <c r="AH172" s="199"/>
      <c r="AI172" s="199"/>
    </row>
    <row r="173" spans="2:35" x14ac:dyDescent="0.25">
      <c r="B173" s="210"/>
      <c r="C173" s="215"/>
      <c r="D173" s="198"/>
      <c r="E173" s="215"/>
      <c r="P173" s="200"/>
      <c r="AH173" s="199"/>
      <c r="AI173" s="199"/>
    </row>
    <row r="174" spans="2:35" x14ac:dyDescent="0.25">
      <c r="B174" s="210"/>
      <c r="C174" s="215"/>
      <c r="D174" s="198"/>
      <c r="E174" s="215"/>
      <c r="P174" s="200"/>
      <c r="AH174" s="199"/>
      <c r="AI174" s="199"/>
    </row>
    <row r="175" spans="2:35" x14ac:dyDescent="0.25">
      <c r="B175" s="210"/>
      <c r="C175" s="215"/>
      <c r="D175" s="198"/>
      <c r="E175" s="215"/>
      <c r="P175" s="200"/>
      <c r="AH175" s="199"/>
      <c r="AI175" s="199"/>
    </row>
    <row r="176" spans="2:35" x14ac:dyDescent="0.25">
      <c r="B176" s="210"/>
      <c r="C176" s="215"/>
      <c r="D176" s="198"/>
      <c r="E176" s="215"/>
      <c r="P176" s="200"/>
      <c r="AH176" s="199"/>
      <c r="AI176" s="199"/>
    </row>
    <row r="177" spans="2:35" x14ac:dyDescent="0.25">
      <c r="B177" s="210"/>
      <c r="C177" s="215"/>
      <c r="D177" s="198"/>
      <c r="E177" s="215"/>
      <c r="P177" s="200"/>
      <c r="AH177" s="199"/>
      <c r="AI177" s="199"/>
    </row>
    <row r="178" spans="2:35" x14ac:dyDescent="0.25">
      <c r="B178" s="210"/>
      <c r="C178" s="215"/>
      <c r="D178" s="198"/>
      <c r="E178" s="215"/>
      <c r="P178" s="200"/>
      <c r="AH178" s="199"/>
      <c r="AI178" s="199"/>
    </row>
    <row r="179" spans="2:35" x14ac:dyDescent="0.25">
      <c r="B179" s="210"/>
      <c r="C179" s="215"/>
      <c r="D179" s="198"/>
      <c r="E179" s="215"/>
      <c r="P179" s="200"/>
      <c r="AH179" s="199"/>
      <c r="AI179" s="199"/>
    </row>
    <row r="180" spans="2:35" x14ac:dyDescent="0.25">
      <c r="B180" s="210"/>
      <c r="C180" s="215"/>
      <c r="D180" s="198"/>
      <c r="E180" s="215"/>
      <c r="P180" s="200"/>
      <c r="AH180" s="199"/>
      <c r="AI180" s="199"/>
    </row>
    <row r="181" spans="2:35" x14ac:dyDescent="0.25">
      <c r="B181" s="210"/>
      <c r="C181" s="215"/>
      <c r="D181" s="198"/>
      <c r="E181" s="215"/>
      <c r="P181" s="200"/>
      <c r="AH181" s="199"/>
      <c r="AI181" s="199"/>
    </row>
    <row r="182" spans="2:35" x14ac:dyDescent="0.25">
      <c r="B182" s="210"/>
      <c r="C182" s="215"/>
      <c r="D182" s="198"/>
      <c r="E182" s="215"/>
      <c r="P182" s="200"/>
      <c r="AH182" s="199"/>
      <c r="AI182" s="199"/>
    </row>
    <row r="183" spans="2:35" x14ac:dyDescent="0.25">
      <c r="B183" s="210"/>
      <c r="C183" s="215"/>
      <c r="D183" s="198"/>
      <c r="E183" s="215"/>
      <c r="P183" s="200"/>
      <c r="AH183" s="199"/>
      <c r="AI183" s="199"/>
    </row>
    <row r="184" spans="2:35" x14ac:dyDescent="0.25">
      <c r="B184" s="210"/>
      <c r="C184" s="215"/>
      <c r="D184" s="198"/>
      <c r="E184" s="215"/>
      <c r="P184" s="200"/>
      <c r="AH184" s="199"/>
      <c r="AI184" s="199"/>
    </row>
    <row r="185" spans="2:35" x14ac:dyDescent="0.25">
      <c r="B185" s="210"/>
      <c r="C185" s="215"/>
      <c r="D185" s="198"/>
      <c r="E185" s="215"/>
      <c r="P185" s="200"/>
      <c r="AH185" s="199"/>
      <c r="AI185" s="199"/>
    </row>
    <row r="186" spans="2:35" x14ac:dyDescent="0.25">
      <c r="B186" s="210"/>
      <c r="C186" s="215"/>
      <c r="D186" s="198"/>
      <c r="E186" s="215"/>
      <c r="P186" s="200"/>
      <c r="AH186" s="199"/>
      <c r="AI186" s="199"/>
    </row>
    <row r="187" spans="2:35" x14ac:dyDescent="0.25">
      <c r="B187" s="210"/>
      <c r="C187" s="215"/>
      <c r="D187" s="198"/>
      <c r="E187" s="215"/>
      <c r="P187" s="200"/>
      <c r="AH187" s="199"/>
      <c r="AI187" s="199"/>
    </row>
    <row r="188" spans="2:35" x14ac:dyDescent="0.25">
      <c r="B188" s="210"/>
      <c r="C188" s="215"/>
      <c r="D188" s="198"/>
      <c r="E188" s="215"/>
      <c r="P188" s="200"/>
      <c r="AH188" s="199"/>
      <c r="AI188" s="199"/>
    </row>
    <row r="189" spans="2:35" x14ac:dyDescent="0.25">
      <c r="B189" s="210"/>
      <c r="C189" s="215"/>
      <c r="D189" s="198"/>
      <c r="E189" s="215"/>
      <c r="P189" s="200"/>
      <c r="AH189" s="199"/>
      <c r="AI189" s="199"/>
    </row>
    <row r="190" spans="2:35" x14ac:dyDescent="0.25">
      <c r="B190" s="210"/>
      <c r="C190" s="215"/>
      <c r="D190" s="198"/>
      <c r="E190" s="215"/>
      <c r="P190" s="200"/>
      <c r="AH190" s="199"/>
      <c r="AI190" s="199"/>
    </row>
    <row r="191" spans="2:35" x14ac:dyDescent="0.25">
      <c r="B191" s="210"/>
      <c r="C191" s="215"/>
      <c r="D191" s="198"/>
      <c r="E191" s="215"/>
      <c r="P191" s="200"/>
      <c r="AH191" s="199"/>
      <c r="AI191" s="199"/>
    </row>
    <row r="192" spans="2:35" x14ac:dyDescent="0.25">
      <c r="B192" s="210"/>
      <c r="C192" s="215"/>
      <c r="D192" s="198"/>
      <c r="E192" s="215"/>
      <c r="P192" s="200"/>
      <c r="AH192" s="199"/>
      <c r="AI192" s="199"/>
    </row>
    <row r="193" spans="2:35" x14ac:dyDescent="0.25">
      <c r="B193" s="210"/>
      <c r="C193" s="215"/>
      <c r="D193" s="198"/>
      <c r="E193" s="215"/>
      <c r="P193" s="200"/>
      <c r="AH193" s="199"/>
      <c r="AI193" s="199"/>
    </row>
    <row r="194" spans="2:35" x14ac:dyDescent="0.25">
      <c r="B194" s="210"/>
      <c r="C194" s="215"/>
      <c r="D194" s="198"/>
      <c r="E194" s="215"/>
      <c r="P194" s="200"/>
      <c r="AH194" s="199"/>
      <c r="AI194" s="199"/>
    </row>
    <row r="195" spans="2:35" x14ac:dyDescent="0.25">
      <c r="B195" s="210"/>
      <c r="C195" s="215"/>
      <c r="D195" s="198"/>
      <c r="E195" s="215"/>
      <c r="P195" s="200"/>
      <c r="AH195" s="199"/>
      <c r="AI195" s="199"/>
    </row>
    <row r="196" spans="2:35" x14ac:dyDescent="0.25">
      <c r="B196" s="210"/>
      <c r="C196" s="215"/>
      <c r="D196" s="198"/>
      <c r="E196" s="215"/>
      <c r="P196" s="200"/>
      <c r="AH196" s="199"/>
      <c r="AI196" s="199"/>
    </row>
    <row r="197" spans="2:35" x14ac:dyDescent="0.25">
      <c r="B197" s="210"/>
      <c r="C197" s="215"/>
      <c r="D197" s="198"/>
      <c r="E197" s="215"/>
      <c r="P197" s="200"/>
      <c r="AH197" s="199"/>
      <c r="AI197" s="199"/>
    </row>
    <row r="198" spans="2:35" x14ac:dyDescent="0.25">
      <c r="B198" s="210"/>
      <c r="C198" s="215"/>
      <c r="D198" s="198"/>
      <c r="E198" s="215"/>
      <c r="P198" s="200"/>
      <c r="AH198" s="199"/>
      <c r="AI198" s="199"/>
    </row>
    <row r="199" spans="2:35" x14ac:dyDescent="0.25">
      <c r="B199" s="210"/>
      <c r="C199" s="215"/>
      <c r="D199" s="198"/>
      <c r="E199" s="215"/>
      <c r="P199" s="200"/>
      <c r="AH199" s="199"/>
      <c r="AI199" s="199"/>
    </row>
    <row r="200" spans="2:35" x14ac:dyDescent="0.25">
      <c r="B200" s="210"/>
      <c r="C200" s="215"/>
      <c r="D200" s="198"/>
      <c r="E200" s="215"/>
      <c r="P200" s="200"/>
      <c r="AH200" s="199"/>
      <c r="AI200" s="199"/>
    </row>
    <row r="201" spans="2:35" x14ac:dyDescent="0.25">
      <c r="B201" s="210"/>
      <c r="C201" s="215"/>
      <c r="D201" s="198"/>
      <c r="E201" s="215"/>
      <c r="P201" s="200"/>
      <c r="AH201" s="199"/>
      <c r="AI201" s="199"/>
    </row>
    <row r="202" spans="2:35" x14ac:dyDescent="0.25">
      <c r="B202" s="210"/>
      <c r="C202" s="215"/>
      <c r="D202" s="198"/>
      <c r="E202" s="215"/>
      <c r="P202" s="200"/>
      <c r="AH202" s="199"/>
      <c r="AI202" s="199"/>
    </row>
    <row r="203" spans="2:35" x14ac:dyDescent="0.25">
      <c r="B203" s="210"/>
      <c r="C203" s="215"/>
      <c r="D203" s="198"/>
      <c r="E203" s="215"/>
      <c r="P203" s="200"/>
      <c r="AH203" s="199"/>
      <c r="AI203" s="199"/>
    </row>
    <row r="204" spans="2:35" x14ac:dyDescent="0.25">
      <c r="B204" s="210"/>
      <c r="C204" s="215"/>
      <c r="D204" s="198"/>
      <c r="E204" s="215"/>
      <c r="P204" s="200"/>
      <c r="AH204" s="199"/>
      <c r="AI204" s="199"/>
    </row>
    <row r="205" spans="2:35" x14ac:dyDescent="0.25">
      <c r="B205" s="210"/>
      <c r="C205" s="215"/>
      <c r="D205" s="198"/>
      <c r="E205" s="215"/>
      <c r="P205" s="200"/>
      <c r="AH205" s="199"/>
      <c r="AI205" s="199"/>
    </row>
    <row r="206" spans="2:35" x14ac:dyDescent="0.25">
      <c r="B206" s="210"/>
      <c r="C206" s="215"/>
      <c r="D206" s="198"/>
      <c r="E206" s="215"/>
      <c r="P206" s="200"/>
      <c r="AH206" s="199"/>
      <c r="AI206" s="199"/>
    </row>
    <row r="207" spans="2:35" x14ac:dyDescent="0.25">
      <c r="B207" s="210"/>
      <c r="C207" s="215"/>
      <c r="D207" s="198"/>
      <c r="E207" s="215"/>
      <c r="P207" s="200"/>
      <c r="AH207" s="199"/>
      <c r="AI207" s="199"/>
    </row>
    <row r="208" spans="2:35" x14ac:dyDescent="0.25">
      <c r="B208" s="210"/>
      <c r="C208" s="215"/>
      <c r="D208" s="198"/>
      <c r="E208" s="215"/>
      <c r="P208" s="200"/>
      <c r="AH208" s="199"/>
      <c r="AI208" s="199"/>
    </row>
    <row r="209" spans="2:35" x14ac:dyDescent="0.25">
      <c r="B209" s="210"/>
      <c r="C209" s="215"/>
      <c r="D209" s="198"/>
      <c r="E209" s="215"/>
      <c r="P209" s="200"/>
      <c r="AH209" s="199"/>
      <c r="AI209" s="199"/>
    </row>
    <row r="210" spans="2:35" x14ac:dyDescent="0.25">
      <c r="B210" s="210"/>
      <c r="C210" s="215"/>
      <c r="D210" s="198"/>
      <c r="E210" s="215"/>
      <c r="P210" s="200"/>
      <c r="AH210" s="199"/>
      <c r="AI210" s="199"/>
    </row>
    <row r="211" spans="2:35" x14ac:dyDescent="0.25">
      <c r="B211" s="210"/>
      <c r="C211" s="215"/>
      <c r="D211" s="198"/>
      <c r="E211" s="215"/>
      <c r="P211" s="200"/>
      <c r="AH211" s="199"/>
      <c r="AI211" s="199"/>
    </row>
    <row r="212" spans="2:35" x14ac:dyDescent="0.25">
      <c r="B212" s="210"/>
      <c r="C212" s="215"/>
      <c r="D212" s="198"/>
      <c r="E212" s="215"/>
      <c r="P212" s="200"/>
      <c r="AH212" s="199"/>
      <c r="AI212" s="199"/>
    </row>
    <row r="213" spans="2:35" x14ac:dyDescent="0.25">
      <c r="B213" s="210"/>
      <c r="C213" s="215"/>
      <c r="D213" s="198"/>
      <c r="E213" s="215"/>
      <c r="P213" s="200"/>
      <c r="AH213" s="199"/>
      <c r="AI213" s="199"/>
    </row>
    <row r="214" spans="2:35" x14ac:dyDescent="0.25">
      <c r="B214" s="210"/>
      <c r="C214" s="215"/>
      <c r="D214" s="198"/>
      <c r="E214" s="215"/>
      <c r="P214" s="200"/>
      <c r="AH214" s="199"/>
      <c r="AI214" s="199"/>
    </row>
    <row r="215" spans="2:35" x14ac:dyDescent="0.25">
      <c r="B215" s="210"/>
      <c r="C215" s="215"/>
      <c r="D215" s="198"/>
      <c r="E215" s="215"/>
      <c r="P215" s="200"/>
      <c r="AH215" s="199"/>
      <c r="AI215" s="199"/>
    </row>
    <row r="216" spans="2:35" x14ac:dyDescent="0.25">
      <c r="B216" s="210"/>
      <c r="C216" s="215"/>
      <c r="D216" s="198"/>
      <c r="E216" s="215"/>
      <c r="P216" s="200"/>
      <c r="AH216" s="199"/>
      <c r="AI216" s="199"/>
    </row>
    <row r="217" spans="2:35" x14ac:dyDescent="0.25">
      <c r="B217" s="210"/>
      <c r="C217" s="215"/>
      <c r="D217" s="198"/>
      <c r="E217" s="215"/>
      <c r="P217" s="200"/>
      <c r="AH217" s="199"/>
      <c r="AI217" s="199"/>
    </row>
    <row r="218" spans="2:35" x14ac:dyDescent="0.25">
      <c r="B218" s="210"/>
      <c r="C218" s="215"/>
      <c r="D218" s="198"/>
      <c r="E218" s="215"/>
      <c r="P218" s="200"/>
      <c r="AH218" s="199"/>
      <c r="AI218" s="199"/>
    </row>
    <row r="219" spans="2:35" x14ac:dyDescent="0.25">
      <c r="B219" s="210"/>
      <c r="C219" s="215"/>
      <c r="D219" s="198"/>
      <c r="E219" s="215"/>
      <c r="P219" s="200"/>
      <c r="AH219" s="199"/>
      <c r="AI219" s="199"/>
    </row>
    <row r="220" spans="2:35" x14ac:dyDescent="0.25">
      <c r="B220" s="210"/>
      <c r="C220" s="215"/>
      <c r="D220" s="198"/>
      <c r="E220" s="215"/>
      <c r="P220" s="200"/>
      <c r="AH220" s="199"/>
      <c r="AI220" s="199"/>
    </row>
    <row r="221" spans="2:35" x14ac:dyDescent="0.25">
      <c r="B221" s="210"/>
      <c r="C221" s="215"/>
      <c r="D221" s="198"/>
      <c r="E221" s="215"/>
      <c r="P221" s="200"/>
      <c r="AH221" s="199"/>
      <c r="AI221" s="199"/>
    </row>
    <row r="222" spans="2:35" x14ac:dyDescent="0.25">
      <c r="B222" s="210"/>
      <c r="C222" s="215"/>
      <c r="D222" s="198"/>
      <c r="E222" s="215"/>
      <c r="P222" s="200"/>
      <c r="AH222" s="199"/>
      <c r="AI222" s="199"/>
    </row>
    <row r="223" spans="2:35" x14ac:dyDescent="0.25">
      <c r="B223" s="210"/>
      <c r="C223" s="215"/>
      <c r="D223" s="198"/>
      <c r="E223" s="215"/>
      <c r="P223" s="200"/>
      <c r="AH223" s="199"/>
      <c r="AI223" s="199"/>
    </row>
    <row r="224" spans="2:35" x14ac:dyDescent="0.25">
      <c r="B224" s="210"/>
      <c r="C224" s="215"/>
      <c r="D224" s="198"/>
      <c r="E224" s="215"/>
      <c r="P224" s="200"/>
      <c r="AH224" s="199"/>
      <c r="AI224" s="199"/>
    </row>
    <row r="225" spans="2:35" x14ac:dyDescent="0.25">
      <c r="B225" s="210"/>
      <c r="C225" s="215"/>
      <c r="D225" s="198"/>
      <c r="E225" s="215"/>
      <c r="P225" s="200"/>
      <c r="AH225" s="199"/>
      <c r="AI225" s="199"/>
    </row>
    <row r="226" spans="2:35" x14ac:dyDescent="0.25">
      <c r="B226" s="210"/>
      <c r="C226" s="215"/>
      <c r="D226" s="198"/>
      <c r="E226" s="215"/>
      <c r="P226" s="200"/>
      <c r="AH226" s="199"/>
      <c r="AI226" s="199"/>
    </row>
    <row r="227" spans="2:35" x14ac:dyDescent="0.25">
      <c r="B227" s="210"/>
      <c r="C227" s="215"/>
      <c r="D227" s="198"/>
      <c r="E227" s="215"/>
      <c r="P227" s="200"/>
      <c r="AH227" s="199"/>
      <c r="AI227" s="199"/>
    </row>
    <row r="228" spans="2:35" x14ac:dyDescent="0.25">
      <c r="B228" s="210"/>
      <c r="C228" s="215"/>
      <c r="D228" s="198"/>
      <c r="E228" s="215"/>
      <c r="P228" s="200"/>
      <c r="AH228" s="199"/>
      <c r="AI228" s="199"/>
    </row>
    <row r="229" spans="2:35" x14ac:dyDescent="0.25">
      <c r="B229" s="210"/>
      <c r="C229" s="215"/>
      <c r="D229" s="198"/>
      <c r="E229" s="215"/>
      <c r="P229" s="200"/>
      <c r="AH229" s="199"/>
      <c r="AI229" s="199"/>
    </row>
    <row r="230" spans="2:35" x14ac:dyDescent="0.25">
      <c r="B230" s="210"/>
      <c r="C230" s="215"/>
      <c r="D230" s="198"/>
      <c r="E230" s="215"/>
      <c r="P230" s="200"/>
      <c r="AH230" s="199"/>
      <c r="AI230" s="199"/>
    </row>
    <row r="231" spans="2:35" x14ac:dyDescent="0.25">
      <c r="B231" s="210"/>
      <c r="C231" s="215"/>
      <c r="D231" s="198"/>
      <c r="E231" s="215"/>
      <c r="P231" s="200"/>
      <c r="AH231" s="199"/>
      <c r="AI231" s="199"/>
    </row>
    <row r="232" spans="2:35" x14ac:dyDescent="0.25">
      <c r="B232" s="210"/>
      <c r="C232" s="215"/>
      <c r="D232" s="198"/>
      <c r="E232" s="215"/>
      <c r="P232" s="200"/>
      <c r="AH232" s="199"/>
      <c r="AI232" s="199"/>
    </row>
    <row r="233" spans="2:35" x14ac:dyDescent="0.25">
      <c r="B233" s="210"/>
      <c r="C233" s="215"/>
      <c r="D233" s="198"/>
      <c r="E233" s="215"/>
      <c r="P233" s="200"/>
      <c r="AH233" s="199"/>
      <c r="AI233" s="199"/>
    </row>
    <row r="234" spans="2:35" x14ac:dyDescent="0.25">
      <c r="B234" s="210"/>
      <c r="C234" s="215"/>
      <c r="D234" s="198"/>
      <c r="E234" s="215"/>
      <c r="P234" s="200"/>
      <c r="AH234" s="199"/>
      <c r="AI234" s="199"/>
    </row>
    <row r="235" spans="2:35" x14ac:dyDescent="0.25">
      <c r="B235" s="210"/>
      <c r="C235" s="215"/>
      <c r="D235" s="198"/>
      <c r="E235" s="215"/>
      <c r="P235" s="200"/>
      <c r="AH235" s="199"/>
      <c r="AI235" s="199"/>
    </row>
    <row r="236" spans="2:35" x14ac:dyDescent="0.25">
      <c r="B236" s="210"/>
      <c r="C236" s="215"/>
      <c r="D236" s="198"/>
      <c r="E236" s="215"/>
      <c r="P236" s="200"/>
      <c r="AH236" s="199"/>
      <c r="AI236" s="199"/>
    </row>
    <row r="237" spans="2:35" x14ac:dyDescent="0.25">
      <c r="B237" s="210"/>
      <c r="C237" s="215"/>
      <c r="D237" s="198"/>
      <c r="E237" s="215"/>
      <c r="P237" s="200"/>
      <c r="AH237" s="199"/>
      <c r="AI237" s="199"/>
    </row>
    <row r="238" spans="2:35" x14ac:dyDescent="0.25">
      <c r="B238" s="210"/>
      <c r="C238" s="215"/>
      <c r="D238" s="198"/>
      <c r="E238" s="215"/>
      <c r="P238" s="200"/>
      <c r="AH238" s="199"/>
      <c r="AI238" s="199"/>
    </row>
    <row r="239" spans="2:35" x14ac:dyDescent="0.25">
      <c r="B239" s="210"/>
      <c r="C239" s="215"/>
      <c r="D239" s="198"/>
      <c r="E239" s="215"/>
      <c r="P239" s="200"/>
      <c r="AH239" s="199"/>
      <c r="AI239" s="199"/>
    </row>
    <row r="240" spans="2:35" x14ac:dyDescent="0.25">
      <c r="B240" s="210"/>
      <c r="C240" s="215"/>
      <c r="D240" s="198"/>
      <c r="E240" s="215"/>
      <c r="P240" s="200"/>
      <c r="AH240" s="199"/>
      <c r="AI240" s="199"/>
    </row>
    <row r="241" spans="2:35" x14ac:dyDescent="0.25">
      <c r="B241" s="210"/>
      <c r="C241" s="215"/>
      <c r="D241" s="198"/>
      <c r="E241" s="215"/>
      <c r="P241" s="200"/>
      <c r="AH241" s="199"/>
      <c r="AI241" s="199"/>
    </row>
    <row r="242" spans="2:35" x14ac:dyDescent="0.25">
      <c r="B242" s="210"/>
      <c r="C242" s="215"/>
      <c r="D242" s="198"/>
      <c r="E242" s="215"/>
      <c r="P242" s="200"/>
      <c r="AH242" s="199"/>
      <c r="AI242" s="199"/>
    </row>
    <row r="243" spans="2:35" x14ac:dyDescent="0.25">
      <c r="B243" s="210"/>
      <c r="C243" s="215"/>
      <c r="D243" s="198"/>
      <c r="E243" s="215"/>
      <c r="P243" s="200"/>
      <c r="AH243" s="199"/>
      <c r="AI243" s="199"/>
    </row>
    <row r="244" spans="2:35" x14ac:dyDescent="0.25">
      <c r="B244" s="210"/>
      <c r="C244" s="215"/>
      <c r="D244" s="198"/>
      <c r="E244" s="215"/>
      <c r="P244" s="200"/>
      <c r="AH244" s="199"/>
      <c r="AI244" s="199"/>
    </row>
    <row r="245" spans="2:35" x14ac:dyDescent="0.25">
      <c r="B245" s="210"/>
      <c r="C245" s="215"/>
      <c r="D245" s="198"/>
      <c r="E245" s="215"/>
      <c r="P245" s="200"/>
      <c r="AH245" s="199"/>
      <c r="AI245" s="199"/>
    </row>
    <row r="246" spans="2:35" x14ac:dyDescent="0.25">
      <c r="B246" s="210"/>
      <c r="C246" s="215"/>
      <c r="D246" s="198"/>
      <c r="E246" s="215"/>
      <c r="P246" s="200"/>
      <c r="AH246" s="199"/>
      <c r="AI246" s="199"/>
    </row>
    <row r="247" spans="2:35" x14ac:dyDescent="0.25">
      <c r="B247" s="210"/>
      <c r="C247" s="215"/>
      <c r="D247" s="198"/>
      <c r="E247" s="215"/>
      <c r="P247" s="200"/>
      <c r="AH247" s="199"/>
      <c r="AI247" s="199"/>
    </row>
    <row r="248" spans="2:35" x14ac:dyDescent="0.25">
      <c r="B248" s="210"/>
      <c r="C248" s="215"/>
      <c r="D248" s="198"/>
      <c r="E248" s="215"/>
      <c r="P248" s="200"/>
      <c r="AH248" s="199"/>
      <c r="AI248" s="199"/>
    </row>
    <row r="249" spans="2:35" x14ac:dyDescent="0.25">
      <c r="B249" s="210"/>
      <c r="C249" s="215"/>
      <c r="D249" s="198"/>
      <c r="E249" s="215"/>
      <c r="P249" s="200"/>
      <c r="AH249" s="199"/>
      <c r="AI249" s="199"/>
    </row>
    <row r="250" spans="2:35" x14ac:dyDescent="0.25">
      <c r="B250" s="210"/>
      <c r="C250" s="215"/>
      <c r="D250" s="198"/>
      <c r="E250" s="215"/>
      <c r="P250" s="200"/>
      <c r="AH250" s="199"/>
      <c r="AI250" s="199"/>
    </row>
    <row r="251" spans="2:35" x14ac:dyDescent="0.25">
      <c r="B251" s="210"/>
      <c r="C251" s="215"/>
      <c r="D251" s="198"/>
      <c r="E251" s="215"/>
      <c r="P251" s="200"/>
      <c r="AH251" s="199"/>
      <c r="AI251" s="199"/>
    </row>
    <row r="252" spans="2:35" x14ac:dyDescent="0.25">
      <c r="B252" s="210"/>
      <c r="C252" s="215"/>
      <c r="D252" s="198"/>
      <c r="E252" s="215"/>
      <c r="P252" s="200"/>
      <c r="AH252" s="199"/>
      <c r="AI252" s="199"/>
    </row>
    <row r="253" spans="2:35" x14ac:dyDescent="0.25">
      <c r="B253" s="210"/>
      <c r="C253" s="215"/>
      <c r="D253" s="198"/>
      <c r="E253" s="215"/>
      <c r="P253" s="200"/>
      <c r="AH253" s="199"/>
      <c r="AI253" s="199"/>
    </row>
    <row r="254" spans="2:35" x14ac:dyDescent="0.25">
      <c r="B254" s="210"/>
      <c r="C254" s="215"/>
      <c r="D254" s="198"/>
      <c r="E254" s="215"/>
      <c r="P254" s="200"/>
      <c r="AH254" s="199"/>
      <c r="AI254" s="199"/>
    </row>
    <row r="255" spans="2:35" x14ac:dyDescent="0.25">
      <c r="B255" s="210"/>
      <c r="C255" s="215"/>
      <c r="D255" s="198"/>
      <c r="E255" s="215"/>
      <c r="P255" s="200"/>
      <c r="AH255" s="199"/>
      <c r="AI255" s="199"/>
    </row>
    <row r="256" spans="2:35" x14ac:dyDescent="0.25">
      <c r="B256" s="210"/>
      <c r="C256" s="215"/>
      <c r="D256" s="198"/>
      <c r="E256" s="215"/>
      <c r="P256" s="200"/>
      <c r="AH256" s="199"/>
      <c r="AI256" s="199"/>
    </row>
    <row r="257" spans="2:35" x14ac:dyDescent="0.25">
      <c r="B257" s="210"/>
      <c r="C257" s="215"/>
      <c r="D257" s="198"/>
      <c r="E257" s="215"/>
      <c r="P257" s="200"/>
      <c r="AH257" s="199"/>
      <c r="AI257" s="199"/>
    </row>
    <row r="258" spans="2:35" x14ac:dyDescent="0.25">
      <c r="B258" s="210"/>
      <c r="C258" s="215"/>
      <c r="D258" s="198"/>
      <c r="E258" s="215"/>
      <c r="P258" s="200"/>
      <c r="AH258" s="199"/>
      <c r="AI258" s="199"/>
    </row>
    <row r="259" spans="2:35" x14ac:dyDescent="0.25">
      <c r="B259" s="210"/>
      <c r="C259" s="215"/>
      <c r="D259" s="198"/>
      <c r="E259" s="215"/>
      <c r="P259" s="200"/>
      <c r="AH259" s="199"/>
      <c r="AI259" s="199"/>
    </row>
    <row r="260" spans="2:35" x14ac:dyDescent="0.25">
      <c r="B260" s="210"/>
      <c r="C260" s="215"/>
      <c r="D260" s="198"/>
      <c r="E260" s="215"/>
      <c r="P260" s="200"/>
      <c r="AH260" s="199"/>
      <c r="AI260" s="199"/>
    </row>
    <row r="261" spans="2:35" x14ac:dyDescent="0.25">
      <c r="B261" s="210"/>
      <c r="C261" s="215"/>
      <c r="D261" s="198"/>
      <c r="E261" s="215"/>
      <c r="P261" s="200"/>
      <c r="AH261" s="199"/>
      <c r="AI261" s="199"/>
    </row>
    <row r="262" spans="2:35" x14ac:dyDescent="0.25">
      <c r="B262" s="210"/>
      <c r="C262" s="215"/>
      <c r="D262" s="198"/>
      <c r="E262" s="215"/>
      <c r="P262" s="200"/>
      <c r="AH262" s="199"/>
      <c r="AI262" s="199"/>
    </row>
    <row r="263" spans="2:35" x14ac:dyDescent="0.25">
      <c r="B263" s="210"/>
      <c r="C263" s="215"/>
      <c r="D263" s="198"/>
      <c r="E263" s="215"/>
      <c r="P263" s="200"/>
      <c r="AH263" s="199"/>
      <c r="AI263" s="199"/>
    </row>
    <row r="264" spans="2:35" x14ac:dyDescent="0.25">
      <c r="B264" s="210"/>
      <c r="C264" s="215"/>
      <c r="D264" s="198"/>
      <c r="E264" s="215"/>
      <c r="P264" s="200"/>
      <c r="AH264" s="199"/>
      <c r="AI264" s="199"/>
    </row>
    <row r="265" spans="2:35" x14ac:dyDescent="0.25">
      <c r="B265" s="210"/>
      <c r="C265" s="215"/>
      <c r="D265" s="198"/>
      <c r="E265" s="215"/>
      <c r="P265" s="200"/>
      <c r="AH265" s="199"/>
      <c r="AI265" s="199"/>
    </row>
    <row r="266" spans="2:35" x14ac:dyDescent="0.25">
      <c r="B266" s="210"/>
      <c r="C266" s="215"/>
      <c r="D266" s="198"/>
      <c r="E266" s="215"/>
      <c r="P266" s="200"/>
      <c r="AH266" s="199"/>
      <c r="AI266" s="199"/>
    </row>
    <row r="267" spans="2:35" x14ac:dyDescent="0.25">
      <c r="B267" s="210"/>
      <c r="C267" s="215"/>
      <c r="D267" s="198"/>
      <c r="E267" s="215"/>
      <c r="P267" s="200"/>
      <c r="AH267" s="199"/>
      <c r="AI267" s="199"/>
    </row>
    <row r="268" spans="2:35" x14ac:dyDescent="0.25">
      <c r="B268" s="210"/>
      <c r="C268" s="215"/>
      <c r="D268" s="198"/>
      <c r="E268" s="215"/>
      <c r="P268" s="200"/>
      <c r="AH268" s="199"/>
      <c r="AI268" s="199"/>
    </row>
    <row r="269" spans="2:35" x14ac:dyDescent="0.25">
      <c r="B269" s="210"/>
      <c r="C269" s="215"/>
      <c r="D269" s="198"/>
      <c r="E269" s="215"/>
      <c r="P269" s="200"/>
      <c r="AH269" s="199"/>
      <c r="AI269" s="199"/>
    </row>
    <row r="270" spans="2:35" x14ac:dyDescent="0.25">
      <c r="B270" s="210"/>
      <c r="C270" s="215"/>
      <c r="D270" s="198"/>
      <c r="E270" s="215"/>
      <c r="P270" s="200"/>
      <c r="AH270" s="199"/>
      <c r="AI270" s="199"/>
    </row>
    <row r="271" spans="2:35" x14ac:dyDescent="0.25">
      <c r="B271" s="210"/>
      <c r="C271" s="215"/>
      <c r="D271" s="198"/>
      <c r="E271" s="215"/>
      <c r="P271" s="200"/>
      <c r="AH271" s="199"/>
      <c r="AI271" s="199"/>
    </row>
    <row r="272" spans="2:35" x14ac:dyDescent="0.25">
      <c r="B272" s="210"/>
      <c r="C272" s="215"/>
      <c r="D272" s="198"/>
      <c r="E272" s="215"/>
      <c r="P272" s="200"/>
      <c r="AH272" s="199"/>
      <c r="AI272" s="199"/>
    </row>
    <row r="273" spans="2:35" x14ac:dyDescent="0.25">
      <c r="B273" s="210"/>
      <c r="C273" s="215"/>
      <c r="D273" s="198"/>
      <c r="E273" s="215"/>
      <c r="P273" s="200"/>
      <c r="AH273" s="199"/>
      <c r="AI273" s="199"/>
    </row>
    <row r="274" spans="2:35" x14ac:dyDescent="0.25">
      <c r="B274" s="210"/>
      <c r="C274" s="215"/>
      <c r="D274" s="198"/>
      <c r="E274" s="215"/>
      <c r="P274" s="200"/>
      <c r="AH274" s="199"/>
      <c r="AI274" s="199"/>
    </row>
    <row r="275" spans="2:35" x14ac:dyDescent="0.25">
      <c r="B275" s="210"/>
      <c r="C275" s="215"/>
      <c r="D275" s="198"/>
      <c r="E275" s="215"/>
      <c r="P275" s="200"/>
      <c r="AH275" s="199"/>
      <c r="AI275" s="199"/>
    </row>
    <row r="276" spans="2:35" x14ac:dyDescent="0.25">
      <c r="B276" s="210"/>
      <c r="C276" s="215"/>
      <c r="D276" s="198"/>
      <c r="E276" s="215"/>
      <c r="P276" s="200"/>
      <c r="AH276" s="199"/>
      <c r="AI276" s="199"/>
    </row>
    <row r="277" spans="2:35" x14ac:dyDescent="0.25">
      <c r="B277" s="210"/>
      <c r="C277" s="215"/>
      <c r="D277" s="198"/>
      <c r="E277" s="215"/>
      <c r="P277" s="200"/>
      <c r="AH277" s="199"/>
      <c r="AI277" s="199"/>
    </row>
    <row r="278" spans="2:35" x14ac:dyDescent="0.25">
      <c r="B278" s="210"/>
      <c r="C278" s="215"/>
      <c r="D278" s="198"/>
      <c r="E278" s="215"/>
      <c r="P278" s="200"/>
      <c r="AH278" s="199"/>
      <c r="AI278" s="199"/>
    </row>
    <row r="279" spans="2:35" x14ac:dyDescent="0.25">
      <c r="B279" s="210"/>
      <c r="C279" s="215"/>
      <c r="D279" s="198"/>
      <c r="E279" s="215"/>
      <c r="P279" s="200"/>
      <c r="AH279" s="199"/>
      <c r="AI279" s="199"/>
    </row>
    <row r="280" spans="2:35" x14ac:dyDescent="0.25">
      <c r="B280" s="210"/>
      <c r="C280" s="215"/>
      <c r="D280" s="198"/>
      <c r="E280" s="215"/>
      <c r="P280" s="200"/>
      <c r="AH280" s="199"/>
      <c r="AI280" s="199"/>
    </row>
    <row r="281" spans="2:35" x14ac:dyDescent="0.25">
      <c r="B281" s="210"/>
      <c r="C281" s="215"/>
      <c r="D281" s="198"/>
      <c r="E281" s="215"/>
      <c r="P281" s="200"/>
      <c r="AH281" s="199"/>
      <c r="AI281" s="199"/>
    </row>
    <row r="282" spans="2:35" x14ac:dyDescent="0.25">
      <c r="B282" s="210"/>
      <c r="C282" s="215"/>
      <c r="D282" s="198"/>
      <c r="E282" s="215"/>
      <c r="P282" s="200"/>
      <c r="AH282" s="199"/>
      <c r="AI282" s="199"/>
    </row>
    <row r="283" spans="2:35" x14ac:dyDescent="0.25">
      <c r="B283" s="210"/>
      <c r="C283" s="215"/>
      <c r="D283" s="198"/>
      <c r="E283" s="215"/>
      <c r="P283" s="200"/>
      <c r="AH283" s="199"/>
      <c r="AI283" s="199"/>
    </row>
    <row r="284" spans="2:35" x14ac:dyDescent="0.25">
      <c r="B284" s="210"/>
      <c r="C284" s="215"/>
      <c r="D284" s="198"/>
      <c r="E284" s="215"/>
      <c r="P284" s="200"/>
      <c r="AH284" s="199"/>
      <c r="AI284" s="199"/>
    </row>
    <row r="285" spans="2:35" x14ac:dyDescent="0.25">
      <c r="B285" s="210"/>
      <c r="C285" s="215"/>
      <c r="D285" s="198"/>
      <c r="E285" s="215"/>
      <c r="P285" s="200"/>
      <c r="AH285" s="199"/>
      <c r="AI285" s="199"/>
    </row>
    <row r="286" spans="2:35" x14ac:dyDescent="0.25">
      <c r="B286" s="210"/>
      <c r="C286" s="215"/>
      <c r="D286" s="198"/>
      <c r="E286" s="215"/>
      <c r="P286" s="200"/>
      <c r="AH286" s="199"/>
      <c r="AI286" s="199"/>
    </row>
    <row r="287" spans="2:35" x14ac:dyDescent="0.25">
      <c r="B287" s="210"/>
      <c r="C287" s="215"/>
      <c r="D287" s="198"/>
      <c r="E287" s="215"/>
      <c r="P287" s="200"/>
      <c r="AH287" s="199"/>
      <c r="AI287" s="199"/>
    </row>
    <row r="288" spans="2:35" x14ac:dyDescent="0.25">
      <c r="B288" s="210"/>
      <c r="C288" s="215"/>
      <c r="D288" s="198"/>
      <c r="E288" s="215"/>
      <c r="P288" s="200"/>
      <c r="AH288" s="199"/>
      <c r="AI288" s="199"/>
    </row>
    <row r="289" spans="2:35" x14ac:dyDescent="0.25">
      <c r="B289" s="210"/>
      <c r="C289" s="215"/>
      <c r="D289" s="198"/>
      <c r="E289" s="215"/>
      <c r="P289" s="200"/>
      <c r="AH289" s="199"/>
      <c r="AI289" s="199"/>
    </row>
    <row r="290" spans="2:35" x14ac:dyDescent="0.25">
      <c r="B290" s="210"/>
      <c r="C290" s="215"/>
      <c r="D290" s="198"/>
      <c r="E290" s="215"/>
      <c r="P290" s="200"/>
      <c r="AH290" s="199"/>
      <c r="AI290" s="199"/>
    </row>
    <row r="291" spans="2:35" x14ac:dyDescent="0.25">
      <c r="B291" s="210"/>
      <c r="C291" s="215"/>
      <c r="D291" s="198"/>
      <c r="E291" s="215"/>
      <c r="P291" s="200"/>
      <c r="AH291" s="199"/>
      <c r="AI291" s="199"/>
    </row>
    <row r="292" spans="2:35" x14ac:dyDescent="0.25">
      <c r="B292" s="210"/>
      <c r="C292" s="215"/>
      <c r="D292" s="198"/>
      <c r="E292" s="215"/>
      <c r="P292" s="200"/>
      <c r="AH292" s="199"/>
      <c r="AI292" s="199"/>
    </row>
    <row r="293" spans="2:35" x14ac:dyDescent="0.25">
      <c r="B293" s="210"/>
      <c r="C293" s="215"/>
      <c r="D293" s="198"/>
      <c r="E293" s="215"/>
      <c r="P293" s="200"/>
      <c r="AH293" s="199"/>
      <c r="AI293" s="199"/>
    </row>
    <row r="294" spans="2:35" x14ac:dyDescent="0.25">
      <c r="B294" s="210"/>
      <c r="C294" s="215"/>
      <c r="D294" s="198"/>
      <c r="E294" s="215"/>
      <c r="P294" s="200"/>
      <c r="AH294" s="199"/>
      <c r="AI294" s="199"/>
    </row>
    <row r="295" spans="2:35" x14ac:dyDescent="0.25">
      <c r="B295" s="210"/>
      <c r="C295" s="215"/>
      <c r="D295" s="198"/>
      <c r="E295" s="215"/>
      <c r="P295" s="200"/>
      <c r="AH295" s="199"/>
      <c r="AI295" s="199"/>
    </row>
    <row r="296" spans="2:35" x14ac:dyDescent="0.25">
      <c r="B296" s="210"/>
      <c r="C296" s="215"/>
      <c r="D296" s="198"/>
      <c r="E296" s="215"/>
      <c r="P296" s="200"/>
      <c r="AH296" s="199"/>
      <c r="AI296" s="199"/>
    </row>
    <row r="297" spans="2:35" x14ac:dyDescent="0.25">
      <c r="B297" s="210"/>
      <c r="C297" s="215"/>
      <c r="D297" s="198"/>
      <c r="E297" s="215"/>
      <c r="P297" s="200"/>
      <c r="AH297" s="199"/>
      <c r="AI297" s="199"/>
    </row>
    <row r="298" spans="2:35" x14ac:dyDescent="0.25">
      <c r="B298" s="210"/>
      <c r="C298" s="215"/>
      <c r="D298" s="198"/>
      <c r="E298" s="215"/>
      <c r="P298" s="200"/>
      <c r="AH298" s="199"/>
      <c r="AI298" s="199"/>
    </row>
    <row r="299" spans="2:35" x14ac:dyDescent="0.25">
      <c r="B299" s="210"/>
      <c r="C299" s="215"/>
      <c r="D299" s="198"/>
      <c r="E299" s="215"/>
      <c r="P299" s="200"/>
      <c r="AH299" s="199"/>
      <c r="AI299" s="199"/>
    </row>
    <row r="300" spans="2:35" x14ac:dyDescent="0.25">
      <c r="B300" s="210"/>
      <c r="C300" s="215"/>
      <c r="D300" s="198"/>
      <c r="E300" s="215"/>
      <c r="P300" s="200"/>
      <c r="AH300" s="199"/>
      <c r="AI300" s="199"/>
    </row>
    <row r="301" spans="2:35" x14ac:dyDescent="0.25">
      <c r="B301" s="210"/>
      <c r="C301" s="215"/>
      <c r="D301" s="198"/>
      <c r="E301" s="215"/>
      <c r="P301" s="200"/>
      <c r="AH301" s="199"/>
      <c r="AI301" s="199"/>
    </row>
    <row r="302" spans="2:35" x14ac:dyDescent="0.25">
      <c r="B302" s="210"/>
      <c r="C302" s="215"/>
      <c r="D302" s="198"/>
      <c r="E302" s="215"/>
      <c r="P302" s="200"/>
      <c r="AH302" s="199"/>
      <c r="AI302" s="199"/>
    </row>
    <row r="303" spans="2:35" x14ac:dyDescent="0.25">
      <c r="B303" s="210"/>
      <c r="C303" s="215"/>
      <c r="D303" s="198"/>
      <c r="E303" s="215"/>
      <c r="P303" s="200"/>
      <c r="AH303" s="199"/>
      <c r="AI303" s="199"/>
    </row>
    <row r="304" spans="2:35" x14ac:dyDescent="0.25">
      <c r="B304" s="210"/>
      <c r="C304" s="215"/>
      <c r="D304" s="198"/>
      <c r="E304" s="215"/>
      <c r="P304" s="200"/>
      <c r="AH304" s="199"/>
      <c r="AI304" s="199"/>
    </row>
    <row r="305" spans="2:35" x14ac:dyDescent="0.25">
      <c r="B305" s="210"/>
      <c r="C305" s="215"/>
      <c r="D305" s="198"/>
      <c r="E305" s="215"/>
      <c r="P305" s="200"/>
      <c r="AH305" s="199"/>
      <c r="AI305" s="199"/>
    </row>
    <row r="306" spans="2:35" x14ac:dyDescent="0.25">
      <c r="B306" s="210"/>
      <c r="C306" s="215"/>
      <c r="D306" s="198"/>
      <c r="E306" s="215"/>
      <c r="P306" s="200"/>
      <c r="AH306" s="199"/>
      <c r="AI306" s="199"/>
    </row>
    <row r="307" spans="2:35" x14ac:dyDescent="0.25">
      <c r="B307" s="210"/>
      <c r="C307" s="215"/>
      <c r="D307" s="198"/>
      <c r="E307" s="215"/>
      <c r="P307" s="200"/>
      <c r="AH307" s="199"/>
      <c r="AI307" s="199"/>
    </row>
    <row r="308" spans="2:35" x14ac:dyDescent="0.25">
      <c r="B308" s="210"/>
      <c r="C308" s="215"/>
      <c r="D308" s="198"/>
      <c r="E308" s="215"/>
      <c r="P308" s="200"/>
      <c r="AH308" s="199"/>
      <c r="AI308" s="199"/>
    </row>
    <row r="309" spans="2:35" x14ac:dyDescent="0.25">
      <c r="B309" s="210"/>
      <c r="C309" s="215"/>
      <c r="D309" s="198"/>
      <c r="E309" s="215"/>
      <c r="P309" s="200"/>
      <c r="AH309" s="199"/>
      <c r="AI309" s="199"/>
    </row>
    <row r="310" spans="2:35" x14ac:dyDescent="0.25">
      <c r="B310" s="210"/>
      <c r="C310" s="215"/>
      <c r="D310" s="198"/>
      <c r="E310" s="215"/>
      <c r="P310" s="200"/>
      <c r="AH310" s="199"/>
      <c r="AI310" s="199"/>
    </row>
    <row r="311" spans="2:35" x14ac:dyDescent="0.25">
      <c r="B311" s="210"/>
      <c r="C311" s="215"/>
      <c r="D311" s="198"/>
      <c r="E311" s="215"/>
      <c r="P311" s="200"/>
      <c r="AH311" s="199"/>
      <c r="AI311" s="199"/>
    </row>
    <row r="312" spans="2:35" x14ac:dyDescent="0.25">
      <c r="B312" s="210"/>
      <c r="C312" s="215"/>
      <c r="D312" s="198"/>
      <c r="E312" s="215"/>
      <c r="P312" s="200"/>
      <c r="AH312" s="199"/>
      <c r="AI312" s="199"/>
    </row>
    <row r="313" spans="2:35" x14ac:dyDescent="0.25">
      <c r="B313" s="210"/>
      <c r="C313" s="215"/>
      <c r="D313" s="198"/>
      <c r="E313" s="215"/>
      <c r="P313" s="200"/>
      <c r="AH313" s="199"/>
      <c r="AI313" s="199"/>
    </row>
    <row r="314" spans="2:35" x14ac:dyDescent="0.25">
      <c r="B314" s="210"/>
      <c r="C314" s="215"/>
      <c r="D314" s="198"/>
      <c r="E314" s="215"/>
      <c r="P314" s="200"/>
      <c r="AH314" s="199"/>
      <c r="AI314" s="199"/>
    </row>
    <row r="315" spans="2:35" x14ac:dyDescent="0.25">
      <c r="B315" s="210"/>
      <c r="C315" s="215"/>
      <c r="D315" s="198"/>
      <c r="E315" s="215"/>
      <c r="P315" s="200"/>
      <c r="AH315" s="199"/>
      <c r="AI315" s="199"/>
    </row>
    <row r="316" spans="2:35" x14ac:dyDescent="0.25">
      <c r="B316" s="210"/>
      <c r="C316" s="215"/>
      <c r="D316" s="198"/>
      <c r="E316" s="215"/>
      <c r="P316" s="200"/>
      <c r="AH316" s="199"/>
      <c r="AI316" s="199"/>
    </row>
    <row r="317" spans="2:35" x14ac:dyDescent="0.25">
      <c r="B317" s="210"/>
      <c r="C317" s="215"/>
      <c r="D317" s="198"/>
      <c r="E317" s="215"/>
      <c r="P317" s="200"/>
      <c r="AH317" s="199"/>
      <c r="AI317" s="199"/>
    </row>
    <row r="318" spans="2:35" x14ac:dyDescent="0.25">
      <c r="B318" s="210"/>
      <c r="C318" s="215"/>
      <c r="D318" s="198"/>
      <c r="E318" s="215"/>
      <c r="P318" s="200"/>
      <c r="AH318" s="199"/>
      <c r="AI318" s="199"/>
    </row>
    <row r="319" spans="2:35" x14ac:dyDescent="0.25">
      <c r="B319" s="210"/>
      <c r="C319" s="215"/>
      <c r="D319" s="198"/>
      <c r="E319" s="215"/>
      <c r="P319" s="200"/>
      <c r="AH319" s="199"/>
      <c r="AI319" s="199"/>
    </row>
    <row r="320" spans="2:35" x14ac:dyDescent="0.25">
      <c r="B320" s="210"/>
      <c r="C320" s="215"/>
      <c r="D320" s="198"/>
      <c r="E320" s="215"/>
      <c r="P320" s="200"/>
      <c r="AH320" s="199"/>
      <c r="AI320" s="199"/>
    </row>
    <row r="321" spans="2:35" x14ac:dyDescent="0.25">
      <c r="B321" s="210"/>
      <c r="C321" s="215"/>
      <c r="D321" s="198"/>
      <c r="E321" s="215"/>
      <c r="P321" s="200"/>
      <c r="AH321" s="199"/>
      <c r="AI321" s="199"/>
    </row>
    <row r="322" spans="2:35" x14ac:dyDescent="0.25">
      <c r="B322" s="210"/>
      <c r="C322" s="215"/>
      <c r="D322" s="198"/>
      <c r="E322" s="215"/>
      <c r="P322" s="200"/>
      <c r="AH322" s="199"/>
      <c r="AI322" s="199"/>
    </row>
    <row r="323" spans="2:35" x14ac:dyDescent="0.25">
      <c r="B323" s="210"/>
      <c r="C323" s="215"/>
      <c r="D323" s="198"/>
      <c r="E323" s="215"/>
      <c r="P323" s="200"/>
      <c r="AH323" s="199"/>
      <c r="AI323" s="199"/>
    </row>
    <row r="324" spans="2:35" x14ac:dyDescent="0.25">
      <c r="B324" s="210"/>
      <c r="C324" s="215"/>
      <c r="D324" s="198"/>
      <c r="E324" s="215"/>
      <c r="P324" s="200"/>
      <c r="AH324" s="199"/>
      <c r="AI324" s="199"/>
    </row>
    <row r="325" spans="2:35" x14ac:dyDescent="0.25">
      <c r="B325" s="210"/>
      <c r="C325" s="215"/>
      <c r="D325" s="198"/>
      <c r="E325" s="215"/>
      <c r="P325" s="200"/>
      <c r="AH325" s="199"/>
      <c r="AI325" s="199"/>
    </row>
    <row r="326" spans="2:35" x14ac:dyDescent="0.25">
      <c r="B326" s="210"/>
      <c r="C326" s="215"/>
      <c r="D326" s="198"/>
      <c r="E326" s="215"/>
      <c r="P326" s="200"/>
      <c r="AH326" s="199"/>
      <c r="AI326" s="199"/>
    </row>
    <row r="327" spans="2:35" x14ac:dyDescent="0.25">
      <c r="B327" s="210"/>
      <c r="C327" s="215"/>
      <c r="D327" s="198"/>
      <c r="E327" s="215"/>
      <c r="P327" s="200"/>
      <c r="AH327" s="199"/>
      <c r="AI327" s="199"/>
    </row>
    <row r="328" spans="2:35" x14ac:dyDescent="0.25">
      <c r="B328" s="210"/>
      <c r="C328" s="215"/>
      <c r="D328" s="198"/>
      <c r="E328" s="215"/>
      <c r="P328" s="200"/>
      <c r="AH328" s="199"/>
      <c r="AI328" s="199"/>
    </row>
    <row r="329" spans="2:35" x14ac:dyDescent="0.25">
      <c r="B329" s="210"/>
      <c r="C329" s="215"/>
      <c r="D329" s="198"/>
      <c r="E329" s="215"/>
      <c r="P329" s="200"/>
      <c r="AH329" s="199"/>
      <c r="AI329" s="199"/>
    </row>
    <row r="330" spans="2:35" x14ac:dyDescent="0.25">
      <c r="B330" s="210"/>
      <c r="C330" s="215"/>
      <c r="D330" s="198"/>
      <c r="E330" s="215"/>
      <c r="P330" s="200"/>
      <c r="AH330" s="199"/>
      <c r="AI330" s="199"/>
    </row>
    <row r="331" spans="2:35" x14ac:dyDescent="0.25">
      <c r="B331" s="210"/>
      <c r="C331" s="215"/>
      <c r="D331" s="198"/>
      <c r="E331" s="215"/>
      <c r="P331" s="200"/>
      <c r="AH331" s="199"/>
      <c r="AI331" s="199"/>
    </row>
    <row r="332" spans="2:35" x14ac:dyDescent="0.25">
      <c r="B332" s="210"/>
      <c r="C332" s="215"/>
      <c r="D332" s="198"/>
      <c r="E332" s="215"/>
      <c r="P332" s="200"/>
      <c r="AH332" s="199"/>
      <c r="AI332" s="199"/>
    </row>
    <row r="333" spans="2:35" x14ac:dyDescent="0.25">
      <c r="B333" s="210"/>
      <c r="C333" s="215"/>
      <c r="D333" s="198"/>
      <c r="E333" s="215"/>
      <c r="P333" s="200"/>
      <c r="AH333" s="199"/>
      <c r="AI333" s="199"/>
    </row>
    <row r="334" spans="2:35" x14ac:dyDescent="0.25">
      <c r="B334" s="210"/>
      <c r="C334" s="215"/>
      <c r="D334" s="198"/>
      <c r="E334" s="215"/>
      <c r="P334" s="200"/>
      <c r="AH334" s="199"/>
      <c r="AI334" s="199"/>
    </row>
    <row r="335" spans="2:35" x14ac:dyDescent="0.25">
      <c r="B335" s="210"/>
      <c r="C335" s="215"/>
      <c r="D335" s="198"/>
      <c r="E335" s="215"/>
      <c r="P335" s="200"/>
      <c r="AH335" s="199"/>
      <c r="AI335" s="199"/>
    </row>
    <row r="336" spans="2:35" x14ac:dyDescent="0.25">
      <c r="B336" s="210"/>
      <c r="C336" s="215"/>
      <c r="D336" s="198"/>
      <c r="E336" s="215"/>
      <c r="P336" s="200"/>
      <c r="AH336" s="199"/>
      <c r="AI336" s="199"/>
    </row>
    <row r="337" spans="2:35" x14ac:dyDescent="0.25">
      <c r="B337" s="210"/>
      <c r="C337" s="215"/>
      <c r="D337" s="198"/>
      <c r="E337" s="215"/>
      <c r="P337" s="200"/>
      <c r="AH337" s="199"/>
      <c r="AI337" s="199"/>
    </row>
    <row r="338" spans="2:35" x14ac:dyDescent="0.25">
      <c r="B338" s="210"/>
      <c r="C338" s="215"/>
      <c r="D338" s="198"/>
      <c r="E338" s="215"/>
      <c r="P338" s="200"/>
      <c r="AH338" s="199"/>
      <c r="AI338" s="199"/>
    </row>
    <row r="339" spans="2:35" x14ac:dyDescent="0.25">
      <c r="B339" s="210"/>
      <c r="C339" s="215"/>
      <c r="D339" s="198"/>
      <c r="E339" s="215"/>
      <c r="P339" s="200"/>
      <c r="AH339" s="199"/>
      <c r="AI339" s="199"/>
    </row>
    <row r="340" spans="2:35" x14ac:dyDescent="0.25">
      <c r="B340" s="210"/>
      <c r="C340" s="215"/>
      <c r="D340" s="198"/>
      <c r="E340" s="215"/>
      <c r="P340" s="200"/>
      <c r="AH340" s="199"/>
      <c r="AI340" s="199"/>
    </row>
    <row r="341" spans="2:35" x14ac:dyDescent="0.25">
      <c r="B341" s="210"/>
      <c r="C341" s="215"/>
      <c r="D341" s="198"/>
      <c r="E341" s="215"/>
      <c r="P341" s="200"/>
      <c r="AH341" s="199"/>
      <c r="AI341" s="199"/>
    </row>
    <row r="342" spans="2:35" x14ac:dyDescent="0.25">
      <c r="B342" s="210"/>
      <c r="C342" s="215"/>
      <c r="D342" s="198"/>
      <c r="E342" s="215"/>
      <c r="P342" s="200"/>
      <c r="AH342" s="199"/>
      <c r="AI342" s="199"/>
    </row>
    <row r="343" spans="2:35" x14ac:dyDescent="0.25">
      <c r="B343" s="210"/>
      <c r="C343" s="215"/>
      <c r="D343" s="198"/>
      <c r="E343" s="215"/>
      <c r="P343" s="200"/>
      <c r="AH343" s="199"/>
      <c r="AI343" s="199"/>
    </row>
    <row r="344" spans="2:35" x14ac:dyDescent="0.25">
      <c r="B344" s="210"/>
      <c r="C344" s="215"/>
      <c r="D344" s="198"/>
      <c r="E344" s="215"/>
      <c r="P344" s="200"/>
      <c r="AH344" s="199"/>
      <c r="AI344" s="199"/>
    </row>
    <row r="345" spans="2:35" x14ac:dyDescent="0.25">
      <c r="B345" s="210"/>
      <c r="C345" s="215"/>
      <c r="D345" s="198"/>
      <c r="E345" s="215"/>
      <c r="P345" s="200"/>
      <c r="AH345" s="199"/>
      <c r="AI345" s="199"/>
    </row>
    <row r="346" spans="2:35" x14ac:dyDescent="0.25">
      <c r="B346" s="210"/>
      <c r="C346" s="215"/>
      <c r="D346" s="198"/>
      <c r="E346" s="215"/>
      <c r="P346" s="200"/>
      <c r="AH346" s="199"/>
      <c r="AI346" s="199"/>
    </row>
    <row r="347" spans="2:35" x14ac:dyDescent="0.25">
      <c r="B347" s="210"/>
      <c r="C347" s="215"/>
      <c r="D347" s="198"/>
      <c r="E347" s="215"/>
      <c r="P347" s="200"/>
      <c r="AH347" s="199"/>
      <c r="AI347" s="199"/>
    </row>
    <row r="348" spans="2:35" x14ac:dyDescent="0.25">
      <c r="B348" s="210"/>
      <c r="C348" s="215"/>
      <c r="D348" s="198"/>
      <c r="E348" s="215"/>
      <c r="P348" s="200"/>
      <c r="AH348" s="199"/>
      <c r="AI348" s="199"/>
    </row>
    <row r="349" spans="2:35" x14ac:dyDescent="0.25">
      <c r="B349" s="210"/>
      <c r="C349" s="215"/>
      <c r="D349" s="198"/>
      <c r="E349" s="215"/>
      <c r="P349" s="200"/>
      <c r="AH349" s="199"/>
      <c r="AI349" s="199"/>
    </row>
    <row r="350" spans="2:35" x14ac:dyDescent="0.25">
      <c r="B350" s="210"/>
      <c r="C350" s="215"/>
      <c r="D350" s="198"/>
      <c r="E350" s="215"/>
      <c r="P350" s="200"/>
      <c r="AH350" s="199"/>
      <c r="AI350" s="199"/>
    </row>
    <row r="351" spans="2:35" x14ac:dyDescent="0.25">
      <c r="B351" s="210"/>
      <c r="C351" s="215"/>
      <c r="D351" s="198"/>
      <c r="E351" s="215"/>
      <c r="P351" s="200"/>
      <c r="AH351" s="199"/>
      <c r="AI351" s="199"/>
    </row>
    <row r="352" spans="2:35" x14ac:dyDescent="0.25">
      <c r="B352" s="210"/>
      <c r="C352" s="215"/>
      <c r="D352" s="198"/>
      <c r="E352" s="215"/>
      <c r="P352" s="200"/>
      <c r="AH352" s="199"/>
      <c r="AI352" s="199"/>
    </row>
    <row r="353" spans="2:35" x14ac:dyDescent="0.25">
      <c r="B353" s="210"/>
      <c r="C353" s="215"/>
      <c r="D353" s="198"/>
      <c r="E353" s="215"/>
      <c r="P353" s="200"/>
      <c r="AH353" s="199"/>
      <c r="AI353" s="199"/>
    </row>
    <row r="354" spans="2:35" x14ac:dyDescent="0.25">
      <c r="B354" s="210"/>
      <c r="C354" s="215"/>
      <c r="D354" s="198"/>
      <c r="E354" s="215"/>
      <c r="P354" s="200"/>
      <c r="AH354" s="199"/>
      <c r="AI354" s="199"/>
    </row>
    <row r="355" spans="2:35" x14ac:dyDescent="0.25">
      <c r="B355" s="210"/>
      <c r="C355" s="215"/>
      <c r="D355" s="198"/>
      <c r="E355" s="215"/>
      <c r="P355" s="200"/>
      <c r="AH355" s="199"/>
      <c r="AI355" s="199"/>
    </row>
    <row r="356" spans="2:35" x14ac:dyDescent="0.25">
      <c r="B356" s="210"/>
      <c r="C356" s="215"/>
      <c r="D356" s="198"/>
      <c r="E356" s="215"/>
      <c r="P356" s="200"/>
      <c r="AH356" s="199"/>
      <c r="AI356" s="199"/>
    </row>
    <row r="357" spans="2:35" x14ac:dyDescent="0.25">
      <c r="B357" s="210"/>
      <c r="C357" s="215"/>
      <c r="D357" s="198"/>
      <c r="E357" s="215"/>
      <c r="P357" s="200"/>
      <c r="AH357" s="199"/>
      <c r="AI357" s="199"/>
    </row>
    <row r="358" spans="2:35" x14ac:dyDescent="0.25">
      <c r="B358" s="210"/>
      <c r="C358" s="215"/>
      <c r="D358" s="198"/>
      <c r="E358" s="215"/>
      <c r="P358" s="200"/>
      <c r="AH358" s="199"/>
      <c r="AI358" s="199"/>
    </row>
    <row r="359" spans="2:35" x14ac:dyDescent="0.25">
      <c r="B359" s="210"/>
      <c r="C359" s="215"/>
      <c r="D359" s="198"/>
      <c r="E359" s="215"/>
      <c r="P359" s="200"/>
      <c r="AH359" s="199"/>
      <c r="AI359" s="199"/>
    </row>
    <row r="360" spans="2:35" x14ac:dyDescent="0.25">
      <c r="B360" s="210"/>
      <c r="C360" s="215"/>
      <c r="D360" s="198"/>
      <c r="E360" s="215"/>
      <c r="P360" s="200"/>
      <c r="AH360" s="199"/>
      <c r="AI360" s="199"/>
    </row>
    <row r="361" spans="2:35" x14ac:dyDescent="0.25">
      <c r="B361" s="210"/>
      <c r="C361" s="215"/>
      <c r="D361" s="198"/>
      <c r="E361" s="215"/>
      <c r="P361" s="200"/>
      <c r="AH361" s="199"/>
      <c r="AI361" s="199"/>
    </row>
    <row r="362" spans="2:35" x14ac:dyDescent="0.25">
      <c r="B362" s="210"/>
      <c r="C362" s="215"/>
      <c r="D362" s="198"/>
      <c r="E362" s="215"/>
      <c r="P362" s="200"/>
      <c r="AH362" s="199"/>
      <c r="AI362" s="199"/>
    </row>
    <row r="363" spans="2:35" x14ac:dyDescent="0.25">
      <c r="B363" s="210"/>
      <c r="C363" s="215"/>
      <c r="D363" s="198"/>
      <c r="E363" s="215"/>
      <c r="P363" s="200"/>
      <c r="AH363" s="199"/>
      <c r="AI363" s="199"/>
    </row>
    <row r="364" spans="2:35" x14ac:dyDescent="0.25">
      <c r="B364" s="210"/>
      <c r="C364" s="215"/>
      <c r="D364" s="198"/>
      <c r="E364" s="215"/>
      <c r="P364" s="200"/>
      <c r="AH364" s="199"/>
      <c r="AI364" s="199"/>
    </row>
    <row r="365" spans="2:35" x14ac:dyDescent="0.25">
      <c r="B365" s="210"/>
      <c r="C365" s="215"/>
      <c r="D365" s="198"/>
      <c r="E365" s="215"/>
      <c r="P365" s="200"/>
      <c r="AH365" s="199"/>
      <c r="AI365" s="199"/>
    </row>
    <row r="366" spans="2:35" x14ac:dyDescent="0.25">
      <c r="B366" s="210"/>
      <c r="C366" s="215"/>
      <c r="D366" s="198"/>
      <c r="E366" s="215"/>
      <c r="P366" s="200"/>
      <c r="AH366" s="199"/>
      <c r="AI366" s="199"/>
    </row>
    <row r="367" spans="2:35" x14ac:dyDescent="0.25">
      <c r="B367" s="210"/>
      <c r="C367" s="215"/>
      <c r="D367" s="198"/>
      <c r="E367" s="215"/>
      <c r="P367" s="200"/>
      <c r="AH367" s="199"/>
      <c r="AI367" s="199"/>
    </row>
    <row r="368" spans="2:35" x14ac:dyDescent="0.25">
      <c r="B368" s="210"/>
      <c r="C368" s="215"/>
      <c r="D368" s="198"/>
      <c r="E368" s="215"/>
      <c r="P368" s="200"/>
      <c r="AH368" s="199"/>
      <c r="AI368" s="199"/>
    </row>
    <row r="369" spans="2:35" x14ac:dyDescent="0.25">
      <c r="B369" s="210"/>
      <c r="C369" s="215"/>
      <c r="D369" s="198"/>
      <c r="E369" s="215"/>
      <c r="P369" s="200"/>
      <c r="AH369" s="199"/>
      <c r="AI369" s="199"/>
    </row>
    <row r="370" spans="2:35" x14ac:dyDescent="0.25">
      <c r="B370" s="210"/>
      <c r="C370" s="215"/>
      <c r="D370" s="198"/>
      <c r="E370" s="215"/>
      <c r="P370" s="200"/>
      <c r="AH370" s="199"/>
      <c r="AI370" s="199"/>
    </row>
    <row r="371" spans="2:35" x14ac:dyDescent="0.25">
      <c r="B371" s="210"/>
      <c r="C371" s="215"/>
      <c r="D371" s="198"/>
      <c r="E371" s="215"/>
      <c r="P371" s="200"/>
      <c r="AH371" s="199"/>
      <c r="AI371" s="199"/>
    </row>
    <row r="372" spans="2:35" x14ac:dyDescent="0.25">
      <c r="B372" s="210"/>
      <c r="C372" s="215"/>
      <c r="D372" s="198"/>
      <c r="E372" s="215"/>
      <c r="P372" s="200"/>
      <c r="AH372" s="199"/>
      <c r="AI372" s="199"/>
    </row>
    <row r="373" spans="2:35" x14ac:dyDescent="0.25">
      <c r="B373" s="210"/>
      <c r="C373" s="215"/>
      <c r="D373" s="198"/>
      <c r="E373" s="215"/>
      <c r="P373" s="200"/>
      <c r="AH373" s="199"/>
      <c r="AI373" s="199"/>
    </row>
    <row r="374" spans="2:35" x14ac:dyDescent="0.25">
      <c r="B374" s="210"/>
      <c r="C374" s="215"/>
      <c r="D374" s="198"/>
      <c r="E374" s="215"/>
      <c r="P374" s="200"/>
      <c r="AH374" s="199"/>
      <c r="AI374" s="199"/>
    </row>
    <row r="375" spans="2:35" x14ac:dyDescent="0.25">
      <c r="B375" s="210"/>
      <c r="C375" s="215"/>
      <c r="D375" s="198"/>
      <c r="E375" s="215"/>
      <c r="P375" s="200"/>
      <c r="AH375" s="199"/>
      <c r="AI375" s="199"/>
    </row>
    <row r="376" spans="2:35" x14ac:dyDescent="0.25">
      <c r="B376" s="210"/>
      <c r="C376" s="215"/>
      <c r="D376" s="198"/>
      <c r="E376" s="215"/>
      <c r="P376" s="200"/>
      <c r="AH376" s="199"/>
      <c r="AI376" s="199"/>
    </row>
    <row r="377" spans="2:35" x14ac:dyDescent="0.25">
      <c r="B377" s="210"/>
      <c r="C377" s="215"/>
      <c r="D377" s="198"/>
      <c r="E377" s="215"/>
      <c r="P377" s="200"/>
      <c r="AH377" s="199"/>
      <c r="AI377" s="199"/>
    </row>
    <row r="378" spans="2:35" x14ac:dyDescent="0.25">
      <c r="B378" s="210"/>
      <c r="C378" s="215"/>
      <c r="D378" s="198"/>
      <c r="E378" s="215"/>
      <c r="P378" s="200"/>
      <c r="AH378" s="199"/>
      <c r="AI378" s="199"/>
    </row>
    <row r="379" spans="2:35" x14ac:dyDescent="0.25">
      <c r="B379" s="210"/>
      <c r="C379" s="215"/>
      <c r="D379" s="198"/>
      <c r="E379" s="215"/>
      <c r="P379" s="200"/>
      <c r="AH379" s="199"/>
      <c r="AI379" s="199"/>
    </row>
    <row r="380" spans="2:35" x14ac:dyDescent="0.25">
      <c r="B380" s="210"/>
      <c r="C380" s="215"/>
      <c r="D380" s="198"/>
      <c r="E380" s="215"/>
      <c r="P380" s="200"/>
      <c r="AH380" s="199"/>
      <c r="AI380" s="199"/>
    </row>
    <row r="381" spans="2:35" x14ac:dyDescent="0.25">
      <c r="B381" s="210"/>
      <c r="C381" s="215"/>
      <c r="D381" s="198"/>
      <c r="E381" s="215"/>
      <c r="P381" s="200"/>
      <c r="AH381" s="199"/>
      <c r="AI381" s="199"/>
    </row>
    <row r="382" spans="2:35" x14ac:dyDescent="0.25">
      <c r="B382" s="210"/>
      <c r="C382" s="215"/>
      <c r="D382" s="198"/>
      <c r="E382" s="215"/>
      <c r="P382" s="200"/>
      <c r="AH382" s="199"/>
      <c r="AI382" s="199"/>
    </row>
    <row r="383" spans="2:35" x14ac:dyDescent="0.25">
      <c r="B383" s="210"/>
      <c r="C383" s="215"/>
      <c r="D383" s="198"/>
      <c r="E383" s="215"/>
      <c r="P383" s="200"/>
      <c r="AH383" s="199"/>
      <c r="AI383" s="199"/>
    </row>
    <row r="384" spans="2:35" x14ac:dyDescent="0.25">
      <c r="B384" s="210"/>
      <c r="C384" s="215"/>
      <c r="D384" s="198"/>
      <c r="E384" s="215"/>
      <c r="P384" s="200"/>
      <c r="AH384" s="199"/>
      <c r="AI384" s="199"/>
    </row>
    <row r="385" spans="2:35" x14ac:dyDescent="0.25">
      <c r="B385" s="210"/>
      <c r="C385" s="215"/>
      <c r="D385" s="198"/>
      <c r="E385" s="215"/>
      <c r="P385" s="200"/>
      <c r="AH385" s="199"/>
      <c r="AI385" s="199"/>
    </row>
    <row r="386" spans="2:35" x14ac:dyDescent="0.25">
      <c r="B386" s="210"/>
      <c r="C386" s="215"/>
      <c r="D386" s="198"/>
      <c r="E386" s="215"/>
      <c r="P386" s="200"/>
      <c r="AH386" s="199"/>
      <c r="AI386" s="199"/>
    </row>
    <row r="387" spans="2:35" x14ac:dyDescent="0.25">
      <c r="B387" s="210"/>
      <c r="C387" s="215"/>
      <c r="D387" s="198"/>
      <c r="E387" s="215"/>
      <c r="P387" s="200"/>
      <c r="AH387" s="199"/>
      <c r="AI387" s="199"/>
    </row>
    <row r="388" spans="2:35" x14ac:dyDescent="0.25">
      <c r="B388" s="210"/>
      <c r="C388" s="215"/>
      <c r="D388" s="198"/>
      <c r="E388" s="215"/>
      <c r="P388" s="200"/>
      <c r="AH388" s="199"/>
      <c r="AI388" s="199"/>
    </row>
    <row r="389" spans="2:35" x14ac:dyDescent="0.25">
      <c r="B389" s="210"/>
      <c r="C389" s="215"/>
      <c r="D389" s="198"/>
      <c r="E389" s="215"/>
      <c r="P389" s="200"/>
      <c r="AH389" s="199"/>
      <c r="AI389" s="199"/>
    </row>
    <row r="390" spans="2:35" x14ac:dyDescent="0.25">
      <c r="B390" s="210"/>
      <c r="C390" s="215"/>
      <c r="D390" s="198"/>
      <c r="E390" s="215"/>
      <c r="P390" s="200"/>
      <c r="AH390" s="199"/>
      <c r="AI390" s="199"/>
    </row>
    <row r="391" spans="2:35" x14ac:dyDescent="0.25">
      <c r="B391" s="210"/>
      <c r="C391" s="215"/>
      <c r="D391" s="198"/>
      <c r="E391" s="215"/>
      <c r="P391" s="200"/>
      <c r="AH391" s="199"/>
      <c r="AI391" s="199"/>
    </row>
    <row r="392" spans="2:35" x14ac:dyDescent="0.25">
      <c r="B392" s="210"/>
      <c r="C392" s="215"/>
      <c r="D392" s="198"/>
      <c r="E392" s="215"/>
      <c r="P392" s="200"/>
      <c r="AH392" s="199"/>
      <c r="AI392" s="199"/>
    </row>
    <row r="393" spans="2:35" x14ac:dyDescent="0.25">
      <c r="B393" s="210"/>
      <c r="C393" s="215"/>
      <c r="D393" s="198"/>
      <c r="E393" s="215"/>
      <c r="P393" s="200"/>
      <c r="AH393" s="199"/>
      <c r="AI393" s="199"/>
    </row>
    <row r="394" spans="2:35" x14ac:dyDescent="0.25">
      <c r="B394" s="210"/>
      <c r="C394" s="215"/>
      <c r="D394" s="198"/>
      <c r="E394" s="215"/>
      <c r="P394" s="200"/>
      <c r="AH394" s="199"/>
      <c r="AI394" s="199"/>
    </row>
    <row r="395" spans="2:35" x14ac:dyDescent="0.25">
      <c r="B395" s="210"/>
      <c r="C395" s="215"/>
      <c r="D395" s="198"/>
      <c r="E395" s="215"/>
      <c r="P395" s="200"/>
      <c r="AH395" s="199"/>
      <c r="AI395" s="199"/>
    </row>
    <row r="396" spans="2:35" x14ac:dyDescent="0.25">
      <c r="B396" s="210"/>
      <c r="C396" s="215"/>
      <c r="D396" s="198"/>
      <c r="E396" s="215"/>
      <c r="P396" s="200"/>
      <c r="AH396" s="199"/>
      <c r="AI396" s="199"/>
    </row>
    <row r="397" spans="2:35" x14ac:dyDescent="0.25">
      <c r="B397" s="210"/>
      <c r="C397" s="215"/>
      <c r="D397" s="198"/>
      <c r="E397" s="215"/>
      <c r="P397" s="200"/>
      <c r="AH397" s="199"/>
      <c r="AI397" s="199"/>
    </row>
    <row r="398" spans="2:35" x14ac:dyDescent="0.25">
      <c r="B398" s="210"/>
      <c r="C398" s="215"/>
      <c r="D398" s="198"/>
      <c r="E398" s="215"/>
      <c r="P398" s="200"/>
      <c r="AH398" s="199"/>
      <c r="AI398" s="199"/>
    </row>
    <row r="399" spans="2:35" x14ac:dyDescent="0.25">
      <c r="B399" s="210"/>
      <c r="C399" s="215"/>
      <c r="D399" s="198"/>
      <c r="E399" s="215"/>
      <c r="P399" s="200"/>
      <c r="AH399" s="199"/>
      <c r="AI399" s="199"/>
    </row>
    <row r="400" spans="2:35" x14ac:dyDescent="0.25">
      <c r="B400" s="210"/>
      <c r="C400" s="215"/>
      <c r="D400" s="198"/>
      <c r="E400" s="215"/>
      <c r="P400" s="200"/>
      <c r="AH400" s="199"/>
      <c r="AI400" s="199"/>
    </row>
    <row r="401" spans="2:35" x14ac:dyDescent="0.25">
      <c r="B401" s="210"/>
      <c r="C401" s="215"/>
      <c r="D401" s="198"/>
      <c r="E401" s="215"/>
      <c r="P401" s="200"/>
      <c r="AH401" s="199"/>
      <c r="AI401" s="199"/>
    </row>
    <row r="402" spans="2:35" x14ac:dyDescent="0.25">
      <c r="B402" s="210"/>
      <c r="C402" s="215"/>
      <c r="D402" s="198"/>
      <c r="E402" s="215"/>
      <c r="P402" s="200"/>
      <c r="AH402" s="199"/>
      <c r="AI402" s="199"/>
    </row>
    <row r="403" spans="2:35" x14ac:dyDescent="0.25">
      <c r="B403" s="210"/>
      <c r="C403" s="215"/>
      <c r="D403" s="198"/>
      <c r="E403" s="215"/>
      <c r="P403" s="200"/>
      <c r="AH403" s="199"/>
      <c r="AI403" s="199"/>
    </row>
    <row r="404" spans="2:35" x14ac:dyDescent="0.25">
      <c r="B404" s="210"/>
      <c r="C404" s="215"/>
      <c r="D404" s="198"/>
      <c r="E404" s="215"/>
      <c r="P404" s="200"/>
      <c r="AH404" s="199"/>
      <c r="AI404" s="199"/>
    </row>
    <row r="405" spans="2:35" x14ac:dyDescent="0.25">
      <c r="B405" s="210"/>
      <c r="C405" s="215"/>
      <c r="D405" s="198"/>
      <c r="E405" s="215"/>
      <c r="P405" s="200"/>
      <c r="AH405" s="199"/>
      <c r="AI405" s="199"/>
    </row>
    <row r="406" spans="2:35" x14ac:dyDescent="0.25">
      <c r="B406" s="210"/>
      <c r="C406" s="215"/>
      <c r="D406" s="198"/>
      <c r="E406" s="215"/>
      <c r="P406" s="200"/>
      <c r="AH406" s="199"/>
      <c r="AI406" s="199"/>
    </row>
    <row r="407" spans="2:35" x14ac:dyDescent="0.25">
      <c r="B407" s="210"/>
      <c r="C407" s="215"/>
      <c r="D407" s="198"/>
      <c r="E407" s="215"/>
      <c r="P407" s="200"/>
      <c r="AH407" s="199"/>
      <c r="AI407" s="199"/>
    </row>
    <row r="408" spans="2:35" x14ac:dyDescent="0.25">
      <c r="B408" s="210"/>
      <c r="C408" s="215"/>
      <c r="D408" s="198"/>
      <c r="E408" s="215"/>
      <c r="P408" s="200"/>
      <c r="AH408" s="199"/>
      <c r="AI408" s="199"/>
    </row>
    <row r="409" spans="2:35" x14ac:dyDescent="0.25">
      <c r="B409" s="210"/>
      <c r="C409" s="215"/>
      <c r="D409" s="198"/>
      <c r="E409" s="215"/>
      <c r="P409" s="200"/>
      <c r="AH409" s="199"/>
      <c r="AI409" s="199"/>
    </row>
    <row r="410" spans="2:35" x14ac:dyDescent="0.25">
      <c r="B410" s="210"/>
      <c r="C410" s="215"/>
      <c r="D410" s="198"/>
      <c r="E410" s="215"/>
      <c r="P410" s="200"/>
      <c r="AH410" s="199"/>
      <c r="AI410" s="199"/>
    </row>
    <row r="411" spans="2:35" x14ac:dyDescent="0.25">
      <c r="B411" s="210"/>
      <c r="C411" s="215"/>
      <c r="D411" s="198"/>
      <c r="E411" s="215"/>
      <c r="P411" s="200"/>
      <c r="AH411" s="199"/>
      <c r="AI411" s="199"/>
    </row>
    <row r="412" spans="2:35" x14ac:dyDescent="0.25">
      <c r="B412" s="210"/>
      <c r="C412" s="215"/>
      <c r="D412" s="198"/>
      <c r="E412" s="215"/>
      <c r="P412" s="200"/>
      <c r="AH412" s="199"/>
      <c r="AI412" s="199"/>
    </row>
    <row r="413" spans="2:35" x14ac:dyDescent="0.25">
      <c r="B413" s="210"/>
      <c r="C413" s="215"/>
      <c r="D413" s="198"/>
      <c r="E413" s="215"/>
      <c r="P413" s="200"/>
      <c r="AH413" s="199"/>
      <c r="AI413" s="199"/>
    </row>
    <row r="414" spans="2:35" x14ac:dyDescent="0.25">
      <c r="B414" s="210"/>
      <c r="C414" s="215"/>
      <c r="D414" s="198"/>
      <c r="E414" s="215"/>
      <c r="P414" s="200"/>
      <c r="AH414" s="199"/>
      <c r="AI414" s="199"/>
    </row>
    <row r="415" spans="2:35" x14ac:dyDescent="0.25">
      <c r="B415" s="210"/>
      <c r="C415" s="215"/>
      <c r="D415" s="198"/>
      <c r="E415" s="215"/>
      <c r="P415" s="200"/>
      <c r="AH415" s="199"/>
      <c r="AI415" s="199"/>
    </row>
    <row r="416" spans="2:35" x14ac:dyDescent="0.25">
      <c r="B416" s="210"/>
      <c r="C416" s="215"/>
      <c r="D416" s="198"/>
      <c r="E416" s="215"/>
      <c r="P416" s="200"/>
      <c r="AH416" s="199"/>
      <c r="AI416" s="199"/>
    </row>
    <row r="417" spans="2:35" x14ac:dyDescent="0.25">
      <c r="B417" s="210"/>
      <c r="C417" s="215"/>
      <c r="D417" s="198"/>
      <c r="E417" s="215"/>
      <c r="P417" s="200"/>
      <c r="AH417" s="199"/>
      <c r="AI417" s="199"/>
    </row>
    <row r="418" spans="2:35" x14ac:dyDescent="0.25">
      <c r="B418" s="210"/>
      <c r="C418" s="215"/>
      <c r="D418" s="198"/>
      <c r="E418" s="215"/>
      <c r="P418" s="200"/>
      <c r="AH418" s="199"/>
      <c r="AI418" s="199"/>
    </row>
    <row r="419" spans="2:35" x14ac:dyDescent="0.25">
      <c r="B419" s="210"/>
      <c r="C419" s="215"/>
      <c r="D419" s="198"/>
      <c r="E419" s="215"/>
      <c r="P419" s="200"/>
      <c r="AH419" s="199"/>
      <c r="AI419" s="199"/>
    </row>
    <row r="420" spans="2:35" x14ac:dyDescent="0.25">
      <c r="B420" s="210"/>
      <c r="C420" s="215"/>
      <c r="D420" s="198"/>
      <c r="E420" s="215"/>
      <c r="P420" s="200"/>
      <c r="AH420" s="199"/>
      <c r="AI420" s="199"/>
    </row>
    <row r="421" spans="2:35" x14ac:dyDescent="0.25">
      <c r="B421" s="210"/>
      <c r="C421" s="215"/>
      <c r="D421" s="198"/>
      <c r="E421" s="215"/>
      <c r="P421" s="200"/>
      <c r="AH421" s="199"/>
      <c r="AI421" s="199"/>
    </row>
    <row r="422" spans="2:35" x14ac:dyDescent="0.25">
      <c r="B422" s="210"/>
      <c r="C422" s="215"/>
      <c r="D422" s="198"/>
      <c r="E422" s="215"/>
      <c r="P422" s="200"/>
      <c r="AH422" s="199"/>
      <c r="AI422" s="199"/>
    </row>
    <row r="423" spans="2:35" x14ac:dyDescent="0.25">
      <c r="B423" s="210"/>
      <c r="C423" s="215"/>
      <c r="D423" s="198"/>
      <c r="E423" s="215"/>
      <c r="P423" s="200"/>
      <c r="AH423" s="199"/>
      <c r="AI423" s="199"/>
    </row>
    <row r="424" spans="2:35" x14ac:dyDescent="0.25">
      <c r="B424" s="210"/>
      <c r="C424" s="215"/>
      <c r="D424" s="198"/>
      <c r="E424" s="215"/>
      <c r="P424" s="200"/>
      <c r="AH424" s="199"/>
      <c r="AI424" s="199"/>
    </row>
    <row r="425" spans="2:35" x14ac:dyDescent="0.25">
      <c r="B425" s="210"/>
      <c r="C425" s="215"/>
      <c r="D425" s="198"/>
      <c r="E425" s="215"/>
      <c r="P425" s="200"/>
      <c r="AH425" s="199"/>
      <c r="AI425" s="199"/>
    </row>
    <row r="426" spans="2:35" x14ac:dyDescent="0.25">
      <c r="B426" s="210"/>
      <c r="C426" s="215"/>
      <c r="D426" s="198"/>
      <c r="E426" s="215"/>
      <c r="P426" s="200"/>
      <c r="AH426" s="199"/>
      <c r="AI426" s="199"/>
    </row>
    <row r="427" spans="2:35" x14ac:dyDescent="0.25">
      <c r="B427" s="210"/>
      <c r="C427" s="215"/>
      <c r="D427" s="198"/>
      <c r="E427" s="215"/>
      <c r="P427" s="200"/>
      <c r="AH427" s="199"/>
      <c r="AI427" s="199"/>
    </row>
    <row r="428" spans="2:35" x14ac:dyDescent="0.25">
      <c r="B428" s="210"/>
      <c r="C428" s="215"/>
      <c r="D428" s="198"/>
      <c r="E428" s="215"/>
      <c r="P428" s="200"/>
      <c r="AH428" s="199"/>
      <c r="AI428" s="199"/>
    </row>
    <row r="429" spans="2:35" x14ac:dyDescent="0.25">
      <c r="B429" s="210"/>
      <c r="C429" s="215"/>
      <c r="D429" s="198"/>
      <c r="E429" s="215"/>
      <c r="P429" s="200"/>
      <c r="AH429" s="199"/>
      <c r="AI429" s="199"/>
    </row>
    <row r="430" spans="2:35" x14ac:dyDescent="0.25">
      <c r="B430" s="210"/>
      <c r="C430" s="215"/>
      <c r="D430" s="198"/>
      <c r="E430" s="215"/>
      <c r="P430" s="200"/>
      <c r="AH430" s="199"/>
      <c r="AI430" s="199"/>
    </row>
    <row r="431" spans="2:35" x14ac:dyDescent="0.25">
      <c r="B431" s="210"/>
      <c r="C431" s="215"/>
      <c r="D431" s="198"/>
      <c r="E431" s="215"/>
      <c r="P431" s="200"/>
      <c r="AH431" s="199"/>
      <c r="AI431" s="199"/>
    </row>
    <row r="432" spans="2:35" x14ac:dyDescent="0.25">
      <c r="B432" s="210"/>
      <c r="C432" s="215"/>
      <c r="D432" s="198"/>
      <c r="E432" s="215"/>
      <c r="P432" s="200"/>
      <c r="AH432" s="199"/>
      <c r="AI432" s="199"/>
    </row>
    <row r="433" spans="2:35" x14ac:dyDescent="0.25">
      <c r="B433" s="210"/>
      <c r="C433" s="215"/>
      <c r="D433" s="198"/>
      <c r="E433" s="215"/>
      <c r="P433" s="200"/>
      <c r="AH433" s="199"/>
      <c r="AI433" s="199"/>
    </row>
    <row r="434" spans="2:35" x14ac:dyDescent="0.25">
      <c r="B434" s="210"/>
      <c r="C434" s="215"/>
      <c r="D434" s="198"/>
      <c r="E434" s="215"/>
      <c r="P434" s="200"/>
      <c r="AH434" s="199"/>
      <c r="AI434" s="199"/>
    </row>
    <row r="435" spans="2:35" x14ac:dyDescent="0.25">
      <c r="B435" s="210"/>
      <c r="C435" s="215"/>
      <c r="D435" s="198"/>
      <c r="E435" s="215"/>
      <c r="P435" s="200"/>
      <c r="AH435" s="199"/>
      <c r="AI435" s="199"/>
    </row>
    <row r="436" spans="2:35" x14ac:dyDescent="0.25">
      <c r="B436" s="210"/>
      <c r="C436" s="215"/>
      <c r="D436" s="198"/>
      <c r="E436" s="215"/>
      <c r="P436" s="200"/>
      <c r="AH436" s="199"/>
      <c r="AI436" s="199"/>
    </row>
    <row r="437" spans="2:35" x14ac:dyDescent="0.25">
      <c r="B437" s="210"/>
      <c r="C437" s="215"/>
      <c r="D437" s="198"/>
      <c r="E437" s="215"/>
      <c r="P437" s="200"/>
      <c r="AH437" s="199"/>
      <c r="AI437" s="199"/>
    </row>
    <row r="438" spans="2:35" x14ac:dyDescent="0.25">
      <c r="B438" s="210"/>
      <c r="C438" s="215"/>
      <c r="D438" s="198"/>
      <c r="E438" s="215"/>
      <c r="P438" s="200"/>
      <c r="AH438" s="199"/>
      <c r="AI438" s="199"/>
    </row>
    <row r="439" spans="2:35" x14ac:dyDescent="0.25">
      <c r="B439" s="210"/>
      <c r="C439" s="215"/>
      <c r="D439" s="198"/>
      <c r="E439" s="215"/>
      <c r="P439" s="200"/>
      <c r="AH439" s="199"/>
      <c r="AI439" s="199"/>
    </row>
    <row r="440" spans="2:35" x14ac:dyDescent="0.25">
      <c r="B440" s="210"/>
      <c r="C440" s="215"/>
      <c r="D440" s="198"/>
      <c r="E440" s="215"/>
      <c r="P440" s="200"/>
      <c r="AH440" s="199"/>
      <c r="AI440" s="199"/>
    </row>
    <row r="441" spans="2:35" x14ac:dyDescent="0.25">
      <c r="B441" s="210"/>
      <c r="C441" s="215"/>
      <c r="D441" s="198"/>
      <c r="E441" s="215"/>
      <c r="P441" s="200"/>
      <c r="AH441" s="199"/>
      <c r="AI441" s="199"/>
    </row>
    <row r="442" spans="2:35" x14ac:dyDescent="0.25">
      <c r="B442" s="210"/>
      <c r="C442" s="215"/>
      <c r="D442" s="198"/>
      <c r="E442" s="215"/>
      <c r="P442" s="200"/>
      <c r="AH442" s="199"/>
      <c r="AI442" s="199"/>
    </row>
    <row r="443" spans="2:35" x14ac:dyDescent="0.25">
      <c r="B443" s="210"/>
      <c r="C443" s="215"/>
      <c r="D443" s="198"/>
      <c r="E443" s="215"/>
      <c r="P443" s="200"/>
      <c r="AH443" s="199"/>
      <c r="AI443" s="199"/>
    </row>
    <row r="444" spans="2:35" x14ac:dyDescent="0.25">
      <c r="B444" s="210"/>
      <c r="C444" s="215"/>
      <c r="D444" s="198"/>
      <c r="E444" s="215"/>
      <c r="P444" s="200"/>
      <c r="AH444" s="199"/>
      <c r="AI444" s="199"/>
    </row>
    <row r="445" spans="2:35" x14ac:dyDescent="0.25">
      <c r="B445" s="210"/>
      <c r="C445" s="215"/>
      <c r="D445" s="198"/>
      <c r="E445" s="215"/>
      <c r="P445" s="200"/>
      <c r="AH445" s="199"/>
      <c r="AI445" s="199"/>
    </row>
    <row r="446" spans="2:35" x14ac:dyDescent="0.25">
      <c r="B446" s="210"/>
      <c r="C446" s="215"/>
      <c r="D446" s="198"/>
      <c r="E446" s="215"/>
      <c r="P446" s="200"/>
      <c r="AH446" s="199"/>
      <c r="AI446" s="199"/>
    </row>
    <row r="447" spans="2:35" x14ac:dyDescent="0.25">
      <c r="B447" s="210"/>
      <c r="C447" s="215"/>
      <c r="D447" s="198"/>
      <c r="E447" s="215"/>
      <c r="P447" s="200"/>
      <c r="AH447" s="199"/>
      <c r="AI447" s="199"/>
    </row>
    <row r="448" spans="2:35" x14ac:dyDescent="0.25">
      <c r="B448" s="210"/>
      <c r="C448" s="215"/>
      <c r="D448" s="198"/>
      <c r="E448" s="215"/>
      <c r="P448" s="200"/>
      <c r="AH448" s="199"/>
      <c r="AI448" s="199"/>
    </row>
    <row r="449" spans="2:35" x14ac:dyDescent="0.25">
      <c r="B449" s="210"/>
      <c r="C449" s="215"/>
      <c r="D449" s="198"/>
      <c r="E449" s="215"/>
      <c r="P449" s="200"/>
      <c r="AH449" s="199"/>
      <c r="AI449" s="199"/>
    </row>
    <row r="450" spans="2:35" x14ac:dyDescent="0.25">
      <c r="B450" s="210"/>
      <c r="C450" s="215"/>
      <c r="D450" s="198"/>
      <c r="E450" s="215"/>
      <c r="P450" s="200"/>
      <c r="AH450" s="199"/>
      <c r="AI450" s="199"/>
    </row>
    <row r="451" spans="2:35" x14ac:dyDescent="0.25">
      <c r="B451" s="210"/>
      <c r="C451" s="215"/>
      <c r="D451" s="198"/>
      <c r="E451" s="215"/>
      <c r="P451" s="200"/>
      <c r="AH451" s="199"/>
      <c r="AI451" s="199"/>
    </row>
    <row r="452" spans="2:35" x14ac:dyDescent="0.25">
      <c r="B452" s="210"/>
      <c r="C452" s="215"/>
      <c r="D452" s="198"/>
      <c r="E452" s="215"/>
      <c r="P452" s="200"/>
      <c r="AH452" s="199"/>
      <c r="AI452" s="199"/>
    </row>
    <row r="453" spans="2:35" x14ac:dyDescent="0.25">
      <c r="B453" s="210"/>
      <c r="C453" s="215"/>
      <c r="D453" s="198"/>
      <c r="E453" s="215"/>
      <c r="P453" s="200"/>
      <c r="AH453" s="199"/>
      <c r="AI453" s="199"/>
    </row>
    <row r="454" spans="2:35" x14ac:dyDescent="0.25">
      <c r="B454" s="210"/>
      <c r="C454" s="215"/>
      <c r="D454" s="198"/>
      <c r="E454" s="215"/>
      <c r="P454" s="200"/>
      <c r="AH454" s="199"/>
      <c r="AI454" s="199"/>
    </row>
    <row r="455" spans="2:35" x14ac:dyDescent="0.25">
      <c r="B455" s="210"/>
      <c r="C455" s="215"/>
      <c r="D455" s="198"/>
      <c r="E455" s="215"/>
      <c r="P455" s="200"/>
      <c r="AH455" s="199"/>
      <c r="AI455" s="199"/>
    </row>
    <row r="456" spans="2:35" x14ac:dyDescent="0.25">
      <c r="B456" s="210"/>
      <c r="C456" s="215"/>
      <c r="D456" s="198"/>
      <c r="E456" s="215"/>
      <c r="P456" s="200"/>
      <c r="AH456" s="199"/>
      <c r="AI456" s="199"/>
    </row>
    <row r="457" spans="2:35" x14ac:dyDescent="0.25">
      <c r="B457" s="210"/>
      <c r="C457" s="215"/>
      <c r="D457" s="198"/>
      <c r="E457" s="215"/>
      <c r="P457" s="200"/>
      <c r="AH457" s="199"/>
      <c r="AI457" s="199"/>
    </row>
    <row r="458" spans="2:35" x14ac:dyDescent="0.25">
      <c r="B458" s="210"/>
      <c r="C458" s="215"/>
      <c r="D458" s="198"/>
      <c r="E458" s="215"/>
      <c r="P458" s="200"/>
      <c r="AH458" s="199"/>
      <c r="AI458" s="199"/>
    </row>
    <row r="459" spans="2:35" x14ac:dyDescent="0.25">
      <c r="B459" s="210"/>
      <c r="C459" s="215"/>
      <c r="D459" s="198"/>
      <c r="E459" s="215"/>
      <c r="P459" s="200"/>
      <c r="AH459" s="199"/>
      <c r="AI459" s="199"/>
    </row>
    <row r="460" spans="2:35" x14ac:dyDescent="0.25">
      <c r="B460" s="210"/>
      <c r="C460" s="215"/>
      <c r="D460" s="198"/>
      <c r="E460" s="215"/>
      <c r="P460" s="200"/>
      <c r="AH460" s="199"/>
      <c r="AI460" s="199"/>
    </row>
    <row r="461" spans="2:35" x14ac:dyDescent="0.25">
      <c r="B461" s="210"/>
      <c r="C461" s="215"/>
      <c r="D461" s="198"/>
      <c r="E461" s="215"/>
      <c r="P461" s="200"/>
      <c r="AH461" s="199"/>
      <c r="AI461" s="199"/>
    </row>
    <row r="462" spans="2:35" x14ac:dyDescent="0.25">
      <c r="B462" s="210"/>
      <c r="C462" s="215"/>
      <c r="D462" s="198"/>
      <c r="E462" s="215"/>
      <c r="P462" s="200"/>
      <c r="AH462" s="199"/>
      <c r="AI462" s="199"/>
    </row>
    <row r="463" spans="2:35" x14ac:dyDescent="0.25">
      <c r="B463" s="210"/>
      <c r="C463" s="215"/>
      <c r="D463" s="198"/>
      <c r="E463" s="215"/>
      <c r="P463" s="200"/>
      <c r="AH463" s="199"/>
      <c r="AI463" s="199"/>
    </row>
    <row r="464" spans="2:35" x14ac:dyDescent="0.25">
      <c r="B464" s="210"/>
      <c r="C464" s="215"/>
      <c r="D464" s="198"/>
      <c r="E464" s="215"/>
      <c r="P464" s="200"/>
      <c r="AH464" s="199"/>
      <c r="AI464" s="199"/>
    </row>
    <row r="465" spans="2:35" x14ac:dyDescent="0.25">
      <c r="B465" s="210"/>
      <c r="C465" s="215"/>
      <c r="D465" s="198"/>
      <c r="E465" s="215"/>
      <c r="P465" s="200"/>
      <c r="AH465" s="199"/>
      <c r="AI465" s="199"/>
    </row>
    <row r="466" spans="2:35" x14ac:dyDescent="0.25">
      <c r="B466" s="210"/>
      <c r="C466" s="215"/>
      <c r="D466" s="198"/>
      <c r="E466" s="215"/>
      <c r="P466" s="200"/>
      <c r="AH466" s="199"/>
      <c r="AI466" s="199"/>
    </row>
    <row r="467" spans="2:35" x14ac:dyDescent="0.25">
      <c r="B467" s="210"/>
      <c r="C467" s="215"/>
      <c r="D467" s="198"/>
      <c r="E467" s="215"/>
      <c r="P467" s="200"/>
      <c r="AH467" s="199"/>
      <c r="AI467" s="199"/>
    </row>
    <row r="468" spans="2:35" x14ac:dyDescent="0.25">
      <c r="B468" s="210"/>
      <c r="C468" s="215"/>
      <c r="D468" s="198"/>
      <c r="E468" s="215"/>
      <c r="P468" s="200"/>
      <c r="AH468" s="199"/>
      <c r="AI468" s="199"/>
    </row>
    <row r="469" spans="2:35" x14ac:dyDescent="0.25">
      <c r="B469" s="210"/>
      <c r="C469" s="215"/>
      <c r="D469" s="198"/>
      <c r="E469" s="215"/>
      <c r="P469" s="200"/>
      <c r="AH469" s="199"/>
      <c r="AI469" s="199"/>
    </row>
    <row r="470" spans="2:35" x14ac:dyDescent="0.25">
      <c r="B470" s="210"/>
      <c r="C470" s="215"/>
      <c r="D470" s="198"/>
      <c r="E470" s="215"/>
      <c r="P470" s="200"/>
      <c r="AH470" s="199"/>
      <c r="AI470" s="199"/>
    </row>
    <row r="471" spans="2:35" x14ac:dyDescent="0.25">
      <c r="B471" s="210"/>
      <c r="C471" s="215"/>
      <c r="D471" s="198"/>
      <c r="E471" s="215"/>
      <c r="P471" s="200"/>
      <c r="AH471" s="199"/>
      <c r="AI471" s="199"/>
    </row>
    <row r="472" spans="2:35" x14ac:dyDescent="0.25">
      <c r="B472" s="210"/>
      <c r="C472" s="215"/>
      <c r="D472" s="198"/>
      <c r="E472" s="215"/>
      <c r="P472" s="200"/>
      <c r="AH472" s="199"/>
      <c r="AI472" s="199"/>
    </row>
    <row r="473" spans="2:35" x14ac:dyDescent="0.25">
      <c r="B473" s="210"/>
      <c r="C473" s="215"/>
      <c r="D473" s="198"/>
      <c r="E473" s="215"/>
      <c r="P473" s="200"/>
      <c r="AH473" s="199"/>
      <c r="AI473" s="199"/>
    </row>
    <row r="474" spans="2:35" x14ac:dyDescent="0.25">
      <c r="B474" s="210"/>
      <c r="C474" s="215"/>
      <c r="D474" s="198"/>
      <c r="E474" s="215"/>
      <c r="P474" s="200"/>
      <c r="AH474" s="199"/>
      <c r="AI474" s="199"/>
    </row>
    <row r="475" spans="2:35" x14ac:dyDescent="0.25">
      <c r="B475" s="210"/>
      <c r="C475" s="215"/>
      <c r="D475" s="198"/>
      <c r="E475" s="215"/>
      <c r="P475" s="200"/>
      <c r="AH475" s="199"/>
      <c r="AI475" s="199"/>
    </row>
    <row r="476" spans="2:35" x14ac:dyDescent="0.25">
      <c r="B476" s="210"/>
      <c r="C476" s="215"/>
      <c r="D476" s="198"/>
      <c r="E476" s="215"/>
      <c r="P476" s="200"/>
      <c r="AH476" s="199"/>
      <c r="AI476" s="199"/>
    </row>
    <row r="477" spans="2:35" x14ac:dyDescent="0.25">
      <c r="B477" s="210"/>
      <c r="C477" s="215"/>
      <c r="D477" s="198"/>
      <c r="E477" s="215"/>
      <c r="P477" s="200"/>
      <c r="AH477" s="199"/>
      <c r="AI477" s="199"/>
    </row>
    <row r="478" spans="2:35" x14ac:dyDescent="0.25">
      <c r="B478" s="210"/>
      <c r="C478" s="215"/>
      <c r="D478" s="198"/>
      <c r="E478" s="215"/>
      <c r="P478" s="200"/>
      <c r="AH478" s="199"/>
      <c r="AI478" s="199"/>
    </row>
    <row r="479" spans="2:35" x14ac:dyDescent="0.25">
      <c r="B479" s="210"/>
      <c r="C479" s="215"/>
      <c r="D479" s="198"/>
      <c r="E479" s="215"/>
      <c r="P479" s="200"/>
      <c r="AH479" s="199"/>
      <c r="AI479" s="199"/>
    </row>
    <row r="480" spans="2:35" x14ac:dyDescent="0.25">
      <c r="B480" s="210"/>
      <c r="C480" s="215"/>
      <c r="D480" s="198"/>
      <c r="E480" s="215"/>
      <c r="P480" s="200"/>
      <c r="AH480" s="199"/>
      <c r="AI480" s="199"/>
    </row>
    <row r="481" spans="2:35" x14ac:dyDescent="0.25">
      <c r="B481" s="210"/>
      <c r="C481" s="215"/>
      <c r="D481" s="198"/>
      <c r="E481" s="215"/>
      <c r="P481" s="200"/>
      <c r="AH481" s="199"/>
      <c r="AI481" s="199"/>
    </row>
    <row r="482" spans="2:35" x14ac:dyDescent="0.25">
      <c r="B482" s="210"/>
      <c r="C482" s="215"/>
      <c r="D482" s="198"/>
      <c r="E482" s="215"/>
      <c r="P482" s="200"/>
      <c r="AH482" s="199"/>
      <c r="AI482" s="199"/>
    </row>
    <row r="483" spans="2:35" x14ac:dyDescent="0.25">
      <c r="B483" s="210"/>
      <c r="C483" s="215"/>
      <c r="D483" s="198"/>
      <c r="E483" s="215"/>
      <c r="P483" s="200"/>
      <c r="AH483" s="199"/>
      <c r="AI483" s="199"/>
    </row>
    <row r="484" spans="2:35" x14ac:dyDescent="0.25">
      <c r="B484" s="210"/>
      <c r="C484" s="215"/>
      <c r="D484" s="198"/>
      <c r="E484" s="215"/>
      <c r="P484" s="200"/>
      <c r="AH484" s="199"/>
      <c r="AI484" s="199"/>
    </row>
    <row r="485" spans="2:35" x14ac:dyDescent="0.25">
      <c r="B485" s="210"/>
      <c r="C485" s="215"/>
      <c r="D485" s="198"/>
      <c r="E485" s="215"/>
      <c r="P485" s="200"/>
      <c r="AH485" s="199"/>
      <c r="AI485" s="199"/>
    </row>
    <row r="486" spans="2:35" x14ac:dyDescent="0.25">
      <c r="B486" s="210"/>
      <c r="C486" s="215"/>
      <c r="D486" s="198"/>
      <c r="E486" s="215"/>
      <c r="P486" s="200"/>
      <c r="AH486" s="199"/>
      <c r="AI486" s="199"/>
    </row>
    <row r="487" spans="2:35" x14ac:dyDescent="0.25">
      <c r="B487" s="210"/>
      <c r="C487" s="215"/>
      <c r="D487" s="198"/>
      <c r="E487" s="215"/>
      <c r="P487" s="200"/>
      <c r="AH487" s="199"/>
      <c r="AI487" s="199"/>
    </row>
    <row r="488" spans="2:35" x14ac:dyDescent="0.25">
      <c r="B488" s="210"/>
      <c r="C488" s="215"/>
      <c r="D488" s="198"/>
      <c r="E488" s="215"/>
      <c r="P488" s="200"/>
      <c r="AH488" s="199"/>
      <c r="AI488" s="199"/>
    </row>
    <row r="489" spans="2:35" x14ac:dyDescent="0.25">
      <c r="B489" s="210"/>
      <c r="C489" s="215"/>
      <c r="D489" s="198"/>
      <c r="E489" s="215"/>
      <c r="P489" s="200"/>
      <c r="AH489" s="199"/>
      <c r="AI489" s="199"/>
    </row>
    <row r="490" spans="2:35" x14ac:dyDescent="0.25">
      <c r="B490" s="210"/>
      <c r="C490" s="215"/>
      <c r="D490" s="198"/>
      <c r="E490" s="215"/>
      <c r="P490" s="200"/>
      <c r="AH490" s="199"/>
      <c r="AI490" s="199"/>
    </row>
    <row r="491" spans="2:35" x14ac:dyDescent="0.25">
      <c r="B491" s="210"/>
      <c r="C491" s="215"/>
      <c r="D491" s="198"/>
      <c r="E491" s="215"/>
      <c r="P491" s="200"/>
      <c r="AH491" s="199"/>
      <c r="AI491" s="199"/>
    </row>
    <row r="492" spans="2:35" x14ac:dyDescent="0.25">
      <c r="B492" s="210"/>
      <c r="C492" s="215"/>
      <c r="D492" s="198"/>
      <c r="E492" s="215"/>
      <c r="P492" s="200"/>
      <c r="AH492" s="199"/>
      <c r="AI492" s="199"/>
    </row>
    <row r="493" spans="2:35" x14ac:dyDescent="0.25">
      <c r="B493" s="210"/>
      <c r="C493" s="215"/>
      <c r="D493" s="198"/>
      <c r="E493" s="215"/>
      <c r="P493" s="200"/>
      <c r="AH493" s="199"/>
      <c r="AI493" s="199"/>
    </row>
    <row r="494" spans="2:35" x14ac:dyDescent="0.25">
      <c r="B494" s="210"/>
      <c r="C494" s="215"/>
      <c r="D494" s="198"/>
      <c r="E494" s="215"/>
      <c r="P494" s="200"/>
      <c r="AH494" s="199"/>
      <c r="AI494" s="199"/>
    </row>
    <row r="495" spans="2:35" x14ac:dyDescent="0.25">
      <c r="B495" s="210"/>
      <c r="C495" s="215"/>
      <c r="D495" s="198"/>
      <c r="E495" s="215"/>
      <c r="P495" s="200"/>
      <c r="AH495" s="199"/>
      <c r="AI495" s="199"/>
    </row>
    <row r="496" spans="2:35" x14ac:dyDescent="0.25">
      <c r="B496" s="210"/>
      <c r="C496" s="215"/>
      <c r="D496" s="198"/>
      <c r="E496" s="215"/>
      <c r="P496" s="200"/>
      <c r="AH496" s="199"/>
      <c r="AI496" s="199"/>
    </row>
    <row r="497" spans="2:35" x14ac:dyDescent="0.25">
      <c r="B497" s="210"/>
      <c r="C497" s="215"/>
      <c r="D497" s="198"/>
      <c r="E497" s="215"/>
      <c r="P497" s="200"/>
      <c r="AH497" s="199"/>
      <c r="AI497" s="199"/>
    </row>
    <row r="498" spans="2:35" x14ac:dyDescent="0.25">
      <c r="B498" s="210"/>
      <c r="C498" s="215"/>
      <c r="D498" s="198"/>
      <c r="E498" s="215"/>
      <c r="P498" s="200"/>
      <c r="AH498" s="199"/>
      <c r="AI498" s="199"/>
    </row>
    <row r="499" spans="2:35" x14ac:dyDescent="0.25">
      <c r="B499" s="210"/>
      <c r="C499" s="215"/>
      <c r="D499" s="198"/>
      <c r="E499" s="215"/>
      <c r="P499" s="200"/>
      <c r="AH499" s="199"/>
      <c r="AI499" s="199"/>
    </row>
    <row r="500" spans="2:35" x14ac:dyDescent="0.25">
      <c r="B500" s="210"/>
      <c r="C500" s="215"/>
      <c r="D500" s="198"/>
      <c r="E500" s="215"/>
      <c r="P500" s="200"/>
      <c r="AH500" s="199"/>
      <c r="AI500" s="199"/>
    </row>
    <row r="501" spans="2:35" x14ac:dyDescent="0.25">
      <c r="B501" s="210"/>
      <c r="C501" s="215"/>
      <c r="D501" s="198"/>
      <c r="E501" s="215"/>
      <c r="P501" s="200"/>
      <c r="AH501" s="199"/>
      <c r="AI501" s="199"/>
    </row>
    <row r="502" spans="2:35" x14ac:dyDescent="0.25">
      <c r="B502" s="210"/>
      <c r="C502" s="215"/>
      <c r="D502" s="198"/>
      <c r="E502" s="215"/>
      <c r="P502" s="200"/>
      <c r="AH502" s="199"/>
      <c r="AI502" s="199"/>
    </row>
    <row r="503" spans="2:35" x14ac:dyDescent="0.25">
      <c r="B503" s="210"/>
      <c r="C503" s="215"/>
      <c r="D503" s="198"/>
      <c r="E503" s="215"/>
      <c r="P503" s="200"/>
      <c r="AH503" s="199"/>
      <c r="AI503" s="199"/>
    </row>
    <row r="504" spans="2:35" x14ac:dyDescent="0.25">
      <c r="B504" s="210"/>
      <c r="C504" s="215"/>
      <c r="D504" s="198"/>
      <c r="E504" s="215"/>
      <c r="P504" s="200"/>
      <c r="AH504" s="199"/>
      <c r="AI504" s="199"/>
    </row>
    <row r="505" spans="2:35" x14ac:dyDescent="0.25">
      <c r="B505" s="210"/>
      <c r="C505" s="215"/>
      <c r="D505" s="198"/>
      <c r="E505" s="215"/>
      <c r="P505" s="200"/>
      <c r="AH505" s="199"/>
      <c r="AI505" s="199"/>
    </row>
    <row r="506" spans="2:35" x14ac:dyDescent="0.25">
      <c r="B506" s="210"/>
      <c r="C506" s="215"/>
      <c r="D506" s="198"/>
      <c r="E506" s="215"/>
      <c r="P506" s="200"/>
      <c r="AH506" s="199"/>
      <c r="AI506" s="199"/>
    </row>
    <row r="507" spans="2:35" x14ac:dyDescent="0.25">
      <c r="B507" s="210"/>
      <c r="C507" s="215"/>
      <c r="D507" s="198"/>
      <c r="E507" s="215"/>
      <c r="P507" s="200"/>
      <c r="AH507" s="199"/>
      <c r="AI507" s="199"/>
    </row>
    <row r="508" spans="2:35" x14ac:dyDescent="0.25">
      <c r="B508" s="210"/>
      <c r="C508" s="215"/>
      <c r="D508" s="198"/>
      <c r="E508" s="215"/>
      <c r="P508" s="200"/>
      <c r="AH508" s="199"/>
      <c r="AI508" s="199"/>
    </row>
    <row r="509" spans="2:35" x14ac:dyDescent="0.25">
      <c r="B509" s="210"/>
      <c r="C509" s="215"/>
      <c r="D509" s="198"/>
      <c r="E509" s="215"/>
      <c r="P509" s="200"/>
      <c r="AH509" s="199"/>
      <c r="AI509" s="199"/>
    </row>
    <row r="510" spans="2:35" x14ac:dyDescent="0.25">
      <c r="B510" s="210"/>
      <c r="C510" s="215"/>
      <c r="D510" s="198"/>
      <c r="E510" s="215"/>
      <c r="P510" s="200"/>
      <c r="AH510" s="199"/>
      <c r="AI510" s="199"/>
    </row>
    <row r="511" spans="2:35" x14ac:dyDescent="0.25">
      <c r="B511" s="210"/>
      <c r="C511" s="215"/>
      <c r="D511" s="198"/>
      <c r="E511" s="215"/>
      <c r="P511" s="200"/>
      <c r="AH511" s="199"/>
      <c r="AI511" s="199"/>
    </row>
    <row r="512" spans="2:35" x14ac:dyDescent="0.25">
      <c r="B512" s="210"/>
      <c r="C512" s="215"/>
      <c r="D512" s="198"/>
      <c r="E512" s="215"/>
      <c r="P512" s="200"/>
      <c r="AH512" s="199"/>
      <c r="AI512" s="199"/>
    </row>
    <row r="513" spans="2:35" x14ac:dyDescent="0.25">
      <c r="B513" s="210"/>
      <c r="C513" s="215"/>
      <c r="D513" s="198"/>
      <c r="E513" s="215"/>
      <c r="P513" s="200"/>
      <c r="AH513" s="199"/>
      <c r="AI513" s="199"/>
    </row>
    <row r="514" spans="2:35" x14ac:dyDescent="0.25">
      <c r="B514" s="210"/>
      <c r="C514" s="215"/>
      <c r="D514" s="198"/>
      <c r="E514" s="215"/>
      <c r="P514" s="200"/>
      <c r="AH514" s="199"/>
      <c r="AI514" s="199"/>
    </row>
    <row r="515" spans="2:35" x14ac:dyDescent="0.25">
      <c r="B515" s="210"/>
      <c r="C515" s="215"/>
      <c r="D515" s="198"/>
      <c r="E515" s="215"/>
      <c r="P515" s="200"/>
      <c r="AH515" s="199"/>
      <c r="AI515" s="199"/>
    </row>
    <row r="516" spans="2:35" x14ac:dyDescent="0.25">
      <c r="B516" s="210"/>
      <c r="C516" s="215"/>
      <c r="D516" s="198"/>
      <c r="E516" s="215"/>
      <c r="P516" s="200"/>
      <c r="AH516" s="199"/>
      <c r="AI516" s="199"/>
    </row>
    <row r="517" spans="2:35" x14ac:dyDescent="0.25">
      <c r="B517" s="210"/>
      <c r="C517" s="215"/>
      <c r="D517" s="198"/>
      <c r="E517" s="215"/>
      <c r="P517" s="200"/>
      <c r="AH517" s="199"/>
      <c r="AI517" s="199"/>
    </row>
    <row r="518" spans="2:35" x14ac:dyDescent="0.25">
      <c r="B518" s="210"/>
      <c r="C518" s="215"/>
      <c r="D518" s="198"/>
      <c r="E518" s="215"/>
      <c r="P518" s="200"/>
      <c r="AH518" s="199"/>
      <c r="AI518" s="199"/>
    </row>
    <row r="519" spans="2:35" x14ac:dyDescent="0.25">
      <c r="B519" s="210"/>
      <c r="C519" s="215"/>
      <c r="D519" s="198"/>
      <c r="E519" s="215"/>
      <c r="P519" s="200"/>
      <c r="AH519" s="199"/>
      <c r="AI519" s="199"/>
    </row>
    <row r="520" spans="2:35" x14ac:dyDescent="0.25">
      <c r="B520" s="210"/>
      <c r="C520" s="215"/>
      <c r="D520" s="198"/>
      <c r="E520" s="215"/>
      <c r="P520" s="200"/>
      <c r="AH520" s="199"/>
      <c r="AI520" s="199"/>
    </row>
    <row r="521" spans="2:35" x14ac:dyDescent="0.25">
      <c r="B521" s="210"/>
      <c r="C521" s="215"/>
      <c r="D521" s="198"/>
      <c r="E521" s="215"/>
      <c r="P521" s="200"/>
      <c r="AH521" s="199"/>
      <c r="AI521" s="199"/>
    </row>
    <row r="522" spans="2:35" x14ac:dyDescent="0.25">
      <c r="B522" s="210"/>
      <c r="C522" s="215"/>
      <c r="D522" s="198"/>
      <c r="E522" s="215"/>
      <c r="P522" s="200"/>
      <c r="AH522" s="199"/>
      <c r="AI522" s="199"/>
    </row>
    <row r="523" spans="2:35" x14ac:dyDescent="0.25">
      <c r="B523" s="210"/>
      <c r="C523" s="215"/>
      <c r="D523" s="198"/>
      <c r="E523" s="215"/>
      <c r="P523" s="200"/>
      <c r="AH523" s="199"/>
      <c r="AI523" s="199"/>
    </row>
    <row r="524" spans="2:35" x14ac:dyDescent="0.25">
      <c r="B524" s="210"/>
      <c r="C524" s="215"/>
      <c r="D524" s="198"/>
      <c r="E524" s="215"/>
      <c r="P524" s="200"/>
      <c r="AH524" s="199"/>
      <c r="AI524" s="199"/>
    </row>
    <row r="525" spans="2:35" x14ac:dyDescent="0.25">
      <c r="B525" s="210"/>
      <c r="C525" s="215"/>
      <c r="D525" s="198"/>
      <c r="E525" s="215"/>
      <c r="P525" s="200"/>
      <c r="AH525" s="199"/>
      <c r="AI525" s="199"/>
    </row>
    <row r="526" spans="2:35" x14ac:dyDescent="0.25">
      <c r="B526" s="210"/>
      <c r="C526" s="215"/>
      <c r="D526" s="198"/>
      <c r="E526" s="215"/>
      <c r="P526" s="200"/>
      <c r="AH526" s="199"/>
      <c r="AI526" s="199"/>
    </row>
    <row r="527" spans="2:35" x14ac:dyDescent="0.25">
      <c r="B527" s="210"/>
      <c r="C527" s="215"/>
      <c r="D527" s="198"/>
      <c r="E527" s="215"/>
      <c r="P527" s="200"/>
      <c r="AH527" s="199"/>
      <c r="AI527" s="199"/>
    </row>
    <row r="528" spans="2:35" x14ac:dyDescent="0.25">
      <c r="B528" s="210"/>
      <c r="C528" s="215"/>
      <c r="D528" s="198"/>
      <c r="E528" s="215"/>
      <c r="P528" s="200"/>
      <c r="AH528" s="199"/>
      <c r="AI528" s="199"/>
    </row>
    <row r="529" spans="2:35" x14ac:dyDescent="0.25">
      <c r="B529" s="210"/>
      <c r="C529" s="215"/>
      <c r="D529" s="198"/>
      <c r="E529" s="215"/>
      <c r="P529" s="200"/>
      <c r="AH529" s="199"/>
      <c r="AI529" s="199"/>
    </row>
    <row r="530" spans="2:35" x14ac:dyDescent="0.25">
      <c r="B530" s="210"/>
      <c r="C530" s="215"/>
      <c r="D530" s="198"/>
      <c r="E530" s="215"/>
      <c r="P530" s="200"/>
      <c r="AH530" s="199"/>
      <c r="AI530" s="199"/>
    </row>
    <row r="531" spans="2:35" x14ac:dyDescent="0.25">
      <c r="B531" s="210"/>
      <c r="C531" s="215"/>
      <c r="D531" s="198"/>
      <c r="E531" s="215"/>
      <c r="P531" s="200"/>
      <c r="AH531" s="199"/>
      <c r="AI531" s="199"/>
    </row>
    <row r="532" spans="2:35" x14ac:dyDescent="0.25">
      <c r="B532" s="210"/>
      <c r="C532" s="215"/>
      <c r="D532" s="198"/>
      <c r="E532" s="215"/>
      <c r="P532" s="200"/>
      <c r="AH532" s="199"/>
      <c r="AI532" s="199"/>
    </row>
    <row r="533" spans="2:35" x14ac:dyDescent="0.25">
      <c r="B533" s="210"/>
      <c r="C533" s="215"/>
      <c r="D533" s="198"/>
      <c r="E533" s="215"/>
      <c r="P533" s="200"/>
      <c r="AH533" s="199"/>
      <c r="AI533" s="199"/>
    </row>
    <row r="534" spans="2:35" x14ac:dyDescent="0.25">
      <c r="B534" s="210"/>
      <c r="C534" s="215"/>
      <c r="D534" s="198"/>
      <c r="E534" s="215"/>
      <c r="P534" s="200"/>
      <c r="AH534" s="199"/>
      <c r="AI534" s="199"/>
    </row>
    <row r="535" spans="2:35" x14ac:dyDescent="0.25">
      <c r="B535" s="210"/>
      <c r="C535" s="215"/>
      <c r="D535" s="198"/>
      <c r="E535" s="215"/>
      <c r="P535" s="200"/>
      <c r="AH535" s="199"/>
      <c r="AI535" s="199"/>
    </row>
    <row r="536" spans="2:35" x14ac:dyDescent="0.25">
      <c r="B536" s="210"/>
      <c r="C536" s="215"/>
      <c r="D536" s="198"/>
      <c r="E536" s="215"/>
      <c r="P536" s="200"/>
      <c r="AH536" s="199"/>
      <c r="AI536" s="199"/>
    </row>
    <row r="537" spans="2:35" x14ac:dyDescent="0.25">
      <c r="B537" s="210"/>
      <c r="C537" s="215"/>
      <c r="D537" s="198"/>
      <c r="E537" s="215"/>
      <c r="P537" s="200"/>
      <c r="AH537" s="199"/>
      <c r="AI537" s="199"/>
    </row>
    <row r="538" spans="2:35" x14ac:dyDescent="0.25">
      <c r="B538" s="210"/>
      <c r="C538" s="215"/>
      <c r="D538" s="198"/>
      <c r="E538" s="215"/>
      <c r="P538" s="200"/>
      <c r="AH538" s="199"/>
      <c r="AI538" s="199"/>
    </row>
    <row r="539" spans="2:35" x14ac:dyDescent="0.25">
      <c r="B539" s="210"/>
      <c r="C539" s="215"/>
      <c r="D539" s="198"/>
      <c r="E539" s="215"/>
      <c r="P539" s="200"/>
      <c r="AH539" s="199"/>
      <c r="AI539" s="199"/>
    </row>
    <row r="540" spans="2:35" x14ac:dyDescent="0.25">
      <c r="B540" s="210"/>
      <c r="C540" s="215"/>
      <c r="D540" s="198"/>
      <c r="E540" s="215"/>
      <c r="P540" s="200"/>
      <c r="AH540" s="199"/>
      <c r="AI540" s="199"/>
    </row>
    <row r="541" spans="2:35" x14ac:dyDescent="0.25">
      <c r="B541" s="210"/>
      <c r="C541" s="215"/>
      <c r="D541" s="198"/>
      <c r="E541" s="215"/>
      <c r="P541" s="200"/>
      <c r="AH541" s="199"/>
      <c r="AI541" s="199"/>
    </row>
    <row r="542" spans="2:35" x14ac:dyDescent="0.25">
      <c r="B542" s="210"/>
      <c r="C542" s="215"/>
      <c r="D542" s="198"/>
      <c r="E542" s="215"/>
      <c r="P542" s="200"/>
      <c r="AH542" s="199"/>
      <c r="AI542" s="199"/>
    </row>
    <row r="543" spans="2:35" x14ac:dyDescent="0.25">
      <c r="B543" s="210"/>
      <c r="C543" s="215"/>
      <c r="D543" s="198"/>
      <c r="E543" s="215"/>
      <c r="P543" s="200"/>
      <c r="AH543" s="199"/>
      <c r="AI543" s="199"/>
    </row>
    <row r="544" spans="2:35" x14ac:dyDescent="0.25">
      <c r="B544" s="210"/>
      <c r="C544" s="215"/>
      <c r="D544" s="198"/>
      <c r="E544" s="215"/>
      <c r="P544" s="200"/>
      <c r="AH544" s="199"/>
      <c r="AI544" s="199"/>
    </row>
    <row r="545" spans="2:35" x14ac:dyDescent="0.25">
      <c r="B545" s="210"/>
      <c r="C545" s="215"/>
      <c r="D545" s="198"/>
      <c r="E545" s="215"/>
      <c r="P545" s="200"/>
      <c r="AH545" s="199"/>
      <c r="AI545" s="199"/>
    </row>
    <row r="546" spans="2:35" x14ac:dyDescent="0.25">
      <c r="B546" s="210"/>
      <c r="C546" s="215"/>
      <c r="D546" s="198"/>
      <c r="E546" s="215"/>
      <c r="P546" s="200"/>
      <c r="AH546" s="199"/>
      <c r="AI546" s="199"/>
    </row>
    <row r="547" spans="2:35" x14ac:dyDescent="0.25">
      <c r="B547" s="210"/>
      <c r="C547" s="215"/>
      <c r="D547" s="198"/>
      <c r="E547" s="215"/>
      <c r="P547" s="200"/>
      <c r="AH547" s="199"/>
      <c r="AI547" s="199"/>
    </row>
    <row r="548" spans="2:35" x14ac:dyDescent="0.25">
      <c r="B548" s="210"/>
      <c r="C548" s="215"/>
      <c r="D548" s="198"/>
      <c r="E548" s="215"/>
      <c r="P548" s="200"/>
      <c r="AH548" s="199"/>
      <c r="AI548" s="199"/>
    </row>
    <row r="549" spans="2:35" x14ac:dyDescent="0.25">
      <c r="B549" s="210"/>
      <c r="C549" s="215"/>
      <c r="D549" s="198"/>
      <c r="E549" s="215"/>
      <c r="P549" s="200"/>
      <c r="AH549" s="199"/>
      <c r="AI549" s="199"/>
    </row>
    <row r="550" spans="2:35" x14ac:dyDescent="0.25">
      <c r="B550" s="210"/>
      <c r="C550" s="215"/>
      <c r="D550" s="198"/>
      <c r="E550" s="215"/>
      <c r="P550" s="200"/>
      <c r="AH550" s="199"/>
      <c r="AI550" s="199"/>
    </row>
    <row r="551" spans="2:35" x14ac:dyDescent="0.25">
      <c r="B551" s="210"/>
      <c r="C551" s="215"/>
      <c r="D551" s="198"/>
      <c r="E551" s="215"/>
      <c r="P551" s="200"/>
      <c r="AH551" s="199"/>
      <c r="AI551" s="199"/>
    </row>
    <row r="552" spans="2:35" x14ac:dyDescent="0.25">
      <c r="B552" s="210"/>
      <c r="C552" s="215"/>
      <c r="D552" s="198"/>
      <c r="E552" s="215"/>
      <c r="P552" s="200"/>
      <c r="AH552" s="199"/>
      <c r="AI552" s="199"/>
    </row>
    <row r="553" spans="2:35" x14ac:dyDescent="0.25">
      <c r="B553" s="210"/>
      <c r="C553" s="215"/>
      <c r="D553" s="198"/>
      <c r="E553" s="215"/>
      <c r="P553" s="200"/>
      <c r="AH553" s="199"/>
      <c r="AI553" s="199"/>
    </row>
    <row r="554" spans="2:35" x14ac:dyDescent="0.25">
      <c r="B554" s="210"/>
      <c r="C554" s="215"/>
      <c r="D554" s="198"/>
      <c r="E554" s="215"/>
      <c r="P554" s="200"/>
      <c r="AH554" s="199"/>
      <c r="AI554" s="199"/>
    </row>
    <row r="555" spans="2:35" x14ac:dyDescent="0.25">
      <c r="B555" s="210"/>
      <c r="C555" s="215"/>
      <c r="D555" s="198"/>
      <c r="E555" s="215"/>
      <c r="P555" s="200"/>
      <c r="AH555" s="199"/>
      <c r="AI555" s="199"/>
    </row>
    <row r="556" spans="2:35" x14ac:dyDescent="0.25">
      <c r="B556" s="210"/>
      <c r="C556" s="215"/>
      <c r="D556" s="198"/>
      <c r="E556" s="215"/>
      <c r="P556" s="200"/>
      <c r="AH556" s="199"/>
      <c r="AI556" s="199"/>
    </row>
    <row r="557" spans="2:35" x14ac:dyDescent="0.25">
      <c r="B557" s="210"/>
      <c r="C557" s="215"/>
      <c r="D557" s="198"/>
      <c r="E557" s="215"/>
      <c r="P557" s="200"/>
      <c r="AH557" s="199"/>
      <c r="AI557" s="199"/>
    </row>
    <row r="558" spans="2:35" x14ac:dyDescent="0.25">
      <c r="B558" s="210"/>
      <c r="C558" s="215"/>
      <c r="D558" s="198"/>
      <c r="E558" s="215"/>
      <c r="P558" s="200"/>
      <c r="AH558" s="199"/>
      <c r="AI558" s="199"/>
    </row>
    <row r="559" spans="2:35" x14ac:dyDescent="0.25">
      <c r="B559" s="210"/>
      <c r="C559" s="215"/>
      <c r="D559" s="198"/>
      <c r="E559" s="215"/>
      <c r="P559" s="200"/>
      <c r="AH559" s="199"/>
      <c r="AI559" s="199"/>
    </row>
    <row r="560" spans="2:35" x14ac:dyDescent="0.25">
      <c r="B560" s="210"/>
      <c r="C560" s="215"/>
      <c r="D560" s="198"/>
      <c r="E560" s="215"/>
      <c r="P560" s="200"/>
      <c r="AH560" s="199"/>
      <c r="AI560" s="199"/>
    </row>
    <row r="561" spans="2:35" x14ac:dyDescent="0.25">
      <c r="B561" s="210"/>
      <c r="C561" s="215"/>
      <c r="D561" s="198"/>
      <c r="E561" s="215"/>
      <c r="P561" s="200"/>
      <c r="AH561" s="199"/>
      <c r="AI561" s="199"/>
    </row>
    <row r="562" spans="2:35" x14ac:dyDescent="0.25">
      <c r="B562" s="210"/>
      <c r="C562" s="215"/>
      <c r="D562" s="198"/>
      <c r="E562" s="215"/>
      <c r="P562" s="200"/>
      <c r="AH562" s="199"/>
      <c r="AI562" s="199"/>
    </row>
    <row r="563" spans="2:35" x14ac:dyDescent="0.25">
      <c r="B563" s="210"/>
      <c r="C563" s="215"/>
      <c r="D563" s="198"/>
      <c r="E563" s="215"/>
      <c r="P563" s="200"/>
      <c r="AH563" s="199"/>
      <c r="AI563" s="199"/>
    </row>
    <row r="564" spans="2:35" x14ac:dyDescent="0.25">
      <c r="B564" s="210"/>
      <c r="C564" s="215"/>
      <c r="D564" s="198"/>
      <c r="E564" s="215"/>
      <c r="P564" s="200"/>
      <c r="AH564" s="199"/>
      <c r="AI564" s="199"/>
    </row>
    <row r="565" spans="2:35" x14ac:dyDescent="0.25">
      <c r="B565" s="210"/>
      <c r="C565" s="215"/>
      <c r="D565" s="198"/>
      <c r="E565" s="215"/>
      <c r="P565" s="200"/>
      <c r="AH565" s="199"/>
      <c r="AI565" s="199"/>
    </row>
    <row r="566" spans="2:35" x14ac:dyDescent="0.25">
      <c r="B566" s="210"/>
      <c r="C566" s="215"/>
      <c r="D566" s="198"/>
      <c r="E566" s="215"/>
      <c r="P566" s="200"/>
      <c r="AH566" s="199"/>
      <c r="AI566" s="199"/>
    </row>
    <row r="567" spans="2:35" x14ac:dyDescent="0.25">
      <c r="B567" s="210"/>
      <c r="C567" s="215"/>
      <c r="D567" s="198"/>
      <c r="E567" s="215"/>
      <c r="P567" s="200"/>
      <c r="AH567" s="199"/>
      <c r="AI567" s="199"/>
    </row>
    <row r="568" spans="2:35" x14ac:dyDescent="0.25">
      <c r="B568" s="210"/>
      <c r="C568" s="215"/>
      <c r="D568" s="198"/>
      <c r="E568" s="215"/>
      <c r="P568" s="200"/>
      <c r="AH568" s="199"/>
      <c r="AI568" s="199"/>
    </row>
    <row r="569" spans="2:35" x14ac:dyDescent="0.25">
      <c r="B569" s="210"/>
      <c r="C569" s="215"/>
      <c r="D569" s="198"/>
      <c r="E569" s="215"/>
      <c r="P569" s="200"/>
      <c r="AH569" s="199"/>
      <c r="AI569" s="199"/>
    </row>
    <row r="570" spans="2:35" x14ac:dyDescent="0.25">
      <c r="B570" s="210"/>
      <c r="C570" s="215"/>
      <c r="D570" s="198"/>
      <c r="E570" s="215"/>
      <c r="P570" s="200"/>
      <c r="AH570" s="199"/>
      <c r="AI570" s="199"/>
    </row>
    <row r="571" spans="2:35" x14ac:dyDescent="0.25">
      <c r="B571" s="210"/>
      <c r="C571" s="215"/>
      <c r="D571" s="198"/>
      <c r="E571" s="215"/>
      <c r="P571" s="200"/>
      <c r="AH571" s="199"/>
      <c r="AI571" s="199"/>
    </row>
    <row r="572" spans="2:35" x14ac:dyDescent="0.25">
      <c r="B572" s="210"/>
      <c r="C572" s="215"/>
      <c r="D572" s="198"/>
      <c r="E572" s="215"/>
      <c r="P572" s="200"/>
      <c r="AH572" s="199"/>
      <c r="AI572" s="199"/>
    </row>
    <row r="573" spans="2:35" x14ac:dyDescent="0.25">
      <c r="B573" s="210"/>
      <c r="C573" s="215"/>
      <c r="D573" s="198"/>
      <c r="E573" s="215"/>
      <c r="P573" s="200"/>
      <c r="AH573" s="199"/>
      <c r="AI573" s="199"/>
    </row>
    <row r="574" spans="2:35" x14ac:dyDescent="0.25">
      <c r="B574" s="210"/>
      <c r="C574" s="215"/>
      <c r="D574" s="198"/>
      <c r="E574" s="215"/>
      <c r="P574" s="200"/>
      <c r="AH574" s="199"/>
      <c r="AI574" s="199"/>
    </row>
    <row r="575" spans="2:35" x14ac:dyDescent="0.25">
      <c r="B575" s="210"/>
      <c r="C575" s="215"/>
      <c r="D575" s="198"/>
      <c r="E575" s="215"/>
      <c r="P575" s="200"/>
      <c r="AH575" s="199"/>
      <c r="AI575" s="199"/>
    </row>
    <row r="576" spans="2:35" x14ac:dyDescent="0.25">
      <c r="B576" s="210"/>
      <c r="C576" s="215"/>
      <c r="D576" s="198"/>
      <c r="E576" s="215"/>
      <c r="P576" s="200"/>
      <c r="AH576" s="199"/>
      <c r="AI576" s="199"/>
    </row>
    <row r="577" spans="2:35" x14ac:dyDescent="0.25">
      <c r="B577" s="210"/>
      <c r="C577" s="215"/>
      <c r="D577" s="198"/>
      <c r="E577" s="215"/>
      <c r="P577" s="200"/>
      <c r="AH577" s="199"/>
      <c r="AI577" s="199"/>
    </row>
    <row r="578" spans="2:35" x14ac:dyDescent="0.25">
      <c r="B578" s="210"/>
      <c r="C578" s="215"/>
      <c r="D578" s="198"/>
      <c r="E578" s="215"/>
      <c r="P578" s="200"/>
      <c r="AH578" s="199"/>
      <c r="AI578" s="199"/>
    </row>
    <row r="579" spans="2:35" x14ac:dyDescent="0.25">
      <c r="B579" s="210"/>
      <c r="C579" s="215"/>
      <c r="D579" s="198"/>
      <c r="E579" s="215"/>
      <c r="P579" s="200"/>
      <c r="AH579" s="199"/>
      <c r="AI579" s="199"/>
    </row>
    <row r="580" spans="2:35" x14ac:dyDescent="0.25">
      <c r="B580" s="210"/>
      <c r="C580" s="215"/>
      <c r="D580" s="198"/>
      <c r="E580" s="215"/>
      <c r="P580" s="200"/>
      <c r="AH580" s="199"/>
      <c r="AI580" s="199"/>
    </row>
    <row r="581" spans="2:35" x14ac:dyDescent="0.25">
      <c r="B581" s="210"/>
      <c r="C581" s="215"/>
      <c r="D581" s="198"/>
      <c r="E581" s="215"/>
      <c r="P581" s="200"/>
      <c r="AH581" s="199"/>
      <c r="AI581" s="199"/>
    </row>
    <row r="582" spans="2:35" x14ac:dyDescent="0.25">
      <c r="B582" s="210"/>
      <c r="C582" s="215"/>
      <c r="D582" s="198"/>
      <c r="E582" s="215"/>
      <c r="P582" s="200"/>
      <c r="AH582" s="199"/>
      <c r="AI582" s="199"/>
    </row>
    <row r="583" spans="2:35" x14ac:dyDescent="0.25">
      <c r="B583" s="210"/>
      <c r="C583" s="215"/>
      <c r="D583" s="198"/>
      <c r="E583" s="215"/>
      <c r="P583" s="200"/>
      <c r="AH583" s="199"/>
      <c r="AI583" s="199"/>
    </row>
    <row r="584" spans="2:35" x14ac:dyDescent="0.25">
      <c r="B584" s="210"/>
      <c r="C584" s="215"/>
      <c r="D584" s="198"/>
      <c r="E584" s="215"/>
      <c r="P584" s="200"/>
      <c r="AH584" s="199"/>
      <c r="AI584" s="199"/>
    </row>
    <row r="585" spans="2:35" x14ac:dyDescent="0.25">
      <c r="B585" s="210"/>
      <c r="C585" s="215"/>
      <c r="D585" s="198"/>
      <c r="E585" s="215"/>
      <c r="P585" s="200"/>
      <c r="AH585" s="199"/>
      <c r="AI585" s="199"/>
    </row>
    <row r="586" spans="2:35" x14ac:dyDescent="0.25">
      <c r="B586" s="210"/>
      <c r="C586" s="215"/>
      <c r="D586" s="198"/>
      <c r="E586" s="215"/>
      <c r="P586" s="200"/>
      <c r="AH586" s="199"/>
      <c r="AI586" s="199"/>
    </row>
    <row r="587" spans="2:35" x14ac:dyDescent="0.25">
      <c r="B587" s="210"/>
      <c r="C587" s="215"/>
      <c r="D587" s="198"/>
      <c r="E587" s="215"/>
      <c r="P587" s="200"/>
      <c r="AH587" s="199"/>
      <c r="AI587" s="199"/>
    </row>
    <row r="588" spans="2:35" x14ac:dyDescent="0.25">
      <c r="B588" s="210"/>
      <c r="C588" s="215"/>
      <c r="D588" s="198"/>
      <c r="E588" s="215"/>
      <c r="P588" s="200"/>
      <c r="AH588" s="199"/>
      <c r="AI588" s="199"/>
    </row>
    <row r="589" spans="2:35" x14ac:dyDescent="0.25">
      <c r="B589" s="210"/>
      <c r="C589" s="215"/>
      <c r="D589" s="198"/>
      <c r="E589" s="215"/>
      <c r="P589" s="200"/>
      <c r="AH589" s="199"/>
      <c r="AI589" s="199"/>
    </row>
    <row r="590" spans="2:35" x14ac:dyDescent="0.25">
      <c r="B590" s="210"/>
      <c r="C590" s="215"/>
      <c r="D590" s="198"/>
      <c r="E590" s="215"/>
      <c r="P590" s="200"/>
      <c r="AH590" s="199"/>
      <c r="AI590" s="199"/>
    </row>
    <row r="591" spans="2:35" x14ac:dyDescent="0.25">
      <c r="B591" s="210"/>
      <c r="C591" s="215"/>
      <c r="D591" s="198"/>
      <c r="E591" s="215"/>
      <c r="P591" s="200"/>
      <c r="AH591" s="199"/>
      <c r="AI591" s="199"/>
    </row>
    <row r="592" spans="2:35" x14ac:dyDescent="0.25">
      <c r="B592" s="210"/>
      <c r="C592" s="215"/>
      <c r="D592" s="198"/>
      <c r="E592" s="215"/>
      <c r="P592" s="200"/>
      <c r="AH592" s="199"/>
      <c r="AI592" s="199"/>
    </row>
    <row r="593" spans="2:35" x14ac:dyDescent="0.25">
      <c r="B593" s="210"/>
      <c r="C593" s="215"/>
      <c r="D593" s="198"/>
      <c r="E593" s="215"/>
      <c r="P593" s="200"/>
      <c r="AH593" s="199"/>
      <c r="AI593" s="199"/>
    </row>
    <row r="594" spans="2:35" x14ac:dyDescent="0.25">
      <c r="B594" s="210"/>
      <c r="C594" s="215"/>
      <c r="D594" s="198"/>
      <c r="E594" s="215"/>
      <c r="P594" s="200"/>
      <c r="AH594" s="199"/>
      <c r="AI594" s="199"/>
    </row>
    <row r="595" spans="2:35" x14ac:dyDescent="0.25">
      <c r="B595" s="210"/>
      <c r="C595" s="215"/>
      <c r="D595" s="198"/>
      <c r="E595" s="215"/>
      <c r="P595" s="200"/>
      <c r="AH595" s="199"/>
      <c r="AI595" s="199"/>
    </row>
    <row r="596" spans="2:35" x14ac:dyDescent="0.25">
      <c r="B596" s="210"/>
      <c r="C596" s="215"/>
      <c r="D596" s="198"/>
      <c r="E596" s="215"/>
      <c r="P596" s="200"/>
      <c r="AH596" s="199"/>
      <c r="AI596" s="199"/>
    </row>
    <row r="597" spans="2:35" x14ac:dyDescent="0.25">
      <c r="B597" s="210"/>
      <c r="C597" s="215"/>
      <c r="D597" s="198"/>
      <c r="E597" s="215"/>
      <c r="P597" s="200"/>
      <c r="AH597" s="199"/>
      <c r="AI597" s="199"/>
    </row>
    <row r="598" spans="2:35" x14ac:dyDescent="0.25">
      <c r="B598" s="210"/>
      <c r="C598" s="215"/>
      <c r="D598" s="198"/>
      <c r="E598" s="215"/>
      <c r="P598" s="200"/>
      <c r="AH598" s="199"/>
      <c r="AI598" s="199"/>
    </row>
    <row r="599" spans="2:35" x14ac:dyDescent="0.25">
      <c r="B599" s="210"/>
      <c r="C599" s="215"/>
      <c r="D599" s="198"/>
      <c r="E599" s="215"/>
      <c r="P599" s="200"/>
      <c r="AH599" s="199"/>
      <c r="AI599" s="199"/>
    </row>
    <row r="600" spans="2:35" x14ac:dyDescent="0.25">
      <c r="B600" s="210"/>
      <c r="C600" s="215"/>
      <c r="D600" s="198"/>
      <c r="E600" s="215"/>
      <c r="P600" s="200"/>
      <c r="AH600" s="199"/>
      <c r="AI600" s="199"/>
    </row>
    <row r="601" spans="2:35" x14ac:dyDescent="0.25">
      <c r="B601" s="210"/>
      <c r="C601" s="215"/>
      <c r="D601" s="198"/>
      <c r="E601" s="215"/>
      <c r="P601" s="200"/>
      <c r="AH601" s="199"/>
      <c r="AI601" s="199"/>
    </row>
    <row r="602" spans="2:35" x14ac:dyDescent="0.25">
      <c r="B602" s="210"/>
      <c r="C602" s="215"/>
      <c r="D602" s="198"/>
      <c r="E602" s="215"/>
      <c r="P602" s="200"/>
      <c r="AH602" s="199"/>
      <c r="AI602" s="199"/>
    </row>
    <row r="603" spans="2:35" x14ac:dyDescent="0.25">
      <c r="B603" s="210"/>
      <c r="C603" s="215"/>
      <c r="D603" s="198"/>
      <c r="E603" s="215"/>
      <c r="P603" s="200"/>
      <c r="AH603" s="199"/>
      <c r="AI603" s="199"/>
    </row>
    <row r="604" spans="2:35" x14ac:dyDescent="0.25">
      <c r="B604" s="210"/>
      <c r="C604" s="215"/>
      <c r="D604" s="198"/>
      <c r="E604" s="215"/>
      <c r="P604" s="200"/>
      <c r="AH604" s="199"/>
      <c r="AI604" s="199"/>
    </row>
    <row r="605" spans="2:35" x14ac:dyDescent="0.25">
      <c r="B605" s="210"/>
      <c r="C605" s="215"/>
      <c r="D605" s="198"/>
      <c r="E605" s="215"/>
      <c r="P605" s="200"/>
      <c r="AH605" s="199"/>
      <c r="AI605" s="199"/>
    </row>
    <row r="606" spans="2:35" x14ac:dyDescent="0.25">
      <c r="B606" s="210"/>
      <c r="C606" s="215"/>
      <c r="D606" s="198"/>
      <c r="E606" s="215"/>
      <c r="P606" s="200"/>
      <c r="AH606" s="199"/>
      <c r="AI606" s="199"/>
    </row>
  </sheetData>
  <sortState xmlns:xlrd2="http://schemas.microsoft.com/office/spreadsheetml/2017/richdata2" ref="B3:E27">
    <sortCondition ref="B3:B27"/>
    <sortCondition ref="E3:E27"/>
  </sortState>
  <phoneticPr fontId="0" type="noConversion"/>
  <conditionalFormatting sqref="A607:AI65390 A2:AI2 A30:A606 B40:D606 B29:B39 D29:D39 B28:D28 B15:B26 AI15:AI36">
    <cfRule type="expression" dxfId="120" priority="1155" stopIfTrue="1">
      <formula>AND(ROW(A2)=$CC$1,COLUMN(A2)=$CC$2)</formula>
    </cfRule>
    <cfRule type="expression" dxfId="119" priority="1156" stopIfTrue="1">
      <formula>OR(AND(ROW(A2)=$CC$1,COLUMN(A2)&lt;$CC$2),AND(ROW(A2)&lt;$CC$1,COLUMN(A2)=$CC$2))</formula>
    </cfRule>
  </conditionalFormatting>
  <conditionalFormatting sqref="A3:B3 X3:AH3 A4:A29 B4:B14">
    <cfRule type="expression" dxfId="118" priority="62" stopIfTrue="1">
      <formula>AND(ROW(A3)=$CC$1,COLUMN(A3)=$CC$2)</formula>
    </cfRule>
    <cfRule type="expression" dxfId="117" priority="63" stopIfTrue="1">
      <formula>OR(AND(ROW(A3)=$CC$1,COLUMN(A3)&lt;$CC$2),AND(ROW(A3)&lt;$CC$1,COLUMN(A3)=$CC$2))</formula>
    </cfRule>
  </conditionalFormatting>
  <conditionalFormatting sqref="H3:W3 F3:F27">
    <cfRule type="expression" dxfId="116" priority="44" stopIfTrue="1">
      <formula>AND(ROW(F3)=$CC$1,COLUMN(F3)=$CC$2)</formula>
    </cfRule>
    <cfRule type="expression" dxfId="115" priority="45" stopIfTrue="1">
      <formula>OR(AND(ROW(F3)=$CC$1,COLUMN(F3)&lt;$CC$2),AND(ROW(F3)&lt;$CC$1,COLUMN(F3)=$CC$2))</formula>
    </cfRule>
  </conditionalFormatting>
  <conditionalFormatting sqref="X4:AH606">
    <cfRule type="expression" dxfId="114" priority="40" stopIfTrue="1">
      <formula>AND(ROW(X4)=$CC$1,COLUMN(X4)=$CC$2)</formula>
    </cfRule>
    <cfRule type="expression" dxfId="113" priority="41" stopIfTrue="1">
      <formula>OR(AND(ROW(X4)=$CC$1,COLUMN(X4)&lt;$CC$2),AND(ROW(X4)&lt;$CC$1,COLUMN(X4)=$CC$2))</formula>
    </cfRule>
  </conditionalFormatting>
  <conditionalFormatting sqref="E28:E606">
    <cfRule type="expression" dxfId="112" priority="24" stopIfTrue="1">
      <formula>AND(ROW(E28)=$CC$1,COLUMN(E28)=$CC$2)</formula>
    </cfRule>
    <cfRule type="expression" dxfId="111" priority="25" stopIfTrue="1">
      <formula>OR(AND(ROW(E28)=$CC$1,COLUMN(E28)&lt;$CC$2),AND(ROW(E28)&lt;$CC$1,COLUMN(E28)=$CC$2))</formula>
    </cfRule>
  </conditionalFormatting>
  <conditionalFormatting sqref="F4:W606">
    <cfRule type="expression" dxfId="110" priority="22" stopIfTrue="1">
      <formula>AND(ROW(F4)=$CC$1,COLUMN(F4)=$CC$2)</formula>
    </cfRule>
    <cfRule type="expression" dxfId="109" priority="23" stopIfTrue="1">
      <formula>OR(AND(ROW(F4)=$CC$1,COLUMN(F4)&lt;$CC$2),AND(ROW(F4)&lt;$CC$1,COLUMN(F4)=$CC$2))</formula>
    </cfRule>
  </conditionalFormatting>
  <conditionalFormatting sqref="AI37:AI606">
    <cfRule type="expression" dxfId="108" priority="20" stopIfTrue="1">
      <formula>AND(ROW(AI37)=$CC$1,COLUMN(AI37)=$CC$2)</formula>
    </cfRule>
    <cfRule type="expression" dxfId="107" priority="21" stopIfTrue="1">
      <formula>OR(AND(ROW(AI37)=$CC$1,COLUMN(AI37)&lt;$CC$2),AND(ROW(AI37)&lt;$CC$1,COLUMN(AI37)=$CC$2))</formula>
    </cfRule>
  </conditionalFormatting>
  <conditionalFormatting sqref="B27">
    <cfRule type="expression" dxfId="106" priority="17" stopIfTrue="1">
      <formula>AND(ROW(B27)=$CC$1,COLUMN(B27)=$CC$2)</formula>
    </cfRule>
    <cfRule type="expression" dxfId="105" priority="18" stopIfTrue="1">
      <formula>OR(AND(ROW(B27)=$CC$1,COLUMN(B27)&lt;$CC$2),AND(ROW(B27)&lt;$CC$1,COLUMN(B27)=$CC$2))</formula>
    </cfRule>
  </conditionalFormatting>
  <conditionalFormatting sqref="C3:C17">
    <cfRule type="duplicateValues" dxfId="104" priority="2"/>
  </conditionalFormatting>
  <conditionalFormatting sqref="C18:C27">
    <cfRule type="duplicateValues" dxfId="103" priority="1"/>
  </conditionalFormatting>
  <dataValidations xWindow="1294" yWindow="391" count="4">
    <dataValidation type="custom" errorStyle="warning" allowBlank="1" showInputMessage="1" showErrorMessage="1" error="-Must be a multiple of 2.5 unless a record attempt" sqref="W83:W65390 Q83:Q65390 Q22:V23 Q74:W82 K3:K65390 Q24:Q73 W3:W14 Q15:Q21 Q3:Q11 R4:V21 R24:V35 W28:W73" xr:uid="{00000000-0002-0000-0100-000000000000}">
      <formula1>AND(MOD(K3,2.5)=0)</formula1>
    </dataValidation>
    <dataValidation type="list" allowBlank="1" showInputMessage="1" showErrorMessage="1" sqref="B3:B3254" xr:uid="{00000000-0002-0000-0100-000001000000}">
      <formula1>"A,B,C,D,E,F,G,H,I,J,K,L,M,N,O,P,Q,R,S,T"</formula1>
    </dataValidation>
    <dataValidation type="list" allowBlank="1" showInputMessage="1" showErrorMessage="1" promptTitle="Division" prompt="Select from menu" sqref="E1:E1048576" xr:uid="{00000000-0002-0000-0100-000003000000}">
      <formula1>INDIRECT($AY$1)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15:AI65390" xr:uid="{00000000-0002-0000-0100-000002000000}"/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16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17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18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19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20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21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22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23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24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25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26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27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28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29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B1:B2 B607:B1048576</xm:sqref>
        </x14:conditionalFormatting>
        <x14:conditionalFormatting xmlns:xm="http://schemas.microsoft.com/office/excel/2006/main">
          <x14:cfRule type="expression" priority="48" id="{B3220E42-0505-4720-B04F-6156BD0D85A4}">
            <xm:f>$F3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49" id="{F466180C-AA2A-4208-B8E4-B39F0FF74259}">
            <xm:f>AND(($F3 &lt;= Setup!$J$19), ($F3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0" id="{306795DC-D28D-41EA-9754-635ADC05F81E}">
            <xm:f>AND(($F3 &lt;= Setup!$J$18), ($F3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1" id="{28DD2E98-B97F-42C7-9EB4-D5D3252AE488}">
            <xm:f>AND(($F3 &lt;= Setup!$J$17), ($F3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52" id="{39A1ADC6-AC87-4FA9-9D92-E6188CDAF539}">
            <xm:f>AND(($F3 &lt;= Setup!$J$16), ($F3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53" id="{DE27C616-BF68-4709-B460-19B58FB0A77B}">
            <xm:f>AND(($F3 &lt;= Setup!$J$15), ($F3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54" id="{67B991B6-36FD-40B3-821C-25619469D68B}">
            <xm:f>AND(($F3 &lt;= Setup!$J$14), ($F3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5" id="{05C2FB2F-5014-447C-B27E-E69CA4F39AFF}">
            <xm:f>AND(($F3 &lt;= Setup!$J$13), ($F3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6" id="{702FBEFC-546D-459F-8BAB-36A8C9CBDFCE}">
            <xm:f>AND(($F3 &lt;= Setup!$J$12), ($F3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57" id="{98E638CA-5331-4B7A-B76D-E9170928C9E9}">
            <xm:f>AND(($F3 &lt;= Setup!$J$11), ($F3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58" id="{06E9922F-CB14-4181-8EAE-35A5CCF3A132}">
            <xm:f>AND(($F3 &lt;= Setup!$J$10), ($F3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59" id="{B2B62693-FCC4-490D-A813-18A516CAB2E3}">
            <xm:f>AND(($F3 &lt;= Setup!$L$11), ($F3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60" id="{D4D00E18-5519-4E5D-BD3F-8466E3A368EE}">
            <xm:f>AND(($F3 &lt;=Setup!$L$10), ($F3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61" id="{ADAAA2C8-F7F3-4EDA-8B06-8D4EEE24F0E9}">
            <xm:f>AND(($F3 &lt;= Setup!$J$20), ($F3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B3:B14</xm:sqref>
        </x14:conditionalFormatting>
        <x14:conditionalFormatting xmlns:xm="http://schemas.microsoft.com/office/excel/2006/main">
          <x14:cfRule type="expression" priority="26" id="{D012DB69-6801-4589-A364-9F521B4F4316}">
            <xm:f>$F15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27" id="{4DE24132-1C2B-406E-B73F-7ADE65F2F227}">
            <xm:f>AND(($F15 &lt;= Setup!$J$19), ($F15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8" id="{ADBB45FD-BA7A-4285-B33B-5D8234FCF994}">
            <xm:f>AND(($F15 &lt;= Setup!$J$18), ($F15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9" id="{7EE377E7-A1BC-44CA-9718-F8DB642BBCE1}">
            <xm:f>AND(($F15 &lt;= Setup!$J$17), ($F15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30" id="{9717C4F0-1A25-455B-AD5E-9075E37AEB2D}">
            <xm:f>AND(($F15 &lt;= Setup!$J$16), ($F15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31" id="{8ABEB69D-78F5-4221-973D-1D06DDD3807A}">
            <xm:f>AND(($F15 &lt;= Setup!$J$15), ($F15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32" id="{B35445F2-497D-4E00-82F9-1DD12D4DD4AD}">
            <xm:f>AND(($F15 &lt;= Setup!$J$14), ($F15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3" id="{A225EADC-970A-491A-B77C-134C7F9A3C54}">
            <xm:f>AND(($F15 &lt;= Setup!$J$13), ($F15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4" id="{84779BF2-00BD-4016-BD8D-9124C39C8A72}">
            <xm:f>AND(($F15 &lt;= Setup!$J$12), ($F15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35" id="{7722E308-2FE0-41B7-A472-FFE2EDA9B626}">
            <xm:f>AND(($F15 &lt;= Setup!$J$11), ($F15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36" id="{FAD70DB0-91E2-4A93-A45E-B9CF5ED843A6}">
            <xm:f>AND(($F15 &lt;= Setup!$J$10), ($F15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37" id="{E86E5D8B-4B2D-4ED0-853D-C2B3D5E97EF5}">
            <xm:f>AND(($F15 &lt;= Setup!$L$11), ($F15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38" id="{32BC4288-269C-4DF9-B8FF-F21B8C938261}">
            <xm:f>AND(($F15 &lt;=Setup!$L$10), ($F15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39" id="{66BBA61B-FF13-4852-9288-790C8ACE24BF}">
            <xm:f>AND(($F15 &lt;= Setup!$J$20), ($F15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B28:B606 B15:B26</xm:sqref>
        </x14:conditionalFormatting>
        <x14:conditionalFormatting xmlns:xm="http://schemas.microsoft.com/office/excel/2006/main">
          <x14:cfRule type="expression" priority="3" id="{4D72FCCE-F8CD-4B69-A2BD-E2BDA91DD657}">
            <xm:f>$F27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4" id="{BA3B9654-4EC5-4910-81A2-2EB57BE0DACE}">
            <xm:f>AND(($F27 &lt;= Setup!$J$19), ($F27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" id="{4766A7AF-6EAC-404C-BB5F-E90078D46D2E}">
            <xm:f>AND(($F27 &lt;= Setup!$J$18), ($F27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6" id="{14ED1D50-6BF9-4B65-A27F-84E79EB015CE}">
            <xm:f>AND(($F27 &lt;= Setup!$J$17), ($F27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7" id="{03B7F783-662B-4F74-A255-642642A957E4}">
            <xm:f>AND(($F27 &lt;= Setup!$J$16), ($F27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8" id="{596A7A2A-BA0A-46A4-AEDD-B011562E2FC5}">
            <xm:f>AND(($F27 &lt;= Setup!$J$15), ($F27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9" id="{B08802E6-FD2E-4087-A619-FBBBA3EE45FC}">
            <xm:f>AND(($F27 &lt;= Setup!$J$14), ($F27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0" id="{972C37A8-D6F0-45CE-A8E3-6B94089EE075}">
            <xm:f>AND(($F27 &lt;= Setup!$J$13), ($F27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" id="{30725448-5D39-486F-806E-9C5438441AD8}">
            <xm:f>AND(($F27 &lt;= Setup!$J$12), ($F27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" id="{AB2B5BEA-9AB7-4714-B5FF-FDB5482319D9}">
            <xm:f>AND(($F27 &lt;= Setup!$J$11), ($F27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3" id="{9D896F32-92FC-4CBF-AA40-1C8BE1D6D94C}">
            <xm:f>AND(($F27 &lt;= Setup!$J$10), ($F27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4" id="{EFCBC817-866E-41D0-A1A0-E32037466779}">
            <xm:f>AND(($F27 &lt;= Setup!$L$11), ($F27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" id="{9C63D3DB-C6D4-4132-8C48-6A5AB1518EC6}">
            <xm:f>AND(($F27 &lt;=Setup!$L$10), ($F27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6" id="{74BA5055-712F-42BA-AF6B-E95C6F134065}">
            <xm:f>AND(($F27 &lt;= Setup!$J$20), ($F27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218" t="s">
        <v>75</v>
      </c>
      <c r="B1" s="218" t="s">
        <v>61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T34"/>
  <sheetViews>
    <sheetView zoomScale="120" zoomScaleNormal="120" workbookViewId="0">
      <pane xSplit="9" ySplit="9" topLeftCell="P10" activePane="bottomRight" state="frozen"/>
      <selection activeCell="A2" sqref="A2"/>
      <selection pane="topRight" activeCell="J2" sqref="J2"/>
      <selection pane="bottomLeft" activeCell="A10" sqref="A10"/>
      <selection pane="bottomRight" activeCell="AB8" sqref="AB8"/>
    </sheetView>
  </sheetViews>
  <sheetFormatPr defaultColWidth="9.109375" defaultRowHeight="13.2" x14ac:dyDescent="0.25"/>
  <cols>
    <col min="1" max="1" width="13.44140625" style="1" hidden="1" customWidth="1"/>
    <col min="2" max="2" width="3.44140625" style="2" customWidth="1"/>
    <col min="3" max="3" width="18.44140625" style="2" customWidth="1"/>
    <col min="4" max="4" width="6" style="2" customWidth="1"/>
    <col min="5" max="5" width="15.109375" style="2" customWidth="1"/>
    <col min="6" max="6" width="6" style="2" customWidth="1"/>
    <col min="7" max="7" width="6.109375" style="2" customWidth="1"/>
    <col min="8" max="8" width="7.6640625" style="2" customWidth="1"/>
    <col min="9" max="9" width="4.44140625" style="2" customWidth="1"/>
    <col min="10" max="10" width="6.109375" style="32" hidden="1" customWidth="1"/>
    <col min="11" max="11" width="9" style="2" hidden="1" customWidth="1"/>
    <col min="12" max="12" width="7.109375" style="2" hidden="1" customWidth="1"/>
    <col min="13" max="13" width="7" style="2" hidden="1" customWidth="1"/>
    <col min="14" max="15" width="7.109375" style="2" hidden="1" customWidth="1"/>
    <col min="16" max="16" width="4.6640625" style="183" customWidth="1"/>
    <col min="17" max="19" width="7.109375" style="2" customWidth="1"/>
    <col min="20" max="20" width="7.109375" style="2" hidden="1" customWidth="1"/>
    <col min="21" max="21" width="7.109375" style="2" customWidth="1"/>
    <col min="22" max="22" width="7.109375" style="2" hidden="1" customWidth="1"/>
    <col min="23" max="25" width="7.109375" style="2" customWidth="1"/>
    <col min="26" max="26" width="7.109375" style="2" hidden="1" customWidth="1"/>
    <col min="27" max="27" width="7.109375" style="2" customWidth="1"/>
    <col min="28" max="28" width="8.6640625" style="2" customWidth="1"/>
    <col min="29" max="30" width="7.88671875" style="2" customWidth="1"/>
    <col min="31" max="31" width="5.109375" style="2" customWidth="1"/>
    <col min="32" max="32" width="11.109375" style="2" customWidth="1"/>
    <col min="33" max="33" width="4.88671875" style="1" customWidth="1"/>
    <col min="34" max="34" width="11.88671875" style="55" customWidth="1"/>
    <col min="35" max="35" width="10.6640625" style="1" customWidth="1"/>
    <col min="36" max="36" width="6.44140625" style="32" hidden="1" customWidth="1"/>
    <col min="37" max="38" width="9.109375" style="1" hidden="1" customWidth="1"/>
    <col min="39" max="39" width="8.33203125" style="2" hidden="1" customWidth="1"/>
    <col min="40" max="40" width="8" style="2" hidden="1" customWidth="1"/>
    <col min="41" max="42" width="7.109375" style="2" hidden="1" customWidth="1"/>
    <col min="43" max="43" width="7.44140625" style="2" hidden="1" customWidth="1"/>
    <col min="44" max="44" width="18.44140625" style="148" hidden="1" customWidth="1"/>
    <col min="45" max="45" width="7.109375" style="2" hidden="1" customWidth="1"/>
    <col min="46" max="47" width="8.109375" style="2" hidden="1" customWidth="1"/>
    <col min="48" max="48" width="9.109375" style="1" customWidth="1"/>
    <col min="49" max="49" width="9.109375" style="144" customWidth="1"/>
    <col min="50" max="50" width="9.109375" style="1" customWidth="1"/>
    <col min="51" max="51" width="18.44140625" style="148" customWidth="1"/>
    <col min="52" max="52" width="9.109375" style="24" customWidth="1"/>
    <col min="53" max="53" width="12.88671875" style="24" customWidth="1"/>
    <col min="54" max="65" width="9.109375" style="24" customWidth="1"/>
    <col min="66" max="66" width="9.109375" style="33" customWidth="1"/>
    <col min="67" max="105" width="9.109375" style="1" customWidth="1"/>
    <col min="106" max="16384" width="9.109375" style="1"/>
  </cols>
  <sheetData>
    <row r="1" spans="1:176" s="18" customFormat="1" ht="24.75" hidden="1" customHeight="1" thickBot="1" x14ac:dyDescent="0.3">
      <c r="A1" s="16">
        <f ca="1">COUNTIF(INDIRECT(AG1),RIGHT(B8,1))</f>
        <v>14</v>
      </c>
      <c r="B1" s="370" t="s">
        <v>694</v>
      </c>
      <c r="C1" s="375"/>
      <c r="D1" s="375"/>
      <c r="E1" s="371"/>
      <c r="F1" s="370" t="s">
        <v>29</v>
      </c>
      <c r="G1" s="371"/>
      <c r="H1" s="370" t="s">
        <v>41</v>
      </c>
      <c r="I1" s="371"/>
      <c r="J1" s="34">
        <f ca="1">IF(ISERROR(A2),1,0)</f>
        <v>0</v>
      </c>
      <c r="K1" s="17">
        <v>0</v>
      </c>
      <c r="L1" s="17"/>
      <c r="M1" s="17"/>
      <c r="N1" s="17"/>
      <c r="O1" s="17"/>
      <c r="P1" s="17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88" t="str">
        <f>CONCATENATE("$b$9:$b$",$AF$7)</f>
        <v>$b$9:$b$34</v>
      </c>
      <c r="AH1" s="17"/>
      <c r="AI1" s="95" t="str">
        <f>CONCATENATE("Setup!O7:O",COUNTA(Setup!O:O)+4)</f>
        <v>Setup!O7:O247</v>
      </c>
      <c r="AJ1" s="17"/>
      <c r="AM1" s="17"/>
      <c r="AN1" s="17"/>
      <c r="AQ1" s="17"/>
      <c r="AR1" s="145"/>
      <c r="AS1" s="17"/>
      <c r="AT1" s="17"/>
      <c r="AU1" s="17"/>
      <c r="AW1" s="140"/>
      <c r="AY1" s="145"/>
      <c r="AZ1" s="96" t="s">
        <v>67</v>
      </c>
      <c r="BA1" s="95" t="str">
        <f>VLOOKUP($AZ$1,$AZ$2:$BM$6,2,FALSE)</f>
        <v>$BB$1:$BI$1</v>
      </c>
      <c r="BB1" s="95" t="str">
        <f>VLOOKUP($AZ$1,$AZ$2:$BM$6,3,FALSE)</f>
        <v>Bench 1</v>
      </c>
      <c r="BC1" s="95" t="str">
        <f>VLOOKUP($AZ$1,$AZ$2:$BM$6,4,FALSE)</f>
        <v>Bench 2</v>
      </c>
      <c r="BD1" s="95" t="str">
        <f>VLOOKUP($AZ$1,$AZ$2:$BM$6,5,FALSE)</f>
        <v>Bench 3</v>
      </c>
      <c r="BE1" s="95" t="str">
        <f>VLOOKUP($AZ$1,$AZ$2:$BM$6,6,FALSE)</f>
        <v>Bench 4</v>
      </c>
      <c r="BF1" s="95" t="str">
        <f>VLOOKUP($AZ$1,$AZ$2:$BM$6,7,FALSE)</f>
        <v>Deadlift 1</v>
      </c>
      <c r="BG1" s="95" t="str">
        <f>VLOOKUP($AZ$1,$AZ$2:$BM$6,8,FALSE)</f>
        <v>Deadlift 2</v>
      </c>
      <c r="BH1" s="95" t="str">
        <f>VLOOKUP($AZ$1,$AZ$2:$BM$6,9,FALSE)</f>
        <v>Deadlift 3</v>
      </c>
      <c r="BI1" s="95" t="str">
        <f>VLOOKUP($AZ$1,$AZ$2:$BM$6,10,FALSE)</f>
        <v>Deadlift 4</v>
      </c>
      <c r="BJ1" s="95">
        <f>VLOOKUP($AZ$1,$AZ$2:$BM$6,11,FALSE)</f>
        <v>0</v>
      </c>
      <c r="BK1" s="95">
        <f>VLOOKUP($AZ$1,$AZ$2:$BM$6,12,FALSE)</f>
        <v>0</v>
      </c>
      <c r="BL1" s="95">
        <f>VLOOKUP($AZ$1,$AZ$2:$BM$6,13,FALSE)</f>
        <v>0</v>
      </c>
      <c r="BM1" s="95">
        <f>VLOOKUP($AZ$1,$AZ$2:$BM$6,14,FALSE)</f>
        <v>0</v>
      </c>
      <c r="BN1" s="19"/>
      <c r="BP1" s="5" t="s">
        <v>32</v>
      </c>
      <c r="BQ1" s="5">
        <f>IF(BP1=RIGHT($B$8,1),0,BQ8+1)</f>
        <v>0</v>
      </c>
    </row>
    <row r="2" spans="1:176" s="23" customFormat="1" ht="40.5" customHeight="1" thickBot="1" x14ac:dyDescent="0.3">
      <c r="A2" s="20" t="str">
        <f ca="1">CONCATENATE(CHOOSE(MATCH(B3,K8:Z8,0),"K","L","M","N","O","P","Q","R","S","T","U","V","W","X","Y","Z"),MATCH(B2,INDIRECT(A7),0)+9,)</f>
        <v>Y13</v>
      </c>
      <c r="B2" s="366" t="s">
        <v>657</v>
      </c>
      <c r="C2" s="367"/>
      <c r="D2" s="367"/>
      <c r="E2" s="368"/>
      <c r="F2" s="372" t="str">
        <f ca="1">INDIRECT(CONCATENATE("E",A4))</f>
        <v>F_SR_APF</v>
      </c>
      <c r="G2" s="373"/>
      <c r="H2" s="192">
        <f ca="1">IF(INDIRECT(CONCATENATE("G",A4))="SHW","SHW",ROUND(INDIRECT(CONCATENATE("G",A4)),1))</f>
        <v>67.5</v>
      </c>
      <c r="I2" s="69" t="str">
        <f ca="1">IF(H2="SHW","",IF(G8="WtCls (Kg)","Kg","Lb"))</f>
        <v>Kg</v>
      </c>
      <c r="J2" s="204">
        <v>78561.7578125</v>
      </c>
      <c r="K2" s="21"/>
      <c r="L2" s="21"/>
      <c r="M2" s="21"/>
      <c r="N2" s="5"/>
      <c r="O2" s="11"/>
      <c r="P2" s="179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58"/>
      <c r="AF2" s="86"/>
      <c r="AG2" s="86"/>
      <c r="AH2" s="87"/>
      <c r="AI2"/>
      <c r="AJ2" s="5"/>
      <c r="AK2"/>
      <c r="AL2"/>
      <c r="AM2" s="5"/>
      <c r="AN2" s="5"/>
      <c r="AQ2" s="5"/>
      <c r="AR2" s="146"/>
      <c r="AS2" s="5"/>
      <c r="AT2" s="5"/>
      <c r="AU2" s="5"/>
      <c r="AV2"/>
      <c r="AW2" s="141"/>
      <c r="AX2"/>
      <c r="AY2" s="146"/>
      <c r="AZ2" s="99" t="s">
        <v>15</v>
      </c>
      <c r="BA2" s="99" t="s">
        <v>69</v>
      </c>
      <c r="BB2" s="92" t="s">
        <v>12</v>
      </c>
      <c r="BC2" s="92" t="s">
        <v>13</v>
      </c>
      <c r="BD2" s="92" t="s">
        <v>14</v>
      </c>
      <c r="BE2" s="92" t="s">
        <v>113</v>
      </c>
      <c r="BF2" s="100"/>
      <c r="BG2" s="92"/>
      <c r="BH2" s="92"/>
      <c r="BI2" s="92"/>
      <c r="BJ2" s="92"/>
      <c r="BK2" s="92"/>
      <c r="BL2" s="92"/>
      <c r="BM2" s="92"/>
      <c r="BN2"/>
      <c r="BO2"/>
      <c r="BP2" s="5" t="s">
        <v>33</v>
      </c>
      <c r="BQ2" s="5">
        <f>IF(BP2=RIGHT($B$8,1),0,BQ1+1)</f>
        <v>1</v>
      </c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25.5" customHeight="1" thickBot="1" x14ac:dyDescent="0.3">
      <c r="A3" s="26">
        <f>MATCH(B3,K8:Z8,0)+10</f>
        <v>25</v>
      </c>
      <c r="B3" s="362" t="s">
        <v>19</v>
      </c>
      <c r="C3" s="363"/>
      <c r="D3" s="360">
        <f ca="1">INDIRECT(A2)</f>
        <v>120</v>
      </c>
      <c r="E3" s="361"/>
      <c r="F3" s="361"/>
      <c r="G3" s="84" t="str">
        <f>Setup!H4</f>
        <v>Kg</v>
      </c>
      <c r="H3" s="70">
        <f ca="1">ABS(D3)</f>
        <v>120</v>
      </c>
      <c r="I3" s="190">
        <f ca="1">-1*H3</f>
        <v>-120</v>
      </c>
      <c r="J3" s="204">
        <v>1</v>
      </c>
      <c r="K3" s="5"/>
      <c r="L3" s="5"/>
      <c r="M3" s="5"/>
      <c r="N3" s="5"/>
      <c r="O3" s="11"/>
      <c r="P3" s="18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59"/>
      <c r="AF3" s="87"/>
      <c r="AG3" s="86"/>
      <c r="AH3" s="87"/>
      <c r="AI3"/>
      <c r="AJ3" s="5"/>
      <c r="AK3"/>
      <c r="AL3"/>
      <c r="AM3" s="5"/>
      <c r="AN3" s="5"/>
      <c r="AQ3" s="5"/>
      <c r="AR3" s="146"/>
      <c r="AS3" s="5"/>
      <c r="AT3" s="5"/>
      <c r="AU3" s="5"/>
      <c r="AV3"/>
      <c r="AW3" s="141"/>
      <c r="AX3"/>
      <c r="AY3" s="146"/>
      <c r="AZ3" s="99" t="s">
        <v>21</v>
      </c>
      <c r="BA3" s="99" t="s">
        <v>69</v>
      </c>
      <c r="BB3" s="92" t="s">
        <v>17</v>
      </c>
      <c r="BC3" s="92" t="s">
        <v>18</v>
      </c>
      <c r="BD3" s="92" t="s">
        <v>19</v>
      </c>
      <c r="BE3" s="92" t="s">
        <v>20</v>
      </c>
      <c r="BF3" s="92"/>
      <c r="BG3" s="92"/>
      <c r="BH3" s="92"/>
      <c r="BI3" s="92"/>
      <c r="BJ3" s="92"/>
      <c r="BK3" s="92"/>
      <c r="BL3" s="92"/>
      <c r="BM3" s="92"/>
      <c r="BN3" s="92"/>
      <c r="BO3"/>
      <c r="BP3" s="5" t="s">
        <v>34</v>
      </c>
      <c r="BQ3" s="5">
        <f t="shared" ref="BQ3:BQ8" si="0">IF(BP3=RIGHT($B$8,1),0,BQ2+1)</f>
        <v>2</v>
      </c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s="28" customFormat="1" ht="25.5" customHeight="1" thickBot="1" x14ac:dyDescent="0.3">
      <c r="A4" s="27">
        <f ca="1">MATCH(B2,INDIRECT(A7),0)+9</f>
        <v>13</v>
      </c>
      <c r="B4" s="364" t="str">
        <f ca="1">IF(LEFT(B3,1)="D","",CONCATENATE("Rack - ",IF(LEFT(B3,2)=" S",INDIRECT(CONCATENATE("J",A4)),INDIRECT(CONCATENATE("P",A4)))))</f>
        <v/>
      </c>
      <c r="C4" s="365"/>
      <c r="D4" s="374">
        <f ca="1">IF(G4="Lb",2.2046*D3,D3/2.2046)</f>
        <v>264.55200000000002</v>
      </c>
      <c r="E4" s="374"/>
      <c r="F4" s="374"/>
      <c r="G4" s="187" t="str">
        <f>IF(G3="Kg","Lb","Kg")</f>
        <v>Lb</v>
      </c>
      <c r="H4" s="188" t="s">
        <v>696</v>
      </c>
      <c r="I4" s="191"/>
      <c r="J4" s="204">
        <v>60</v>
      </c>
      <c r="K4" s="5"/>
      <c r="L4" s="5"/>
      <c r="M4" s="5"/>
      <c r="N4" s="5"/>
      <c r="O4" s="5"/>
      <c r="P4" s="180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359"/>
      <c r="AF4" s="86"/>
      <c r="AG4" s="86"/>
      <c r="AH4" s="87"/>
      <c r="AI4"/>
      <c r="AJ4" s="5"/>
      <c r="AK4"/>
      <c r="AL4"/>
      <c r="AM4" s="5"/>
      <c r="AN4" s="5"/>
      <c r="AQ4" s="5"/>
      <c r="AR4" s="146"/>
      <c r="AS4" s="5"/>
      <c r="AT4" s="5"/>
      <c r="AU4" s="5"/>
      <c r="AV4"/>
      <c r="AW4" s="141"/>
      <c r="AX4"/>
      <c r="AY4" s="146"/>
      <c r="AZ4" s="99" t="s">
        <v>11</v>
      </c>
      <c r="BA4" s="99" t="s">
        <v>69</v>
      </c>
      <c r="BB4" s="92" t="s">
        <v>22</v>
      </c>
      <c r="BC4" s="92" t="s">
        <v>23</v>
      </c>
      <c r="BD4" s="92" t="s">
        <v>24</v>
      </c>
      <c r="BE4" s="92" t="s">
        <v>25</v>
      </c>
      <c r="BF4" s="92"/>
      <c r="BG4" s="92"/>
      <c r="BH4" s="92"/>
      <c r="BI4" s="92"/>
      <c r="BJ4" s="92"/>
      <c r="BK4" s="92"/>
      <c r="BL4" s="92"/>
      <c r="BM4" s="92"/>
      <c r="BN4"/>
      <c r="BO4"/>
      <c r="BP4" s="5" t="s">
        <v>35</v>
      </c>
      <c r="BQ4" s="5">
        <f t="shared" si="0"/>
        <v>3</v>
      </c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customFormat="1" ht="21" customHeight="1" thickBot="1" x14ac:dyDescent="0.3">
      <c r="A5" s="29" t="str">
        <f ca="1">CONCATENATE(IF(AND($A$3&gt;10,$A$3&lt;15),"O",IF(AND($A$3&gt;16,$A$3&lt;21),"U","AA")),$A$4)</f>
        <v>AA13</v>
      </c>
      <c r="B5" s="193"/>
      <c r="C5" s="194"/>
      <c r="D5" s="194"/>
      <c r="E5" s="194"/>
      <c r="F5" s="369" t="s">
        <v>159</v>
      </c>
      <c r="G5" s="369"/>
      <c r="H5" s="194"/>
      <c r="I5" s="195"/>
      <c r="J5" s="205">
        <v>6.9444444444444441E-3</v>
      </c>
      <c r="K5" s="5"/>
      <c r="L5" s="5"/>
      <c r="M5" s="5"/>
      <c r="N5" s="5"/>
      <c r="O5" s="5"/>
      <c r="P5" s="18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359"/>
      <c r="AF5" s="86"/>
      <c r="AG5" s="86"/>
      <c r="AH5" s="87"/>
      <c r="AJ5" s="5"/>
      <c r="AM5" s="5"/>
      <c r="AN5" s="5"/>
      <c r="AQ5" s="5"/>
      <c r="AR5" s="146"/>
      <c r="AS5" s="5"/>
      <c r="AT5" s="5"/>
      <c r="AU5" s="5"/>
      <c r="AW5" s="141"/>
      <c r="AY5" s="146"/>
      <c r="AZ5" s="99" t="s">
        <v>68</v>
      </c>
      <c r="BA5" s="99" t="s">
        <v>70</v>
      </c>
      <c r="BB5" s="92" t="s">
        <v>22</v>
      </c>
      <c r="BC5" s="92" t="s">
        <v>23</v>
      </c>
      <c r="BD5" s="92" t="s">
        <v>24</v>
      </c>
      <c r="BE5" s="92" t="s">
        <v>25</v>
      </c>
      <c r="BF5" s="92" t="s">
        <v>12</v>
      </c>
      <c r="BG5" s="92" t="s">
        <v>13</v>
      </c>
      <c r="BH5" s="92" t="s">
        <v>14</v>
      </c>
      <c r="BI5" s="92" t="s">
        <v>113</v>
      </c>
      <c r="BJ5" s="92" t="s">
        <v>17</v>
      </c>
      <c r="BK5" s="92" t="s">
        <v>18</v>
      </c>
      <c r="BL5" s="92" t="s">
        <v>19</v>
      </c>
      <c r="BM5" s="92" t="s">
        <v>20</v>
      </c>
      <c r="BP5" s="5" t="s">
        <v>121</v>
      </c>
      <c r="BQ5" s="5">
        <f t="shared" si="0"/>
        <v>4</v>
      </c>
    </row>
    <row r="6" spans="1:176" customFormat="1" ht="21" customHeight="1" thickBot="1" x14ac:dyDescent="0.3">
      <c r="A6" s="29" t="str">
        <f>CONCATENATE(IF(AND($A$3&gt;10,$A$3&lt;15),"O",IF(AND($A$3&gt;16,$A$3&lt;21),"U","AA")),1)</f>
        <v>AA1</v>
      </c>
      <c r="B6" s="189"/>
      <c r="C6" s="189"/>
      <c r="D6" s="189"/>
      <c r="E6" s="189"/>
      <c r="F6" s="189"/>
      <c r="G6" s="189"/>
      <c r="J6" s="11"/>
      <c r="K6" s="5"/>
      <c r="L6" s="5"/>
      <c r="M6" s="5"/>
      <c r="N6" s="5"/>
      <c r="O6" s="5"/>
      <c r="P6" s="180"/>
      <c r="Q6" s="5"/>
      <c r="V6" s="5"/>
      <c r="W6" s="5"/>
      <c r="X6" s="5"/>
      <c r="Y6" s="5"/>
      <c r="Z6" s="5"/>
      <c r="AA6" s="5"/>
      <c r="AB6" s="5"/>
      <c r="AC6" s="5"/>
      <c r="AD6" s="5"/>
      <c r="AE6" s="359"/>
      <c r="AF6" s="87">
        <f ca="1">A1+10</f>
        <v>24</v>
      </c>
      <c r="AG6" s="92"/>
      <c r="AH6" s="87"/>
      <c r="AJ6" s="5"/>
      <c r="AM6" s="5"/>
      <c r="AN6" s="5"/>
      <c r="AO6" s="5"/>
      <c r="AP6" s="5"/>
      <c r="AQ6" s="5"/>
      <c r="AR6" s="146"/>
      <c r="AS6" s="5"/>
      <c r="AT6" s="5"/>
      <c r="AU6" s="5"/>
      <c r="AW6" s="141"/>
      <c r="AY6" s="146"/>
      <c r="AZ6" s="99" t="s">
        <v>67</v>
      </c>
      <c r="BA6" s="99" t="s">
        <v>71</v>
      </c>
      <c r="BB6" s="92" t="s">
        <v>12</v>
      </c>
      <c r="BC6" s="92" t="s">
        <v>13</v>
      </c>
      <c r="BD6" s="92" t="s">
        <v>14</v>
      </c>
      <c r="BE6" s="92" t="s">
        <v>113</v>
      </c>
      <c r="BF6" s="92" t="s">
        <v>17</v>
      </c>
      <c r="BG6" s="92" t="s">
        <v>18</v>
      </c>
      <c r="BH6" s="92" t="s">
        <v>19</v>
      </c>
      <c r="BI6" s="92" t="s">
        <v>20</v>
      </c>
      <c r="BJ6" s="100"/>
      <c r="BK6" s="92"/>
      <c r="BL6" s="92"/>
      <c r="BM6" s="92"/>
      <c r="BP6" s="5" t="s">
        <v>122</v>
      </c>
      <c r="BQ6" s="5">
        <f t="shared" si="0"/>
        <v>5</v>
      </c>
    </row>
    <row r="7" spans="1:176" customFormat="1" ht="21" hidden="1" customHeight="1" thickBot="1" x14ac:dyDescent="0.3">
      <c r="A7" s="30" t="str">
        <f ca="1">CONCATENATE("$C$10:$C$",A1+9)</f>
        <v>$C$10:$C$23</v>
      </c>
      <c r="B7" s="71"/>
      <c r="C7" s="71"/>
      <c r="D7" s="71"/>
      <c r="E7" s="71"/>
      <c r="F7" s="71"/>
      <c r="G7" s="71"/>
      <c r="H7" s="71"/>
      <c r="I7" s="71"/>
      <c r="J7" s="205"/>
      <c r="K7" s="5"/>
      <c r="L7" s="5"/>
      <c r="M7" s="5"/>
      <c r="N7" s="5"/>
      <c r="O7" s="5"/>
      <c r="P7" s="18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87">
        <v>34</v>
      </c>
      <c r="AG7" s="88" t="str">
        <f>CONCATENATE("$AG$9:$AG$",$AF$7)</f>
        <v>$AG$9:$AG$34</v>
      </c>
      <c r="AH7" s="87"/>
      <c r="AI7" s="23"/>
      <c r="AJ7" s="5" t="str">
        <f>IF($AB$8="PL Total","PL",IF($AB$8="Push Pull Total","PP",IF($AB$8="Best Squat","SQ",IF($AB$8="Best Bench","BP","DL"))))</f>
        <v>PP</v>
      </c>
      <c r="AM7" s="5"/>
      <c r="AN7" s="5"/>
      <c r="AO7" s="5"/>
      <c r="AP7" s="5"/>
      <c r="AQ7" s="5"/>
      <c r="AR7" s="146"/>
      <c r="AS7" s="5" t="str">
        <f>CONCATENATE("AR10:AR",AF7)</f>
        <v>AR10:AR34</v>
      </c>
      <c r="AT7" s="5"/>
      <c r="AU7" s="5" t="str">
        <f>CONCATENATE("AT10:AT",AF7)</f>
        <v>AT10:AT34</v>
      </c>
      <c r="AW7" s="141"/>
      <c r="AY7" s="146"/>
      <c r="AZ7" s="97"/>
      <c r="BA7" s="97"/>
      <c r="BB7" s="98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P7" s="5" t="s">
        <v>123</v>
      </c>
      <c r="BQ7" s="5">
        <f t="shared" si="0"/>
        <v>6</v>
      </c>
    </row>
    <row r="8" spans="1:176" s="79" customFormat="1" ht="28.5" customHeight="1" thickBot="1" x14ac:dyDescent="0.3">
      <c r="A8" s="73" t="s">
        <v>31</v>
      </c>
      <c r="B8" s="74" t="s">
        <v>695</v>
      </c>
      <c r="C8" s="75" t="s">
        <v>0</v>
      </c>
      <c r="D8" s="76" t="s">
        <v>1</v>
      </c>
      <c r="E8" s="77" t="s">
        <v>29</v>
      </c>
      <c r="F8" s="77" t="str">
        <f>Setup!K6</f>
        <v>BWt (Kg)</v>
      </c>
      <c r="G8" s="77" t="str">
        <f>IF(F8="BWt (Kg)","WtCls (Kg)","WtCls (Lb)")</f>
        <v>WtCls (Kg)</v>
      </c>
      <c r="H8" s="83" t="str">
        <f>Setup!K30</f>
        <v>Glossbrenner</v>
      </c>
      <c r="I8" s="77" t="s">
        <v>2</v>
      </c>
      <c r="J8" s="76" t="s">
        <v>26</v>
      </c>
      <c r="K8" s="78" t="s">
        <v>22</v>
      </c>
      <c r="L8" s="78" t="s">
        <v>23</v>
      </c>
      <c r="M8" s="78" t="s">
        <v>24</v>
      </c>
      <c r="N8" s="78" t="s">
        <v>25</v>
      </c>
      <c r="O8" s="77" t="s">
        <v>11</v>
      </c>
      <c r="P8" s="181" t="s">
        <v>27</v>
      </c>
      <c r="Q8" s="78" t="s">
        <v>12</v>
      </c>
      <c r="R8" s="78" t="s">
        <v>13</v>
      </c>
      <c r="S8" s="78" t="s">
        <v>14</v>
      </c>
      <c r="T8" s="78" t="s">
        <v>113</v>
      </c>
      <c r="U8" s="77" t="s">
        <v>15</v>
      </c>
      <c r="V8" s="77" t="s">
        <v>16</v>
      </c>
      <c r="W8" s="78" t="s">
        <v>17</v>
      </c>
      <c r="X8" s="78" t="s">
        <v>18</v>
      </c>
      <c r="Y8" s="78" t="s">
        <v>19</v>
      </c>
      <c r="Z8" s="78" t="s">
        <v>20</v>
      </c>
      <c r="AA8" s="78" t="s">
        <v>21</v>
      </c>
      <c r="AB8" s="89" t="s">
        <v>67</v>
      </c>
      <c r="AC8" s="77" t="s">
        <v>90</v>
      </c>
      <c r="AD8" s="77" t="s">
        <v>95</v>
      </c>
      <c r="AE8" s="77" t="s">
        <v>134</v>
      </c>
      <c r="AF8" s="77" t="s">
        <v>30</v>
      </c>
      <c r="AG8" s="77" t="s">
        <v>135</v>
      </c>
      <c r="AH8" s="93" t="s">
        <v>44</v>
      </c>
      <c r="AI8" s="93" t="s">
        <v>101</v>
      </c>
      <c r="AJ8" s="93" t="s">
        <v>102</v>
      </c>
      <c r="AK8" s="93" t="s">
        <v>36</v>
      </c>
      <c r="AL8" s="93" t="s">
        <v>38</v>
      </c>
      <c r="AM8" s="93" t="s">
        <v>68</v>
      </c>
      <c r="AN8" s="107" t="s">
        <v>67</v>
      </c>
      <c r="AO8" s="93" t="s">
        <v>112</v>
      </c>
      <c r="AP8" s="93"/>
      <c r="AQ8" s="93" t="s">
        <v>111</v>
      </c>
      <c r="AR8" s="147" t="s">
        <v>98</v>
      </c>
      <c r="AS8" s="93" t="s">
        <v>99</v>
      </c>
      <c r="AT8" s="93" t="s">
        <v>136</v>
      </c>
      <c r="AU8" s="93" t="s">
        <v>137</v>
      </c>
      <c r="AV8" s="93" t="s">
        <v>138</v>
      </c>
      <c r="AW8" s="142" t="s">
        <v>144</v>
      </c>
      <c r="AX8" s="79" t="s">
        <v>145</v>
      </c>
      <c r="AY8" s="147" t="s">
        <v>147</v>
      </c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5" t="s">
        <v>124</v>
      </c>
      <c r="BQ8" s="5">
        <f t="shared" si="0"/>
        <v>7</v>
      </c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 t="s">
        <v>80</v>
      </c>
      <c r="CK8" s="93" t="s">
        <v>22</v>
      </c>
      <c r="CL8" s="93" t="s">
        <v>23</v>
      </c>
      <c r="CM8" s="93" t="s">
        <v>24</v>
      </c>
      <c r="CN8" s="93" t="s">
        <v>25</v>
      </c>
      <c r="CO8" s="93" t="s">
        <v>11</v>
      </c>
      <c r="CP8" s="93" t="s">
        <v>27</v>
      </c>
      <c r="CQ8" s="93" t="s">
        <v>12</v>
      </c>
      <c r="CR8" s="93" t="s">
        <v>13</v>
      </c>
      <c r="CS8" s="93" t="s">
        <v>14</v>
      </c>
      <c r="CT8" s="93" t="s">
        <v>28</v>
      </c>
      <c r="CU8" s="93" t="s">
        <v>15</v>
      </c>
      <c r="CV8" s="93" t="s">
        <v>16</v>
      </c>
      <c r="CW8" s="93" t="s">
        <v>17</v>
      </c>
      <c r="CX8" s="93" t="s">
        <v>18</v>
      </c>
      <c r="CY8" s="93" t="s">
        <v>19</v>
      </c>
      <c r="CZ8" s="93" t="s">
        <v>20</v>
      </c>
      <c r="DA8" s="93" t="s">
        <v>21</v>
      </c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</row>
    <row r="9" spans="1:176" s="23" customFormat="1" hidden="1" x14ac:dyDescent="0.25">
      <c r="A9" s="1" t="str">
        <f>IF(K9,ABS(K9)+0.0001*I9,"")</f>
        <v/>
      </c>
      <c r="B9" s="15"/>
      <c r="C9" s="177"/>
      <c r="D9" s="15"/>
      <c r="E9" s="15"/>
      <c r="F9" s="15"/>
      <c r="G9" s="31" t="str">
        <f>IF(OR(E9="",F9=""),"",IF(LEFT(E9,1)="M",VLOOKUP(F9,Setup!$J$9:$K$23,2,TRUE),VLOOKUP(F9,Setup!$L$9:$M$23,2,TRUE)))</f>
        <v/>
      </c>
      <c r="H9" s="31">
        <f>IF(F9="",0,VLOOKUP(AL9,DATA!$L$2:$N$1910,IF(LEFT(E9,1)="F",3,2)))</f>
        <v>0</v>
      </c>
      <c r="I9" s="15"/>
      <c r="J9" s="15"/>
      <c r="K9" s="102"/>
      <c r="L9" s="102"/>
      <c r="M9" s="102"/>
      <c r="N9" s="102"/>
      <c r="O9" s="103">
        <f t="shared" ref="O9" si="1">IF(MAX(CK9:CM9)&gt;0,MAX(ABS(K9)*CK9,ABS(L9)*CL9,CM9*ABS(M9)),0)</f>
        <v>0</v>
      </c>
      <c r="P9" s="182"/>
      <c r="Q9" s="102"/>
      <c r="R9" s="102"/>
      <c r="S9" s="102"/>
      <c r="T9" s="102"/>
      <c r="U9" s="103">
        <f t="shared" ref="U9" si="2">IF(MAX(CQ9:CS9)&gt;0,MAX(ABS(Q9)*CQ9,ABS(R9)*CR9,CS9*ABS(S9)),0)</f>
        <v>0</v>
      </c>
      <c r="V9" s="104">
        <f t="shared" ref="V9" si="3">IF(OR(O9=0,U9=0),0,O9+U9)</f>
        <v>0</v>
      </c>
      <c r="W9" s="102"/>
      <c r="X9" s="102"/>
      <c r="Y9" s="102"/>
      <c r="Z9" s="102"/>
      <c r="AA9" s="103">
        <f t="shared" ref="AA9" si="4">IF(MAX(CW9:CY9)&gt;0,MAX(ABS(W9)*CW9,ABS(X9)*CX9,CY9*ABS(Y9)),0)</f>
        <v>0</v>
      </c>
      <c r="AB9" s="104">
        <f t="shared" ref="AB9" si="5">AJ9*IF($AB$8="PL Total",AM9,IF($AB$8="Push Pull Total",AN9,IF($AB$8="Best Squat",O9,IF($AB$8="Best Bench",U9,AA9))))</f>
        <v>0</v>
      </c>
      <c r="AC9" s="105">
        <f t="shared" ref="AC9" si="6">IF(OR(F9="",AB9=0),0,H9*IF(AND($G$3="Lb",$H$8="Wilks"),AB9/2.2046,AB9))</f>
        <v>0</v>
      </c>
      <c r="AD9" s="105">
        <f>IF(OR(AB9=0,D9="",D9&lt;40),0,VLOOKUP($D9,DATA!$A$2:$B$53,2,TRUE)*AC9)</f>
        <v>0</v>
      </c>
      <c r="AE9" s="156" t="str">
        <f ca="1">IF(E9="","",OFFSET(Setup!$Q$1,MATCH(E9,Setup!O:O,0)-1,0))</f>
        <v/>
      </c>
      <c r="AF9" s="103">
        <f t="shared" ref="AF9" ca="1" si="7">IF(OR(AB9=0,AR9=0),0,CONCATENATE(AV9,"-",E9,IF(AE9=1,"-",""),IF(AE9=1,IF(G9="SHW",G9,ROUND(G9,1)),"")))</f>
        <v>0</v>
      </c>
      <c r="AG9" s="31">
        <f>IF(OR(AB9=0),0,VLOOKUP(AV9,Setup!$S$6:$T$15,2,TRUE))</f>
        <v>0</v>
      </c>
      <c r="AH9" s="106"/>
      <c r="AI9" s="101" t="s">
        <v>667</v>
      </c>
      <c r="AJ9" s="94">
        <f t="shared" ref="AJ9" si="8">IF(ISERROR(FIND($AJ$7,AI9)),0,1)</f>
        <v>1</v>
      </c>
      <c r="AK9" s="31" t="str">
        <f t="shared" ref="AK9" si="9">IF(B9="","",VLOOKUP(B9,$BP$1:$BQ$8,2,FALSE))</f>
        <v/>
      </c>
      <c r="AL9" s="22">
        <f t="shared" ref="AL9" si="10">ROUND(IF($F$8="BWt (Kg)",F9,F9/2.2046),1)</f>
        <v>0</v>
      </c>
      <c r="AM9" s="22">
        <f t="shared" ref="AM9" si="11">IF(OR(O9=0,U9=0,AA9=0),0,O9+U9+AA9)</f>
        <v>0</v>
      </c>
      <c r="AN9" s="22">
        <f t="shared" ref="AN9" si="12">IF(OR(U9=0,AA9=0),0,U9+AA9)</f>
        <v>0</v>
      </c>
      <c r="AO9" s="22" t="str">
        <f t="shared" ref="AO9" si="13">IF(E9="","",LEFT(E9,1))</f>
        <v/>
      </c>
      <c r="AP9" s="22"/>
      <c r="AQ9" s="23">
        <f t="shared" ref="AQ9" si="14">IF(OR(ISERROR(E9),F9="",ISERROR(G9),AB9=0),0,1)</f>
        <v>0</v>
      </c>
      <c r="AR9" s="175">
        <f t="shared" ref="AR9" ca="1" si="15">IF(OR(ISERROR(AY9),ISERROR(AX9)),0,AY9)</f>
        <v>0</v>
      </c>
      <c r="AS9" s="22" t="e">
        <f t="shared" ref="AS9" ca="1" si="16">RANK(AR9,INDIRECT($AS$7))</f>
        <v>#N/A</v>
      </c>
      <c r="AT9" s="139">
        <f t="shared" ref="AT9" ca="1" si="17">INT(AR9/1000000)</f>
        <v>0</v>
      </c>
      <c r="AU9" s="85" t="e">
        <f t="shared" ref="AU9" ca="1" si="18">RANK(AT9,INDIRECT($AU$7))</f>
        <v>#N/A</v>
      </c>
      <c r="AV9" s="85" t="e">
        <f t="shared" ref="AV9" ca="1" si="19">AS9-AU9+1</f>
        <v>#N/A</v>
      </c>
      <c r="AW9" s="143">
        <f t="shared" ref="AW9" si="20">F9</f>
        <v>0</v>
      </c>
      <c r="AX9" s="22">
        <f t="shared" ref="AX9" si="21">RANK(AW9,AW:AW)</f>
        <v>26</v>
      </c>
      <c r="AY9" s="175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1"/>
      <c r="BA9" s="31"/>
      <c r="BB9" s="31"/>
      <c r="BC9" s="31"/>
      <c r="BD9" s="31"/>
      <c r="BE9" s="31"/>
      <c r="BF9" s="31"/>
      <c r="BG9" s="31"/>
      <c r="BH9" s="72"/>
      <c r="BI9" s="72"/>
      <c r="BJ9" s="72"/>
      <c r="BK9" s="72"/>
      <c r="BL9" s="72"/>
      <c r="BM9" s="72"/>
      <c r="BN9" s="25"/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</row>
    <row r="10" spans="1:176" s="23" customFormat="1" x14ac:dyDescent="0.25">
      <c r="A10" s="1">
        <f t="shared" ref="A10:A23" si="22">IF(Y10,ABS(Y10+0.0001*I10),"")</f>
        <v>85</v>
      </c>
      <c r="B10" s="15" t="s">
        <v>32</v>
      </c>
      <c r="C10" s="177" t="s">
        <v>670</v>
      </c>
      <c r="D10" s="15">
        <v>14</v>
      </c>
      <c r="E10" s="15" t="s">
        <v>264</v>
      </c>
      <c r="F10" s="15">
        <v>51.6</v>
      </c>
      <c r="G10" s="31">
        <f>IF(OR(E10="",F10=""),"",IF(LEFT(E10,1)="M",VLOOKUP(F10,Setup!$J$9:$K$23,2,TRUE),VLOOKUP(F10,Setup!$L$9:$M$23,2,TRUE)))</f>
        <v>52</v>
      </c>
      <c r="H10" s="31">
        <f>IF(F10="",0,VLOOKUP(AL10,DATA!$L$2:$N$1910,IF(LEFT(E10,1)="F",3,2)))</f>
        <v>1.1144000000000001</v>
      </c>
      <c r="I10" s="15"/>
      <c r="J10" s="15"/>
      <c r="K10" s="102"/>
      <c r="L10" s="102"/>
      <c r="M10" s="102"/>
      <c r="N10" s="102"/>
      <c r="O10" s="103">
        <f t="shared" ref="O10:O34" si="23">IF(MAX(CK10:CM10)&gt;0,MAX(ABS(K10)*CK10,ABS(L10)*CL10,CM10*ABS(M10)),0)</f>
        <v>0</v>
      </c>
      <c r="P10" s="182">
        <v>12</v>
      </c>
      <c r="Q10" s="249">
        <v>-52.5</v>
      </c>
      <c r="R10" s="102">
        <v>-55</v>
      </c>
      <c r="S10" s="102">
        <v>-57.5</v>
      </c>
      <c r="T10" s="102"/>
      <c r="U10" s="103">
        <f t="shared" ref="U10:U34" si="24">IF(MAX(CQ10:CS10)&gt;0,MAX(ABS(Q10)*CQ10,ABS(R10)*CR10,CS10*ABS(S10)),0)</f>
        <v>0</v>
      </c>
      <c r="V10" s="104">
        <f t="shared" ref="V10:V34" si="25">IF(OR(O10=0,U10=0),0,O10+U10)</f>
        <v>0</v>
      </c>
      <c r="W10" s="249">
        <v>70</v>
      </c>
      <c r="X10" s="249">
        <v>80</v>
      </c>
      <c r="Y10" s="249">
        <v>85</v>
      </c>
      <c r="Z10" s="102"/>
      <c r="AA10" s="103">
        <f t="shared" ref="AA10:AA34" si="26">IF(MAX(CW10:CY10)&gt;0,MAX(ABS(W10)*CW10,ABS(X10)*CX10,CY10*ABS(Y10)),0)</f>
        <v>85</v>
      </c>
      <c r="AB10" s="104">
        <f t="shared" ref="AB10:AB34" si="27">AJ10*IF($AB$8="PL Total",AM10,IF($AB$8="Push Pull Total",AN10,IF($AB$8="Best Squat",O10,IF($AB$8="Best Bench",U10,AA10))))</f>
        <v>0</v>
      </c>
      <c r="AC10" s="105">
        <f t="shared" ref="AC10:AC34" si="28">IF(OR(F10="",AB10=0),0,H10*IF(AND($G$3="Lb",$H$8="Wilks"),AB10/2.2046,AB10))</f>
        <v>0</v>
      </c>
      <c r="AD10" s="105">
        <f>IF(OR(AB10=0,D10="",D10&lt;40),0,VLOOKUP($D10,DATA!$A$2:$B$53,2,TRUE)*AC10)</f>
        <v>0</v>
      </c>
      <c r="AE10" s="156">
        <v>1</v>
      </c>
      <c r="AF10" s="103">
        <f t="shared" ref="AF10:AF34" ca="1" si="29">IF(OR(AB10=0,AR10=0),0,CONCATENATE(AV10,"-",E10,IF(AE10=1,"-",""),IF(AE10=1,IF(G10="SHW",G10,ROUND(G10,1)),"")))</f>
        <v>0</v>
      </c>
      <c r="AG10" s="31">
        <f>IF(OR(AB10=0),0,VLOOKUP(AV10,Setup!$S$6:$T$15,2,TRUE))</f>
        <v>0</v>
      </c>
      <c r="AH10" s="106"/>
      <c r="AI10" s="101" t="s">
        <v>667</v>
      </c>
      <c r="AJ10" s="94">
        <f t="shared" ref="AJ10:AJ34" si="30">IF(ISERROR(FIND($AJ$7,AI10)),0,1)</f>
        <v>1</v>
      </c>
      <c r="AK10" s="31">
        <f t="shared" ref="AK10:AK34" si="31">IF(B10="","",VLOOKUP(B10,$BP$1:$BQ$8,2,FALSE))</f>
        <v>0</v>
      </c>
      <c r="AL10" s="22">
        <f t="shared" ref="AL10:AL34" si="32">ROUND(IF($F$8="BWt (Kg)",F10,F10/2.2046),1)</f>
        <v>51.6</v>
      </c>
      <c r="AM10" s="22">
        <f t="shared" ref="AM10:AM34" si="33">IF(OR(O10=0,U10=0,AA10=0),0,O10+U10+AA10)</f>
        <v>0</v>
      </c>
      <c r="AN10" s="22">
        <f t="shared" ref="AN10:AN34" si="34">IF(OR(U10=0,AA10=0),0,U10+AA10)</f>
        <v>0</v>
      </c>
      <c r="AO10" s="22" t="str">
        <f t="shared" ref="AO10:AO34" si="35">IF(E10="","",LEFT(E10,1))</f>
        <v>F</v>
      </c>
      <c r="AP10" s="22"/>
      <c r="AQ10" s="23">
        <f t="shared" ref="AQ10:AQ34" si="36">IF(OR(ISERROR(E10),F10="",ISERROR(G10),AB10=0),0,1)</f>
        <v>0</v>
      </c>
      <c r="AR10" s="175">
        <f t="shared" ref="AR10:AR34" ca="1" si="37">IF(OR(ISERROR(AY10),ISERROR(AX10)),0,AY10)</f>
        <v>12913000000</v>
      </c>
      <c r="AS10" s="22">
        <f t="shared" ref="AS10:AS34" ca="1" si="38">RANK(AR10,INDIRECT($AS$7))</f>
        <v>6</v>
      </c>
      <c r="AT10" s="139">
        <f t="shared" ref="AT10:AT34" ca="1" si="39">INT(AR10/1000000)</f>
        <v>12913</v>
      </c>
      <c r="AU10" s="85">
        <f t="shared" ref="AU10:AU34" ca="1" si="40">RANK(AT10,INDIRECT($AU$7))</f>
        <v>6</v>
      </c>
      <c r="AV10" s="85">
        <f t="shared" ref="AV10:AV34" ca="1" si="41">AS10-AU10+1</f>
        <v>1</v>
      </c>
      <c r="AW10" s="143">
        <f t="shared" ref="AW10:AW34" si="42">F10</f>
        <v>51.6</v>
      </c>
      <c r="AX10" s="22">
        <f t="shared" ref="AX10:AX34" si="43">RANK(AW10,AW:AW)</f>
        <v>24</v>
      </c>
      <c r="AY10" s="175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12913000000</v>
      </c>
      <c r="AZ10" s="31"/>
      <c r="BA10" s="31"/>
      <c r="BB10" s="31"/>
      <c r="BC10" s="31"/>
      <c r="BD10" s="31"/>
      <c r="BE10" s="31"/>
      <c r="BF10" s="31"/>
      <c r="BG10" s="31"/>
      <c r="BH10" s="72"/>
      <c r="BI10" s="72"/>
      <c r="BJ10" s="72"/>
      <c r="BK10" s="72"/>
      <c r="BL10" s="72"/>
      <c r="BM10" s="72"/>
      <c r="BN10" s="25"/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-1</v>
      </c>
      <c r="CR10" s="23">
        <v>-1</v>
      </c>
      <c r="CS10" s="23">
        <v>-1</v>
      </c>
      <c r="CT10" s="23">
        <v>0</v>
      </c>
      <c r="CU10" s="23">
        <v>0</v>
      </c>
      <c r="CV10" s="23">
        <v>0</v>
      </c>
      <c r="CW10" s="23">
        <v>1</v>
      </c>
      <c r="CX10" s="23">
        <v>1</v>
      </c>
      <c r="CY10" s="23">
        <v>1</v>
      </c>
      <c r="CZ10" s="23">
        <v>0</v>
      </c>
    </row>
    <row r="11" spans="1:176" s="23" customFormat="1" x14ac:dyDescent="0.25">
      <c r="A11" s="1">
        <f t="shared" si="22"/>
        <v>85</v>
      </c>
      <c r="B11" s="15" t="s">
        <v>32</v>
      </c>
      <c r="C11" s="177" t="s">
        <v>671</v>
      </c>
      <c r="D11" s="15">
        <v>14</v>
      </c>
      <c r="E11" s="15" t="s">
        <v>264</v>
      </c>
      <c r="F11" s="15">
        <v>51.6</v>
      </c>
      <c r="G11" s="31">
        <f>IF(OR(E11="",F11=""),"",IF(LEFT(E11,1)="M",VLOOKUP(F11,Setup!$J$9:$K$23,2,TRUE),VLOOKUP(F11,Setup!$L$9:$M$23,2,TRUE)))</f>
        <v>52</v>
      </c>
      <c r="H11" s="31">
        <f>IF(F11="",0,VLOOKUP(AL11,DATA!$L$2:$N$1910,IF(LEFT(E11,1)="F",3,2)))</f>
        <v>1.1144000000000001</v>
      </c>
      <c r="I11" s="15"/>
      <c r="J11" s="15"/>
      <c r="K11" s="102"/>
      <c r="L11" s="102"/>
      <c r="M11" s="102"/>
      <c r="N11" s="102"/>
      <c r="O11" s="103">
        <f t="shared" si="23"/>
        <v>0</v>
      </c>
      <c r="P11" s="182">
        <v>12</v>
      </c>
      <c r="Q11" s="249">
        <v>-52.5</v>
      </c>
      <c r="R11" s="102">
        <v>-55</v>
      </c>
      <c r="S11" s="102">
        <v>-57.5</v>
      </c>
      <c r="T11" s="102"/>
      <c r="U11" s="103">
        <f t="shared" si="24"/>
        <v>0</v>
      </c>
      <c r="V11" s="104">
        <f t="shared" si="25"/>
        <v>0</v>
      </c>
      <c r="W11" s="249">
        <v>70</v>
      </c>
      <c r="X11" s="249">
        <v>80</v>
      </c>
      <c r="Y11" s="249">
        <v>85</v>
      </c>
      <c r="Z11" s="102"/>
      <c r="AA11" s="103">
        <f t="shared" si="26"/>
        <v>85</v>
      </c>
      <c r="AB11" s="104">
        <f t="shared" si="27"/>
        <v>0</v>
      </c>
      <c r="AC11" s="105">
        <f t="shared" si="28"/>
        <v>0</v>
      </c>
      <c r="AD11" s="105">
        <f>IF(OR(AB11=0,D11="",D11&lt;40),0,VLOOKUP($D11,DATA!$A$2:$B$53,2,TRUE)*AC11)</f>
        <v>0</v>
      </c>
      <c r="AE11" s="156">
        <v>1</v>
      </c>
      <c r="AF11" s="103">
        <f t="shared" ca="1" si="29"/>
        <v>0</v>
      </c>
      <c r="AG11" s="31">
        <f>IF(OR(AB11=0),0,VLOOKUP(AV11,Setup!$S$6:$T$15,2,TRUE))</f>
        <v>0</v>
      </c>
      <c r="AH11" s="106"/>
      <c r="AI11" s="101" t="s">
        <v>667</v>
      </c>
      <c r="AJ11" s="94">
        <f t="shared" si="30"/>
        <v>1</v>
      </c>
      <c r="AK11" s="31">
        <f t="shared" si="31"/>
        <v>0</v>
      </c>
      <c r="AL11" s="22">
        <f t="shared" si="32"/>
        <v>51.6</v>
      </c>
      <c r="AM11" s="22">
        <f t="shared" si="33"/>
        <v>0</v>
      </c>
      <c r="AN11" s="22">
        <f t="shared" si="34"/>
        <v>0</v>
      </c>
      <c r="AO11" s="22" t="str">
        <f t="shared" si="35"/>
        <v>F</v>
      </c>
      <c r="AP11" s="22"/>
      <c r="AQ11" s="23">
        <f t="shared" si="36"/>
        <v>0</v>
      </c>
      <c r="AR11" s="175">
        <f t="shared" ca="1" si="37"/>
        <v>12913000000</v>
      </c>
      <c r="AS11" s="22">
        <f t="shared" ca="1" si="38"/>
        <v>6</v>
      </c>
      <c r="AT11" s="139">
        <f t="shared" ca="1" si="39"/>
        <v>12913</v>
      </c>
      <c r="AU11" s="85">
        <f t="shared" ca="1" si="40"/>
        <v>6</v>
      </c>
      <c r="AV11" s="85">
        <f t="shared" ca="1" si="41"/>
        <v>1</v>
      </c>
      <c r="AW11" s="143">
        <f t="shared" si="42"/>
        <v>51.6</v>
      </c>
      <c r="AX11" s="22">
        <f t="shared" si="43"/>
        <v>24</v>
      </c>
      <c r="AY11" s="175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12913000000</v>
      </c>
      <c r="AZ11" s="31"/>
      <c r="BA11" s="31"/>
      <c r="BB11" s="31"/>
      <c r="BC11" s="31"/>
      <c r="BD11" s="31"/>
      <c r="BE11" s="31"/>
      <c r="BF11" s="31"/>
      <c r="BG11" s="31"/>
      <c r="BH11" s="72"/>
      <c r="BI11" s="72"/>
      <c r="BJ11" s="72"/>
      <c r="BK11" s="72"/>
      <c r="BL11" s="72"/>
      <c r="BM11" s="72"/>
      <c r="BN11" s="25"/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-1</v>
      </c>
      <c r="CR11" s="23">
        <v>-1</v>
      </c>
      <c r="CS11" s="23">
        <v>-1</v>
      </c>
      <c r="CT11" s="23">
        <v>0</v>
      </c>
      <c r="CU11" s="23">
        <v>0</v>
      </c>
      <c r="CV11" s="23">
        <v>0</v>
      </c>
      <c r="CW11" s="23">
        <v>1</v>
      </c>
      <c r="CX11" s="23">
        <v>1</v>
      </c>
      <c r="CY11" s="23">
        <v>1</v>
      </c>
      <c r="CZ11" s="23">
        <v>0</v>
      </c>
    </row>
    <row r="12" spans="1:176" s="23" customFormat="1" x14ac:dyDescent="0.25">
      <c r="A12" s="1">
        <f t="shared" si="22"/>
        <v>100</v>
      </c>
      <c r="B12" s="15" t="s">
        <v>32</v>
      </c>
      <c r="C12" s="177" t="s">
        <v>654</v>
      </c>
      <c r="D12" s="15">
        <v>60</v>
      </c>
      <c r="E12" s="15" t="s">
        <v>319</v>
      </c>
      <c r="F12" s="15">
        <v>69.25</v>
      </c>
      <c r="G12" s="31">
        <f>IF(OR(E12="",F12=""),"",IF(LEFT(E12,1)="M",VLOOKUP(F12,Setup!$J$9:$K$23,2,TRUE),VLOOKUP(F12,Setup!$L$9:$M$23,2,TRUE)))</f>
        <v>75</v>
      </c>
      <c r="H12" s="31">
        <f>IF(F12="",0,VLOOKUP(AL12,DATA!$L$2:$N$1910,IF(LEFT(E12,1)="F",3,2)))</f>
        <v>0.88265000000000005</v>
      </c>
      <c r="I12" s="15"/>
      <c r="J12" s="15"/>
      <c r="K12" s="102"/>
      <c r="L12" s="102"/>
      <c r="M12" s="102"/>
      <c r="N12" s="102"/>
      <c r="O12" s="103">
        <f t="shared" si="23"/>
        <v>0</v>
      </c>
      <c r="P12" s="182">
        <v>11</v>
      </c>
      <c r="Q12" s="249">
        <v>45</v>
      </c>
      <c r="R12" s="249">
        <v>-47.5</v>
      </c>
      <c r="S12" s="102">
        <v>-47.5</v>
      </c>
      <c r="T12" s="102"/>
      <c r="U12" s="103">
        <f t="shared" si="24"/>
        <v>45</v>
      </c>
      <c r="V12" s="104">
        <f t="shared" si="25"/>
        <v>0</v>
      </c>
      <c r="W12" s="249">
        <v>92.5</v>
      </c>
      <c r="X12" s="249">
        <v>95</v>
      </c>
      <c r="Y12" s="249">
        <v>-100</v>
      </c>
      <c r="Z12" s="102"/>
      <c r="AA12" s="103">
        <f t="shared" si="26"/>
        <v>95</v>
      </c>
      <c r="AB12" s="104">
        <f t="shared" si="27"/>
        <v>140</v>
      </c>
      <c r="AC12" s="105">
        <f t="shared" si="28"/>
        <v>123.57100000000001</v>
      </c>
      <c r="AD12" s="105">
        <f>IF(OR(AB12=0,D12="",D12&lt;40),0,VLOOKUP($D12,DATA!$A$2:$B$53,2,TRUE)*AC12)</f>
        <v>165.58514000000002</v>
      </c>
      <c r="AE12" s="156">
        <v>1</v>
      </c>
      <c r="AF12" s="103" t="str">
        <f t="shared" ca="1" si="29"/>
        <v>1-F_MR_5_AAPF-75</v>
      </c>
      <c r="AG12" s="31">
        <f ca="1">IF(OR(AB12=0),0,VLOOKUP(AV12,Setup!$S$6:$T$15,2,TRUE))</f>
        <v>3</v>
      </c>
      <c r="AH12" s="106"/>
      <c r="AI12" s="101" t="s">
        <v>667</v>
      </c>
      <c r="AJ12" s="94">
        <f t="shared" si="30"/>
        <v>1</v>
      </c>
      <c r="AK12" s="31">
        <f t="shared" si="31"/>
        <v>0</v>
      </c>
      <c r="AL12" s="22">
        <f t="shared" si="32"/>
        <v>69.3</v>
      </c>
      <c r="AM12" s="22">
        <f t="shared" si="33"/>
        <v>0</v>
      </c>
      <c r="AN12" s="22">
        <f t="shared" si="34"/>
        <v>140</v>
      </c>
      <c r="AO12" s="22" t="str">
        <f t="shared" si="35"/>
        <v>F</v>
      </c>
      <c r="AP12" s="22"/>
      <c r="AQ12" s="23">
        <f t="shared" si="36"/>
        <v>1</v>
      </c>
      <c r="AR12" s="175">
        <f t="shared" ca="1" si="37"/>
        <v>20209018018</v>
      </c>
      <c r="AS12" s="22">
        <f t="shared" ca="1" si="38"/>
        <v>1</v>
      </c>
      <c r="AT12" s="139">
        <f t="shared" ca="1" si="39"/>
        <v>20209</v>
      </c>
      <c r="AU12" s="85">
        <f t="shared" ca="1" si="40"/>
        <v>1</v>
      </c>
      <c r="AV12" s="85">
        <f t="shared" ca="1" si="41"/>
        <v>1</v>
      </c>
      <c r="AW12" s="143">
        <f t="shared" si="42"/>
        <v>69.25</v>
      </c>
      <c r="AX12" s="22">
        <f t="shared" si="43"/>
        <v>18</v>
      </c>
      <c r="AY12" s="175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20209018018</v>
      </c>
      <c r="AZ12" s="31"/>
      <c r="BA12" s="31"/>
      <c r="BB12" s="31"/>
      <c r="BC12" s="31"/>
      <c r="BD12" s="31"/>
      <c r="BE12" s="31"/>
      <c r="BF12" s="31"/>
      <c r="BG12" s="31"/>
      <c r="BH12" s="72"/>
      <c r="BI12" s="72"/>
      <c r="BJ12" s="72"/>
      <c r="BK12" s="72"/>
      <c r="BL12" s="72"/>
      <c r="BM12" s="72"/>
      <c r="BN12" s="25"/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1</v>
      </c>
      <c r="CR12" s="23">
        <v>-1</v>
      </c>
      <c r="CS12" s="23">
        <v>-1</v>
      </c>
      <c r="CT12" s="23">
        <v>0</v>
      </c>
      <c r="CU12" s="23">
        <v>0</v>
      </c>
      <c r="CV12" s="23">
        <v>0</v>
      </c>
      <c r="CW12" s="23">
        <v>1</v>
      </c>
      <c r="CX12" s="23">
        <v>1</v>
      </c>
      <c r="CY12" s="23">
        <v>-1</v>
      </c>
      <c r="CZ12" s="23">
        <v>0</v>
      </c>
    </row>
    <row r="13" spans="1:176" s="23" customFormat="1" x14ac:dyDescent="0.25">
      <c r="A13" s="1">
        <f t="shared" si="22"/>
        <v>120</v>
      </c>
      <c r="B13" s="15" t="s">
        <v>32</v>
      </c>
      <c r="C13" s="177" t="s">
        <v>657</v>
      </c>
      <c r="D13" s="15">
        <v>35</v>
      </c>
      <c r="E13" s="15" t="s">
        <v>288</v>
      </c>
      <c r="F13" s="15">
        <v>66.05</v>
      </c>
      <c r="G13" s="31">
        <f>IF(OR(E13="",F13=""),"",IF(LEFT(E13,1)="M",VLOOKUP(F13,Setup!$J$9:$K$23,2,TRUE),VLOOKUP(F13,Setup!$L$9:$M$23,2,TRUE)))</f>
        <v>67.5</v>
      </c>
      <c r="H13" s="31">
        <f>IF(F13="",0,VLOOKUP(AL13,DATA!$L$2:$N$1910,IF(LEFT(E13,1)="F",3,2)))</f>
        <v>0.91449999999999998</v>
      </c>
      <c r="I13" s="15"/>
      <c r="J13" s="15"/>
      <c r="K13" s="102"/>
      <c r="L13" s="102"/>
      <c r="M13" s="102"/>
      <c r="N13" s="102"/>
      <c r="O13" s="103">
        <f t="shared" si="23"/>
        <v>0</v>
      </c>
      <c r="P13" s="182">
        <v>12</v>
      </c>
      <c r="Q13" s="249">
        <v>47.5</v>
      </c>
      <c r="R13" s="249">
        <v>50</v>
      </c>
      <c r="S13" s="249">
        <v>52.5</v>
      </c>
      <c r="T13" s="102"/>
      <c r="U13" s="103">
        <f t="shared" si="24"/>
        <v>52.5</v>
      </c>
      <c r="V13" s="104">
        <f t="shared" si="25"/>
        <v>0</v>
      </c>
      <c r="W13" s="249">
        <v>112.5</v>
      </c>
      <c r="X13" s="249">
        <v>115</v>
      </c>
      <c r="Y13" s="249">
        <v>120</v>
      </c>
      <c r="Z13" s="102"/>
      <c r="AA13" s="103">
        <f t="shared" si="26"/>
        <v>120</v>
      </c>
      <c r="AB13" s="104">
        <f t="shared" si="27"/>
        <v>172.5</v>
      </c>
      <c r="AC13" s="105">
        <f t="shared" si="28"/>
        <v>157.75125</v>
      </c>
      <c r="AD13" s="105">
        <f>IF(OR(AB13=0,D13="",D13&lt;40),0,VLOOKUP($D13,DATA!$A$2:$B$53,2,TRUE)*AC13)</f>
        <v>0</v>
      </c>
      <c r="AE13" s="156">
        <v>1</v>
      </c>
      <c r="AF13" s="103" t="str">
        <f t="shared" ca="1" si="29"/>
        <v>1-F_SR_APF-67.5</v>
      </c>
      <c r="AG13" s="31">
        <f ca="1">IF(OR(AB13=0),0,VLOOKUP(AV13,Setup!$S$6:$T$15,2,TRUE))</f>
        <v>3</v>
      </c>
      <c r="AH13" s="106"/>
      <c r="AI13" s="101" t="s">
        <v>667</v>
      </c>
      <c r="AJ13" s="94">
        <f t="shared" si="30"/>
        <v>1</v>
      </c>
      <c r="AK13" s="31">
        <f t="shared" si="31"/>
        <v>0</v>
      </c>
      <c r="AL13" s="22">
        <f t="shared" si="32"/>
        <v>66.099999999999994</v>
      </c>
      <c r="AM13" s="22">
        <f t="shared" si="33"/>
        <v>0</v>
      </c>
      <c r="AN13" s="22">
        <f t="shared" si="34"/>
        <v>172.5</v>
      </c>
      <c r="AO13" s="22" t="str">
        <f t="shared" si="35"/>
        <v>F</v>
      </c>
      <c r="AP13" s="22"/>
      <c r="AQ13" s="23">
        <f t="shared" si="36"/>
        <v>1</v>
      </c>
      <c r="AR13" s="175">
        <f t="shared" ca="1" si="37"/>
        <v>16110019021</v>
      </c>
      <c r="AS13" s="22">
        <f t="shared" ca="1" si="38"/>
        <v>3</v>
      </c>
      <c r="AT13" s="139">
        <f t="shared" ca="1" si="39"/>
        <v>16110</v>
      </c>
      <c r="AU13" s="85">
        <f t="shared" ca="1" si="40"/>
        <v>3</v>
      </c>
      <c r="AV13" s="85">
        <f t="shared" ca="1" si="41"/>
        <v>1</v>
      </c>
      <c r="AW13" s="143">
        <f t="shared" si="42"/>
        <v>66.05</v>
      </c>
      <c r="AX13" s="22">
        <f t="shared" si="43"/>
        <v>21</v>
      </c>
      <c r="AY13" s="175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16110019021</v>
      </c>
      <c r="AZ13" s="31"/>
      <c r="BA13" s="31"/>
      <c r="BB13" s="31"/>
      <c r="BC13" s="31"/>
      <c r="BD13" s="31"/>
      <c r="BE13" s="31"/>
      <c r="BF13" s="31"/>
      <c r="BG13" s="31"/>
      <c r="BH13" s="72"/>
      <c r="BI13" s="72"/>
      <c r="BJ13" s="72"/>
      <c r="BK13" s="72"/>
      <c r="BL13" s="72"/>
      <c r="BM13" s="72"/>
      <c r="BN13" s="25"/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1</v>
      </c>
      <c r="CR13" s="23">
        <v>1</v>
      </c>
      <c r="CS13" s="23">
        <v>1</v>
      </c>
      <c r="CT13" s="23">
        <v>0</v>
      </c>
      <c r="CU13" s="23">
        <v>0</v>
      </c>
      <c r="CV13" s="23">
        <v>0</v>
      </c>
      <c r="CW13" s="23">
        <v>1</v>
      </c>
      <c r="CX13" s="23">
        <v>1</v>
      </c>
      <c r="CY13" s="23">
        <v>1</v>
      </c>
      <c r="CZ13" s="23">
        <v>0</v>
      </c>
    </row>
    <row r="14" spans="1:176" s="23" customFormat="1" x14ac:dyDescent="0.25">
      <c r="A14" s="1">
        <f t="shared" si="22"/>
        <v>127.5</v>
      </c>
      <c r="B14" s="15" t="s">
        <v>32</v>
      </c>
      <c r="C14" s="177" t="s">
        <v>651</v>
      </c>
      <c r="D14" s="15">
        <v>20</v>
      </c>
      <c r="E14" s="15" t="s">
        <v>283</v>
      </c>
      <c r="F14" s="15">
        <v>54.95</v>
      </c>
      <c r="G14" s="31">
        <f>IF(OR(E14="",F14=""),"",IF(LEFT(E14,1)="M",VLOOKUP(F14,Setup!$J$9:$K$23,2,TRUE),VLOOKUP(F14,Setup!$L$9:$M$23,2,TRUE)))</f>
        <v>56</v>
      </c>
      <c r="H14" s="31">
        <f>IF(F14="",0,VLOOKUP(AL14,DATA!$L$2:$N$1910,IF(LEFT(E14,1)="F",3,2)))</f>
        <v>1.0590999999999999</v>
      </c>
      <c r="I14" s="15"/>
      <c r="J14" s="15"/>
      <c r="K14" s="102"/>
      <c r="L14" s="102"/>
      <c r="M14" s="102"/>
      <c r="N14" s="102"/>
      <c r="O14" s="103">
        <f t="shared" si="23"/>
        <v>0</v>
      </c>
      <c r="P14" s="182">
        <v>11</v>
      </c>
      <c r="Q14" s="249">
        <v>52.5</v>
      </c>
      <c r="R14" s="249">
        <v>55</v>
      </c>
      <c r="S14" s="102">
        <v>-57.5</v>
      </c>
      <c r="T14" s="102"/>
      <c r="U14" s="103">
        <f t="shared" si="24"/>
        <v>55</v>
      </c>
      <c r="V14" s="104">
        <f t="shared" si="25"/>
        <v>0</v>
      </c>
      <c r="W14" s="249">
        <v>115</v>
      </c>
      <c r="X14" s="249">
        <v>122.5</v>
      </c>
      <c r="Y14" s="249">
        <v>127.5</v>
      </c>
      <c r="Z14" s="102"/>
      <c r="AA14" s="103">
        <f t="shared" si="26"/>
        <v>127.5</v>
      </c>
      <c r="AB14" s="104">
        <f t="shared" si="27"/>
        <v>182.5</v>
      </c>
      <c r="AC14" s="105">
        <f t="shared" si="28"/>
        <v>193.28574999999998</v>
      </c>
      <c r="AD14" s="105">
        <f>IF(OR(AB14=0,D14="",D14&lt;40),0,VLOOKUP($D14,DATA!$A$2:$B$53,2,TRUE)*AC14)</f>
        <v>0</v>
      </c>
      <c r="AE14" s="156">
        <v>1</v>
      </c>
      <c r="AF14" s="103" t="str">
        <f t="shared" ca="1" si="29"/>
        <v>1-F_JR_AAPF-56</v>
      </c>
      <c r="AG14" s="31">
        <f ca="1">IF(OR(AB14=0),0,VLOOKUP(AV14,Setup!$S$6:$T$15,2,TRUE))</f>
        <v>3</v>
      </c>
      <c r="AH14" s="106"/>
      <c r="AI14" s="101" t="s">
        <v>667</v>
      </c>
      <c r="AJ14" s="94">
        <f t="shared" si="30"/>
        <v>1</v>
      </c>
      <c r="AK14" s="31">
        <f t="shared" si="31"/>
        <v>0</v>
      </c>
      <c r="AL14" s="22">
        <f t="shared" si="32"/>
        <v>55</v>
      </c>
      <c r="AM14" s="22">
        <f t="shared" si="33"/>
        <v>0</v>
      </c>
      <c r="AN14" s="22">
        <f t="shared" si="34"/>
        <v>182.5</v>
      </c>
      <c r="AO14" s="22" t="str">
        <f t="shared" si="35"/>
        <v>F</v>
      </c>
      <c r="AP14" s="22"/>
      <c r="AQ14" s="23">
        <f t="shared" si="36"/>
        <v>1</v>
      </c>
      <c r="AR14" s="175">
        <f t="shared" ca="1" si="37"/>
        <v>15412020023</v>
      </c>
      <c r="AS14" s="22">
        <f t="shared" ca="1" si="38"/>
        <v>5</v>
      </c>
      <c r="AT14" s="139">
        <f t="shared" ca="1" si="39"/>
        <v>15412</v>
      </c>
      <c r="AU14" s="85">
        <f t="shared" ca="1" si="40"/>
        <v>5</v>
      </c>
      <c r="AV14" s="85">
        <f t="shared" ca="1" si="41"/>
        <v>1</v>
      </c>
      <c r="AW14" s="143">
        <f t="shared" si="42"/>
        <v>54.95</v>
      </c>
      <c r="AX14" s="22">
        <f t="shared" si="43"/>
        <v>23</v>
      </c>
      <c r="AY14" s="175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15412020023</v>
      </c>
      <c r="AZ14" s="31"/>
      <c r="BA14" s="31"/>
      <c r="BB14" s="31"/>
      <c r="BC14" s="31"/>
      <c r="BD14" s="31"/>
      <c r="BE14" s="31"/>
      <c r="BF14" s="31"/>
      <c r="BG14" s="31"/>
      <c r="BH14" s="72"/>
      <c r="BI14" s="72"/>
      <c r="BJ14" s="72"/>
      <c r="BK14" s="72"/>
      <c r="BL14" s="72"/>
      <c r="BM14" s="72"/>
      <c r="BN14" s="25"/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1</v>
      </c>
      <c r="CR14" s="23">
        <v>1</v>
      </c>
      <c r="CS14" s="23">
        <v>-1</v>
      </c>
      <c r="CT14" s="23">
        <v>0</v>
      </c>
      <c r="CU14" s="23">
        <v>0</v>
      </c>
      <c r="CV14" s="23">
        <v>0</v>
      </c>
      <c r="CW14" s="23">
        <v>1</v>
      </c>
      <c r="CX14" s="23">
        <v>1</v>
      </c>
      <c r="CY14" s="23">
        <v>1</v>
      </c>
      <c r="CZ14" s="23">
        <v>0</v>
      </c>
    </row>
    <row r="15" spans="1:176" s="23" customFormat="1" x14ac:dyDescent="0.25">
      <c r="A15" s="1">
        <f t="shared" si="22"/>
        <v>160</v>
      </c>
      <c r="B15" s="15" t="s">
        <v>32</v>
      </c>
      <c r="C15" s="177" t="s">
        <v>652</v>
      </c>
      <c r="D15" s="15">
        <v>37</v>
      </c>
      <c r="E15" s="15" t="s">
        <v>288</v>
      </c>
      <c r="F15" s="15">
        <v>109.45</v>
      </c>
      <c r="G15" s="31">
        <f>IF(OR(E15="",F15=""),"",IF(LEFT(E15,1)="M",VLOOKUP(F15,Setup!$J$9:$K$23,2,TRUE),VLOOKUP(F15,Setup!$L$9:$M$23,2,TRUE)))</f>
        <v>110</v>
      </c>
      <c r="H15" s="31">
        <f>IF(F15="",0,VLOOKUP(AL15,DATA!$L$2:$N$1910,IF(LEFT(E15,1)="F",3,2)))</f>
        <v>0.69240000000000002</v>
      </c>
      <c r="I15" s="15"/>
      <c r="J15" s="15"/>
      <c r="K15" s="102"/>
      <c r="L15" s="102"/>
      <c r="M15" s="102"/>
      <c r="N15" s="102"/>
      <c r="O15" s="103">
        <f t="shared" si="23"/>
        <v>0</v>
      </c>
      <c r="P15" s="182">
        <v>16</v>
      </c>
      <c r="Q15" s="249">
        <v>80</v>
      </c>
      <c r="R15" s="102">
        <v>-85</v>
      </c>
      <c r="S15" s="102">
        <v>-87.5</v>
      </c>
      <c r="T15" s="102"/>
      <c r="U15" s="103">
        <f t="shared" si="24"/>
        <v>80</v>
      </c>
      <c r="V15" s="104">
        <f t="shared" si="25"/>
        <v>0</v>
      </c>
      <c r="W15" s="249">
        <v>140</v>
      </c>
      <c r="X15" s="249">
        <v>150</v>
      </c>
      <c r="Y15" s="249">
        <v>-160</v>
      </c>
      <c r="Z15" s="102"/>
      <c r="AA15" s="103">
        <f t="shared" si="26"/>
        <v>150</v>
      </c>
      <c r="AB15" s="104">
        <f t="shared" si="27"/>
        <v>230</v>
      </c>
      <c r="AC15" s="105">
        <f t="shared" si="28"/>
        <v>159.25200000000001</v>
      </c>
      <c r="AD15" s="105">
        <f>IF(OR(AB15=0,D15="",D15&lt;40),0,VLOOKUP($D15,DATA!$A$2:$B$53,2,TRUE)*AC15)</f>
        <v>0</v>
      </c>
      <c r="AE15" s="156">
        <v>1</v>
      </c>
      <c r="AF15" s="103" t="str">
        <f t="shared" ca="1" si="29"/>
        <v>1-F_SR_APF-110</v>
      </c>
      <c r="AG15" s="31">
        <f ca="1">IF(OR(AB15=0),0,VLOOKUP(AV15,Setup!$S$6:$T$15,2,TRUE))</f>
        <v>3</v>
      </c>
      <c r="AH15" s="106"/>
      <c r="AI15" s="101" t="s">
        <v>667</v>
      </c>
      <c r="AJ15" s="94">
        <f t="shared" si="30"/>
        <v>1</v>
      </c>
      <c r="AK15" s="31">
        <f t="shared" si="31"/>
        <v>0</v>
      </c>
      <c r="AL15" s="22">
        <f t="shared" si="32"/>
        <v>109.5</v>
      </c>
      <c r="AM15" s="22">
        <f t="shared" si="33"/>
        <v>0</v>
      </c>
      <c r="AN15" s="22">
        <f t="shared" si="34"/>
        <v>230</v>
      </c>
      <c r="AO15" s="22" t="str">
        <f t="shared" si="35"/>
        <v>F</v>
      </c>
      <c r="AP15" s="22"/>
      <c r="AQ15" s="23">
        <f t="shared" si="36"/>
        <v>1</v>
      </c>
      <c r="AR15" s="175">
        <f t="shared" ca="1" si="37"/>
        <v>16105022011</v>
      </c>
      <c r="AS15" s="22">
        <f t="shared" ca="1" si="38"/>
        <v>4</v>
      </c>
      <c r="AT15" s="139">
        <f t="shared" ca="1" si="39"/>
        <v>16105</v>
      </c>
      <c r="AU15" s="85">
        <f t="shared" ca="1" si="40"/>
        <v>4</v>
      </c>
      <c r="AV15" s="85">
        <f t="shared" ca="1" si="41"/>
        <v>1</v>
      </c>
      <c r="AW15" s="143">
        <f t="shared" si="42"/>
        <v>109.45</v>
      </c>
      <c r="AX15" s="22">
        <f t="shared" si="43"/>
        <v>11</v>
      </c>
      <c r="AY15" s="175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16105022011</v>
      </c>
      <c r="AZ15" s="31"/>
      <c r="BA15" s="31"/>
      <c r="BB15" s="31"/>
      <c r="BC15" s="31"/>
      <c r="BD15" s="31"/>
      <c r="BE15" s="31"/>
      <c r="BF15" s="31"/>
      <c r="BG15" s="31"/>
      <c r="BH15" s="72"/>
      <c r="BI15" s="72"/>
      <c r="BJ15" s="72"/>
      <c r="BK15" s="72"/>
      <c r="BL15" s="72"/>
      <c r="BM15" s="72"/>
      <c r="BN15" s="25"/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1</v>
      </c>
      <c r="CR15" s="23">
        <v>-1</v>
      </c>
      <c r="CS15" s="23">
        <v>-1</v>
      </c>
      <c r="CT15" s="23">
        <v>0</v>
      </c>
      <c r="CU15" s="23">
        <v>0</v>
      </c>
      <c r="CV15" s="23">
        <v>0</v>
      </c>
      <c r="CW15" s="23">
        <v>1</v>
      </c>
      <c r="CX15" s="23">
        <v>1</v>
      </c>
      <c r="CY15" s="23">
        <v>-1</v>
      </c>
      <c r="CZ15" s="23">
        <v>0</v>
      </c>
    </row>
    <row r="16" spans="1:176" s="23" customFormat="1" x14ac:dyDescent="0.25">
      <c r="A16" s="1">
        <f t="shared" si="22"/>
        <v>185</v>
      </c>
      <c r="B16" s="15" t="s">
        <v>32</v>
      </c>
      <c r="C16" s="177" t="s">
        <v>665</v>
      </c>
      <c r="D16" s="15">
        <v>34</v>
      </c>
      <c r="E16" s="15" t="s">
        <v>169</v>
      </c>
      <c r="F16" s="15">
        <v>81.099999999999994</v>
      </c>
      <c r="G16" s="31">
        <f>IF(OR(E16="",F16=""),"",IF(LEFT(E16,1)="M",VLOOKUP(F16,Setup!$J$9:$K$23,2,TRUE),VLOOKUP(F16,Setup!$L$9:$M$23,2,TRUE)))</f>
        <v>82.5</v>
      </c>
      <c r="H16" s="31">
        <f>IF(F16="",0,VLOOKUP(AL16,DATA!$L$2:$N$1910,IF(LEFT(E16,1)="F",3,2)))</f>
        <v>0.65185000000000004</v>
      </c>
      <c r="I16" s="15"/>
      <c r="J16" s="15"/>
      <c r="K16" s="102"/>
      <c r="L16" s="102"/>
      <c r="M16" s="102"/>
      <c r="N16" s="102"/>
      <c r="O16" s="103">
        <f t="shared" si="23"/>
        <v>0</v>
      </c>
      <c r="P16" s="182"/>
      <c r="Q16" s="102"/>
      <c r="R16" s="102"/>
      <c r="S16" s="102"/>
      <c r="T16" s="102"/>
      <c r="U16" s="103">
        <f t="shared" si="24"/>
        <v>0</v>
      </c>
      <c r="V16" s="104">
        <f t="shared" si="25"/>
        <v>0</v>
      </c>
      <c r="W16" s="249">
        <v>160</v>
      </c>
      <c r="X16" s="249">
        <v>170</v>
      </c>
      <c r="Y16" s="249">
        <v>185</v>
      </c>
      <c r="Z16" s="102"/>
      <c r="AA16" s="103">
        <f t="shared" si="26"/>
        <v>185</v>
      </c>
      <c r="AB16" s="104">
        <f t="shared" si="27"/>
        <v>0</v>
      </c>
      <c r="AC16" s="105">
        <f t="shared" si="28"/>
        <v>0</v>
      </c>
      <c r="AD16" s="105">
        <f>IF(OR(AB16=0,D16="",D16&lt;40),0,VLOOKUP($D16,DATA!$A$2:$B$53,2,TRUE)*AC16)</f>
        <v>0</v>
      </c>
      <c r="AE16" s="156">
        <v>1</v>
      </c>
      <c r="AF16" s="103">
        <f t="shared" ca="1" si="29"/>
        <v>0</v>
      </c>
      <c r="AG16" s="31">
        <f>IF(OR(AB16=0),0,VLOOKUP(AV16,Setup!$S$6:$T$15,2,TRUE))</f>
        <v>0</v>
      </c>
      <c r="AH16" s="106"/>
      <c r="AI16" s="101" t="s">
        <v>349</v>
      </c>
      <c r="AJ16" s="94">
        <f t="shared" si="30"/>
        <v>0</v>
      </c>
      <c r="AK16" s="31">
        <f t="shared" si="31"/>
        <v>0</v>
      </c>
      <c r="AL16" s="22">
        <f t="shared" si="32"/>
        <v>81.099999999999994</v>
      </c>
      <c r="AM16" s="22">
        <f t="shared" si="33"/>
        <v>0</v>
      </c>
      <c r="AN16" s="22">
        <f t="shared" si="34"/>
        <v>0</v>
      </c>
      <c r="AO16" s="22" t="str">
        <f t="shared" si="35"/>
        <v>M</v>
      </c>
      <c r="AP16" s="22"/>
      <c r="AQ16" s="23">
        <f t="shared" si="36"/>
        <v>0</v>
      </c>
      <c r="AR16" s="175">
        <f t="shared" ca="1" si="37"/>
        <v>210000000</v>
      </c>
      <c r="AS16" s="22">
        <f t="shared" ca="1" si="38"/>
        <v>20</v>
      </c>
      <c r="AT16" s="139">
        <f t="shared" ca="1" si="39"/>
        <v>210</v>
      </c>
      <c r="AU16" s="85">
        <f t="shared" ca="1" si="40"/>
        <v>20</v>
      </c>
      <c r="AV16" s="85">
        <f t="shared" ca="1" si="41"/>
        <v>1</v>
      </c>
      <c r="AW16" s="143">
        <f t="shared" si="42"/>
        <v>81.099999999999994</v>
      </c>
      <c r="AX16" s="22">
        <f t="shared" si="43"/>
        <v>16</v>
      </c>
      <c r="AY16" s="175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210000000</v>
      </c>
      <c r="AZ16" s="31"/>
      <c r="BA16" s="31"/>
      <c r="BB16" s="31"/>
      <c r="BC16" s="31"/>
      <c r="BD16" s="31"/>
      <c r="BE16" s="31"/>
      <c r="BF16" s="31"/>
      <c r="BG16" s="31"/>
      <c r="BH16" s="72"/>
      <c r="BI16" s="72"/>
      <c r="BJ16" s="72"/>
      <c r="BK16" s="72"/>
      <c r="BL16" s="72"/>
      <c r="BM16" s="72"/>
      <c r="BN16" s="25"/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1</v>
      </c>
      <c r="CX16" s="23">
        <v>1</v>
      </c>
      <c r="CY16" s="23">
        <v>1</v>
      </c>
      <c r="CZ16" s="23">
        <v>0</v>
      </c>
    </row>
    <row r="17" spans="1:104" s="23" customFormat="1" x14ac:dyDescent="0.25">
      <c r="A17" s="1">
        <f t="shared" si="22"/>
        <v>230</v>
      </c>
      <c r="B17" s="15" t="s">
        <v>32</v>
      </c>
      <c r="C17" s="177" t="s">
        <v>656</v>
      </c>
      <c r="D17" s="15">
        <v>28</v>
      </c>
      <c r="E17" s="15" t="s">
        <v>169</v>
      </c>
      <c r="F17" s="15">
        <v>148.35</v>
      </c>
      <c r="G17" s="31" t="str">
        <f>IF(OR(E17="",F17=""),"",IF(LEFT(E17,1)="M",VLOOKUP(F17,Setup!$J$9:$K$23,2,TRUE),VLOOKUP(F17,Setup!$L$9:$M$23,2,TRUE)))</f>
        <v>SHW</v>
      </c>
      <c r="H17" s="31">
        <f>IF(F17="",0,VLOOKUP(AL17,DATA!$L$2:$N$1910,IF(LEFT(E17,1)="F",3,2)))</f>
        <v>0.52429999999999999</v>
      </c>
      <c r="I17" s="15"/>
      <c r="J17" s="15"/>
      <c r="K17" s="102"/>
      <c r="L17" s="102"/>
      <c r="M17" s="102"/>
      <c r="N17" s="102"/>
      <c r="O17" s="103">
        <f t="shared" si="23"/>
        <v>0</v>
      </c>
      <c r="P17" s="182">
        <v>19</v>
      </c>
      <c r="Q17" s="249">
        <v>157.5</v>
      </c>
      <c r="R17" s="249">
        <v>170</v>
      </c>
      <c r="S17" s="102">
        <v>-182.5</v>
      </c>
      <c r="T17" s="102"/>
      <c r="U17" s="103">
        <f t="shared" si="24"/>
        <v>170</v>
      </c>
      <c r="V17" s="104">
        <f t="shared" si="25"/>
        <v>0</v>
      </c>
      <c r="W17" s="249">
        <v>207.5</v>
      </c>
      <c r="X17" s="249">
        <v>220</v>
      </c>
      <c r="Y17" s="249">
        <v>230</v>
      </c>
      <c r="Z17" s="102"/>
      <c r="AA17" s="103">
        <f t="shared" si="26"/>
        <v>230</v>
      </c>
      <c r="AB17" s="104">
        <f t="shared" si="27"/>
        <v>400</v>
      </c>
      <c r="AC17" s="105">
        <f t="shared" si="28"/>
        <v>209.72</v>
      </c>
      <c r="AD17" s="105">
        <f>IF(OR(AB17=0,D17="",D17&lt;40),0,VLOOKUP($D17,DATA!$A$2:$B$53,2,TRUE)*AC17)</f>
        <v>0</v>
      </c>
      <c r="AE17" s="156">
        <v>1</v>
      </c>
      <c r="AF17" s="103" t="str">
        <f t="shared" ca="1" si="29"/>
        <v>1-M_OR_AAPF-SHW</v>
      </c>
      <c r="AG17" s="31">
        <f ca="1">IF(OR(AB17=0),0,VLOOKUP(AV17,Setup!$S$6:$T$15,2,TRUE))</f>
        <v>3</v>
      </c>
      <c r="AH17" s="106"/>
      <c r="AI17" s="101" t="s">
        <v>667</v>
      </c>
      <c r="AJ17" s="94">
        <f t="shared" si="30"/>
        <v>1</v>
      </c>
      <c r="AK17" s="31">
        <f t="shared" si="31"/>
        <v>0</v>
      </c>
      <c r="AL17" s="22">
        <f t="shared" si="32"/>
        <v>148.4</v>
      </c>
      <c r="AM17" s="22">
        <f t="shared" si="33"/>
        <v>0</v>
      </c>
      <c r="AN17" s="22">
        <f t="shared" si="34"/>
        <v>400</v>
      </c>
      <c r="AO17" s="22" t="str">
        <f t="shared" si="35"/>
        <v>M</v>
      </c>
      <c r="AP17" s="22"/>
      <c r="AQ17" s="23">
        <f t="shared" si="36"/>
        <v>1</v>
      </c>
      <c r="AR17" s="175">
        <f t="shared" ca="1" si="37"/>
        <v>204025005</v>
      </c>
      <c r="AS17" s="22">
        <f t="shared" ca="1" si="38"/>
        <v>21</v>
      </c>
      <c r="AT17" s="139">
        <f t="shared" ca="1" si="39"/>
        <v>204</v>
      </c>
      <c r="AU17" s="85">
        <f t="shared" ca="1" si="40"/>
        <v>21</v>
      </c>
      <c r="AV17" s="85">
        <f t="shared" ca="1" si="41"/>
        <v>1</v>
      </c>
      <c r="AW17" s="143">
        <f t="shared" si="42"/>
        <v>148.35</v>
      </c>
      <c r="AX17" s="22">
        <f t="shared" si="43"/>
        <v>5</v>
      </c>
      <c r="AY17" s="175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204025005</v>
      </c>
      <c r="AZ17" s="31"/>
      <c r="BA17" s="31"/>
      <c r="BB17" s="31"/>
      <c r="BC17" s="31"/>
      <c r="BD17" s="31"/>
      <c r="BE17" s="31"/>
      <c r="BF17" s="31"/>
      <c r="BG17" s="31"/>
      <c r="BH17" s="72"/>
      <c r="BI17" s="72"/>
      <c r="BJ17" s="72"/>
      <c r="BK17" s="72"/>
      <c r="BL17" s="72"/>
      <c r="BM17" s="72"/>
      <c r="BN17" s="25"/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1</v>
      </c>
      <c r="CR17" s="23">
        <v>1</v>
      </c>
      <c r="CS17" s="23">
        <v>-1</v>
      </c>
      <c r="CT17" s="23">
        <v>0</v>
      </c>
      <c r="CU17" s="23">
        <v>0</v>
      </c>
      <c r="CV17" s="23">
        <v>0</v>
      </c>
      <c r="CW17" s="23">
        <v>1</v>
      </c>
      <c r="CX17" s="23">
        <v>1</v>
      </c>
      <c r="CY17" s="23">
        <v>1</v>
      </c>
      <c r="CZ17" s="23">
        <v>0</v>
      </c>
    </row>
    <row r="18" spans="1:104" s="23" customFormat="1" x14ac:dyDescent="0.25">
      <c r="A18" s="1">
        <f t="shared" si="22"/>
        <v>235</v>
      </c>
      <c r="B18" s="15" t="s">
        <v>32</v>
      </c>
      <c r="C18" s="177" t="s">
        <v>653</v>
      </c>
      <c r="D18" s="15">
        <v>19</v>
      </c>
      <c r="E18" s="15" t="s">
        <v>168</v>
      </c>
      <c r="F18" s="15">
        <v>80.3</v>
      </c>
      <c r="G18" s="31">
        <f>IF(OR(E18="",F18=""),"",IF(LEFT(E18,1)="M",VLOOKUP(F18,Setup!$J$9:$K$23,2,TRUE),VLOOKUP(F18,Setup!$L$9:$M$23,2,TRUE)))</f>
        <v>82.5</v>
      </c>
      <c r="H18" s="31">
        <f>IF(F18="",0,VLOOKUP(AL18,DATA!$L$2:$N$1910,IF(LEFT(E18,1)="F",3,2)))</f>
        <v>0.65615000000000001</v>
      </c>
      <c r="I18" s="15"/>
      <c r="J18" s="15"/>
      <c r="K18" s="102"/>
      <c r="L18" s="102"/>
      <c r="M18" s="102"/>
      <c r="N18" s="102"/>
      <c r="O18" s="103">
        <f t="shared" si="23"/>
        <v>0</v>
      </c>
      <c r="P18" s="182">
        <v>15</v>
      </c>
      <c r="Q18" s="249">
        <v>115</v>
      </c>
      <c r="R18" s="249">
        <v>120</v>
      </c>
      <c r="S18" s="102">
        <v>-127.5</v>
      </c>
      <c r="T18" s="102"/>
      <c r="U18" s="103">
        <f t="shared" si="24"/>
        <v>120</v>
      </c>
      <c r="V18" s="104">
        <f t="shared" si="25"/>
        <v>0</v>
      </c>
      <c r="W18" s="249">
        <v>215</v>
      </c>
      <c r="X18" s="249">
        <v>225</v>
      </c>
      <c r="Y18" s="249">
        <v>235</v>
      </c>
      <c r="Z18" s="102"/>
      <c r="AA18" s="103">
        <f t="shared" si="26"/>
        <v>235</v>
      </c>
      <c r="AB18" s="104">
        <f t="shared" si="27"/>
        <v>355</v>
      </c>
      <c r="AC18" s="105">
        <f t="shared" si="28"/>
        <v>232.93325000000002</v>
      </c>
      <c r="AD18" s="105">
        <f>IF(OR(AB18=0,D18="",D18&lt;40),0,VLOOKUP($D18,DATA!$A$2:$B$53,2,TRUE)*AC18)</f>
        <v>0</v>
      </c>
      <c r="AE18" s="156">
        <v>1</v>
      </c>
      <c r="AF18" s="103" t="str">
        <f t="shared" ca="1" si="29"/>
        <v>1-M_OR_APF-82.5</v>
      </c>
      <c r="AG18" s="31">
        <f ca="1">IF(OR(AB18=0),0,VLOOKUP(AV18,Setup!$S$6:$T$15,2,TRUE))</f>
        <v>3</v>
      </c>
      <c r="AH18" s="106"/>
      <c r="AI18" s="101" t="s">
        <v>667</v>
      </c>
      <c r="AJ18" s="94">
        <f t="shared" si="30"/>
        <v>1</v>
      </c>
      <c r="AK18" s="31">
        <f t="shared" si="31"/>
        <v>0</v>
      </c>
      <c r="AL18" s="22">
        <f t="shared" si="32"/>
        <v>80.3</v>
      </c>
      <c r="AM18" s="22">
        <f t="shared" si="33"/>
        <v>0</v>
      </c>
      <c r="AN18" s="22">
        <f t="shared" si="34"/>
        <v>355</v>
      </c>
      <c r="AO18" s="22" t="str">
        <f t="shared" si="35"/>
        <v>M</v>
      </c>
      <c r="AP18" s="22"/>
      <c r="AQ18" s="23">
        <f t="shared" si="36"/>
        <v>1</v>
      </c>
      <c r="AR18" s="175">
        <f t="shared" ca="1" si="37"/>
        <v>110023017</v>
      </c>
      <c r="AS18" s="22">
        <f t="shared" ca="1" si="38"/>
        <v>22</v>
      </c>
      <c r="AT18" s="139">
        <f t="shared" ca="1" si="39"/>
        <v>110</v>
      </c>
      <c r="AU18" s="85">
        <f t="shared" ca="1" si="40"/>
        <v>22</v>
      </c>
      <c r="AV18" s="85">
        <f t="shared" ca="1" si="41"/>
        <v>1</v>
      </c>
      <c r="AW18" s="143">
        <f t="shared" si="42"/>
        <v>80.3</v>
      </c>
      <c r="AX18" s="22">
        <f t="shared" si="43"/>
        <v>17</v>
      </c>
      <c r="AY18" s="175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110023017</v>
      </c>
      <c r="AZ18" s="31"/>
      <c r="BA18" s="31"/>
      <c r="BB18" s="31"/>
      <c r="BC18" s="31"/>
      <c r="BD18" s="31"/>
      <c r="BE18" s="31"/>
      <c r="BF18" s="31"/>
      <c r="BG18" s="31"/>
      <c r="BH18" s="72"/>
      <c r="BI18" s="72"/>
      <c r="BJ18" s="72"/>
      <c r="BK18" s="72"/>
      <c r="BL18" s="72"/>
      <c r="BM18" s="72"/>
      <c r="BN18" s="25"/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1</v>
      </c>
      <c r="CR18" s="23">
        <v>1</v>
      </c>
      <c r="CS18" s="23">
        <v>-1</v>
      </c>
      <c r="CT18" s="23">
        <v>0</v>
      </c>
      <c r="CU18" s="23">
        <v>0</v>
      </c>
      <c r="CV18" s="23">
        <v>0</v>
      </c>
      <c r="CW18" s="23">
        <v>1</v>
      </c>
      <c r="CX18" s="23">
        <v>1</v>
      </c>
      <c r="CY18" s="23">
        <v>1</v>
      </c>
      <c r="CZ18" s="23">
        <v>0</v>
      </c>
    </row>
    <row r="19" spans="1:104" s="23" customFormat="1" x14ac:dyDescent="0.25">
      <c r="A19" s="1">
        <f t="shared" si="22"/>
        <v>262.5</v>
      </c>
      <c r="B19" s="15" t="s">
        <v>32</v>
      </c>
      <c r="C19" s="177" t="s">
        <v>655</v>
      </c>
      <c r="D19" s="15">
        <v>18</v>
      </c>
      <c r="E19" s="15" t="s">
        <v>186</v>
      </c>
      <c r="F19" s="15">
        <v>64.95</v>
      </c>
      <c r="G19" s="31">
        <f>IF(OR(E19="",F19=""),"",IF(LEFT(E19,1)="M",VLOOKUP(F19,Setup!$J$9:$K$23,2,TRUE),VLOOKUP(F19,Setup!$L$9:$M$23,2,TRUE)))</f>
        <v>67.5</v>
      </c>
      <c r="H19" s="31">
        <f>IF(F19="",0,VLOOKUP(AL19,DATA!$L$2:$N$1910,IF(LEFT(E19,1)="F",3,2)))</f>
        <v>0.77329999999999999</v>
      </c>
      <c r="I19" s="15"/>
      <c r="J19" s="15"/>
      <c r="K19" s="102"/>
      <c r="L19" s="102"/>
      <c r="M19" s="102"/>
      <c r="N19" s="102"/>
      <c r="O19" s="103">
        <f t="shared" si="23"/>
        <v>0</v>
      </c>
      <c r="P19" s="182">
        <v>9</v>
      </c>
      <c r="Q19" s="249">
        <v>110</v>
      </c>
      <c r="R19" s="249">
        <v>115</v>
      </c>
      <c r="S19" s="249">
        <v>117.5</v>
      </c>
      <c r="T19" s="102"/>
      <c r="U19" s="103">
        <f t="shared" si="24"/>
        <v>117.5</v>
      </c>
      <c r="V19" s="104">
        <f t="shared" si="25"/>
        <v>0</v>
      </c>
      <c r="W19" s="249">
        <v>250</v>
      </c>
      <c r="X19" s="102">
        <v>-262.5</v>
      </c>
      <c r="Y19" s="102">
        <v>-262.5</v>
      </c>
      <c r="Z19" s="102"/>
      <c r="AA19" s="103">
        <f t="shared" si="26"/>
        <v>250</v>
      </c>
      <c r="AB19" s="104">
        <f t="shared" si="27"/>
        <v>367.5</v>
      </c>
      <c r="AC19" s="105">
        <f t="shared" si="28"/>
        <v>284.18774999999999</v>
      </c>
      <c r="AD19" s="105">
        <f>IF(OR(AB19=0,D19="",D19&lt;40),0,VLOOKUP($D19,DATA!$A$2:$B$53,2,TRUE)*AC19)</f>
        <v>0</v>
      </c>
      <c r="AE19" s="156">
        <v>1</v>
      </c>
      <c r="AF19" s="103" t="str">
        <f t="shared" ca="1" si="29"/>
        <v>1-M_TR_3_APF-67.5</v>
      </c>
      <c r="AG19" s="31">
        <f ca="1">IF(OR(AB19=0),0,VLOOKUP(AV19,Setup!$S$6:$T$15,2,TRUE))</f>
        <v>3</v>
      </c>
      <c r="AH19" s="106"/>
      <c r="AI19" s="101" t="s">
        <v>667</v>
      </c>
      <c r="AJ19" s="94">
        <f t="shared" si="30"/>
        <v>1</v>
      </c>
      <c r="AK19" s="31">
        <f t="shared" si="31"/>
        <v>0</v>
      </c>
      <c r="AL19" s="22">
        <f t="shared" si="32"/>
        <v>65</v>
      </c>
      <c r="AM19" s="22">
        <f t="shared" si="33"/>
        <v>0</v>
      </c>
      <c r="AN19" s="22">
        <f t="shared" si="34"/>
        <v>367.5</v>
      </c>
      <c r="AO19" s="22" t="str">
        <f t="shared" si="35"/>
        <v>M</v>
      </c>
      <c r="AP19" s="22"/>
      <c r="AQ19" s="23">
        <f t="shared" si="36"/>
        <v>1</v>
      </c>
      <c r="AR19" s="175">
        <f t="shared" ca="1" si="37"/>
        <v>2512024022</v>
      </c>
      <c r="AS19" s="22">
        <f t="shared" ca="1" si="38"/>
        <v>18</v>
      </c>
      <c r="AT19" s="139">
        <f t="shared" ca="1" si="39"/>
        <v>2512</v>
      </c>
      <c r="AU19" s="85">
        <f t="shared" ca="1" si="40"/>
        <v>18</v>
      </c>
      <c r="AV19" s="85">
        <f t="shared" ca="1" si="41"/>
        <v>1</v>
      </c>
      <c r="AW19" s="143">
        <f t="shared" si="42"/>
        <v>64.95</v>
      </c>
      <c r="AX19" s="22">
        <f t="shared" si="43"/>
        <v>22</v>
      </c>
      <c r="AY19" s="175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2512024022</v>
      </c>
      <c r="AZ19" s="31"/>
      <c r="BA19" s="31"/>
      <c r="BB19" s="31"/>
      <c r="BC19" s="31"/>
      <c r="BD19" s="31"/>
      <c r="BE19" s="31"/>
      <c r="BF19" s="31"/>
      <c r="BG19" s="31"/>
      <c r="BH19" s="72"/>
      <c r="BI19" s="72"/>
      <c r="BJ19" s="72"/>
      <c r="BK19" s="72"/>
      <c r="BL19" s="72"/>
      <c r="BM19" s="72"/>
      <c r="BN19" s="25"/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1</v>
      </c>
      <c r="CX19" s="23">
        <v>-1</v>
      </c>
      <c r="CY19" s="23">
        <v>-1</v>
      </c>
      <c r="CZ19" s="23">
        <v>0</v>
      </c>
    </row>
    <row r="20" spans="1:104" s="23" customFormat="1" x14ac:dyDescent="0.25">
      <c r="A20" s="1">
        <f t="shared" si="22"/>
        <v>272.5</v>
      </c>
      <c r="B20" s="15" t="s">
        <v>32</v>
      </c>
      <c r="C20" s="177" t="s">
        <v>666</v>
      </c>
      <c r="D20" s="15">
        <v>41</v>
      </c>
      <c r="E20" s="15" t="s">
        <v>204</v>
      </c>
      <c r="F20" s="15">
        <v>102.5</v>
      </c>
      <c r="G20" s="31">
        <f>IF(OR(E20="",F20=""),"",IF(LEFT(E20,1)="M",VLOOKUP(F20,Setup!$J$9:$K$23,2,TRUE),VLOOKUP(F20,Setup!$L$9:$M$23,2,TRUE)))</f>
        <v>110</v>
      </c>
      <c r="H20" s="31">
        <f>IF(F20="",0,VLOOKUP(AL20,DATA!$L$2:$N$1910,IF(LEFT(E20,1)="F",3,2)))</f>
        <v>0.57565</v>
      </c>
      <c r="I20" s="15"/>
      <c r="J20" s="15"/>
      <c r="K20" s="102"/>
      <c r="L20" s="102"/>
      <c r="M20" s="102"/>
      <c r="N20" s="102"/>
      <c r="O20" s="103">
        <f t="shared" si="23"/>
        <v>0</v>
      </c>
      <c r="P20" s="182"/>
      <c r="Q20" s="102"/>
      <c r="R20" s="102"/>
      <c r="S20" s="102"/>
      <c r="T20" s="102"/>
      <c r="U20" s="103">
        <f t="shared" si="24"/>
        <v>0</v>
      </c>
      <c r="V20" s="104">
        <f t="shared" si="25"/>
        <v>0</v>
      </c>
      <c r="W20" s="249">
        <v>255</v>
      </c>
      <c r="X20" s="102">
        <v>-272.5</v>
      </c>
      <c r="Y20" s="249">
        <v>272.5</v>
      </c>
      <c r="Z20" s="102"/>
      <c r="AA20" s="103">
        <f t="shared" si="26"/>
        <v>272.5</v>
      </c>
      <c r="AB20" s="104">
        <f t="shared" si="27"/>
        <v>0</v>
      </c>
      <c r="AC20" s="105">
        <f t="shared" si="28"/>
        <v>0</v>
      </c>
      <c r="AD20" s="105">
        <f>IF(OR(AB20=0,D20="",D20&lt;40),0,VLOOKUP($D20,DATA!$A$2:$B$53,2,TRUE)*AC20)</f>
        <v>0</v>
      </c>
      <c r="AE20" s="156">
        <v>1</v>
      </c>
      <c r="AF20" s="103">
        <f t="shared" ca="1" si="29"/>
        <v>0</v>
      </c>
      <c r="AG20" s="31">
        <f>IF(OR(AB20=0),0,VLOOKUP(AV20,Setup!$S$6:$T$15,2,TRUE))</f>
        <v>0</v>
      </c>
      <c r="AH20" s="106"/>
      <c r="AI20" s="101" t="s">
        <v>349</v>
      </c>
      <c r="AJ20" s="94">
        <f t="shared" si="30"/>
        <v>0</v>
      </c>
      <c r="AK20" s="31">
        <f t="shared" si="31"/>
        <v>0</v>
      </c>
      <c r="AL20" s="22">
        <f t="shared" si="32"/>
        <v>102.5</v>
      </c>
      <c r="AM20" s="22">
        <f t="shared" si="33"/>
        <v>0</v>
      </c>
      <c r="AN20" s="22">
        <f t="shared" si="34"/>
        <v>0</v>
      </c>
      <c r="AO20" s="22" t="str">
        <f t="shared" si="35"/>
        <v>M</v>
      </c>
      <c r="AP20" s="22"/>
      <c r="AQ20" s="23">
        <f t="shared" si="36"/>
        <v>0</v>
      </c>
      <c r="AR20" s="175">
        <f t="shared" ca="1" si="37"/>
        <v>4907000000</v>
      </c>
      <c r="AS20" s="22">
        <f t="shared" ca="1" si="38"/>
        <v>17</v>
      </c>
      <c r="AT20" s="139">
        <f t="shared" ca="1" si="39"/>
        <v>4907</v>
      </c>
      <c r="AU20" s="85">
        <f t="shared" ca="1" si="40"/>
        <v>17</v>
      </c>
      <c r="AV20" s="85">
        <f t="shared" ca="1" si="41"/>
        <v>1</v>
      </c>
      <c r="AW20" s="143">
        <f t="shared" si="42"/>
        <v>102.5</v>
      </c>
      <c r="AX20" s="22">
        <f t="shared" si="43"/>
        <v>12</v>
      </c>
      <c r="AY20" s="175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4907000000</v>
      </c>
      <c r="AZ20" s="31"/>
      <c r="BA20" s="31"/>
      <c r="BB20" s="31"/>
      <c r="BC20" s="31"/>
      <c r="BD20" s="31"/>
      <c r="BE20" s="31"/>
      <c r="BF20" s="31"/>
      <c r="BG20" s="31"/>
      <c r="BH20" s="72"/>
      <c r="BI20" s="72"/>
      <c r="BJ20" s="72"/>
      <c r="BK20" s="72"/>
      <c r="BL20" s="72"/>
      <c r="BM20" s="72"/>
      <c r="BN20" s="25"/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1</v>
      </c>
      <c r="CX20" s="23">
        <v>-1</v>
      </c>
      <c r="CY20" s="23">
        <v>1</v>
      </c>
      <c r="CZ20" s="23">
        <v>0</v>
      </c>
    </row>
    <row r="21" spans="1:104" s="23" customFormat="1" x14ac:dyDescent="0.25">
      <c r="A21" s="1" t="str">
        <f t="shared" si="22"/>
        <v/>
      </c>
      <c r="B21" s="15" t="s">
        <v>32</v>
      </c>
      <c r="C21" s="177" t="s">
        <v>680</v>
      </c>
      <c r="D21" s="15">
        <v>30</v>
      </c>
      <c r="E21" s="15" t="s">
        <v>259</v>
      </c>
      <c r="F21" s="15">
        <v>67.05</v>
      </c>
      <c r="G21" s="31">
        <f>IF(OR(E21="",F21=""),"",IF(LEFT(E21,1)="M",VLOOKUP(F21,Setup!$J$9:$K$23,2,TRUE),VLOOKUP(F21,Setup!$L$9:$M$23,2,TRUE)))</f>
        <v>67.5</v>
      </c>
      <c r="H21" s="31">
        <f>IF(F21="",0,VLOOKUP(AL21,DATA!$L$2:$N$1910,IF(LEFT(E21,1)="F",3,2)))</f>
        <v>0.90385000000000004</v>
      </c>
      <c r="I21" s="15"/>
      <c r="J21" s="15"/>
      <c r="K21" s="102"/>
      <c r="L21" s="102"/>
      <c r="M21" s="102"/>
      <c r="N21" s="102"/>
      <c r="O21" s="103">
        <f t="shared" si="23"/>
        <v>0</v>
      </c>
      <c r="P21" s="182">
        <v>12</v>
      </c>
      <c r="Q21" s="249">
        <v>50</v>
      </c>
      <c r="R21" s="249">
        <v>55</v>
      </c>
      <c r="S21" s="102">
        <v>-60</v>
      </c>
      <c r="T21" s="102"/>
      <c r="U21" s="103">
        <f t="shared" si="24"/>
        <v>55</v>
      </c>
      <c r="V21" s="104">
        <f t="shared" si="25"/>
        <v>0</v>
      </c>
      <c r="W21" s="249">
        <v>125</v>
      </c>
      <c r="X21" s="249">
        <v>130</v>
      </c>
      <c r="Y21" s="102">
        <v>0</v>
      </c>
      <c r="Z21" s="102"/>
      <c r="AA21" s="103">
        <f t="shared" si="26"/>
        <v>130</v>
      </c>
      <c r="AB21" s="104">
        <f t="shared" si="27"/>
        <v>185</v>
      </c>
      <c r="AC21" s="105">
        <f t="shared" si="28"/>
        <v>167.21225000000001</v>
      </c>
      <c r="AD21" s="105">
        <f>IF(OR(AB21=0,D21="",D21&lt;40),0,VLOOKUP($D21,DATA!$A$2:$B$53,2,TRUE)*AC21)</f>
        <v>0</v>
      </c>
      <c r="AE21" s="156">
        <v>1</v>
      </c>
      <c r="AF21" s="103" t="str">
        <f t="shared" ca="1" si="29"/>
        <v>1-F_OR_AAPF-67.5</v>
      </c>
      <c r="AG21" s="31">
        <f ca="1">IF(OR(AB21=0),0,VLOOKUP(AV21,Setup!$S$6:$T$15,2,TRUE))</f>
        <v>3</v>
      </c>
      <c r="AH21" s="106"/>
      <c r="AI21" s="101" t="s">
        <v>667</v>
      </c>
      <c r="AJ21" s="94">
        <f t="shared" si="30"/>
        <v>1</v>
      </c>
      <c r="AK21" s="31">
        <f t="shared" si="31"/>
        <v>0</v>
      </c>
      <c r="AL21" s="22">
        <f t="shared" si="32"/>
        <v>67.099999999999994</v>
      </c>
      <c r="AM21" s="22">
        <f t="shared" si="33"/>
        <v>0</v>
      </c>
      <c r="AN21" s="22">
        <f t="shared" si="34"/>
        <v>185</v>
      </c>
      <c r="AO21" s="22" t="str">
        <f t="shared" si="35"/>
        <v>F</v>
      </c>
      <c r="AP21" s="22"/>
      <c r="AQ21" s="23">
        <f t="shared" si="36"/>
        <v>1</v>
      </c>
      <c r="AR21" s="175">
        <f t="shared" ca="1" si="37"/>
        <v>12210021019</v>
      </c>
      <c r="AS21" s="22">
        <f t="shared" ca="1" si="38"/>
        <v>8</v>
      </c>
      <c r="AT21" s="139">
        <f t="shared" ca="1" si="39"/>
        <v>12210</v>
      </c>
      <c r="AU21" s="85">
        <f t="shared" ca="1" si="40"/>
        <v>8</v>
      </c>
      <c r="AV21" s="85">
        <f t="shared" ca="1" si="41"/>
        <v>1</v>
      </c>
      <c r="AW21" s="143">
        <f t="shared" si="42"/>
        <v>67.05</v>
      </c>
      <c r="AX21" s="22">
        <f t="shared" si="43"/>
        <v>19</v>
      </c>
      <c r="AY21" s="175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12210021019</v>
      </c>
      <c r="AZ21" s="31"/>
      <c r="BA21" s="31"/>
      <c r="BB21" s="31"/>
      <c r="BC21" s="31"/>
      <c r="BD21" s="31"/>
      <c r="BE21" s="31"/>
      <c r="BF21" s="31"/>
      <c r="BG21" s="31"/>
      <c r="BH21" s="72"/>
      <c r="BI21" s="72"/>
      <c r="BJ21" s="72"/>
      <c r="BK21" s="72"/>
      <c r="BL21" s="72"/>
      <c r="BM21" s="72"/>
      <c r="BN21" s="25"/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1</v>
      </c>
      <c r="CR21" s="23">
        <v>1</v>
      </c>
      <c r="CS21" s="23">
        <v>-1</v>
      </c>
      <c r="CT21" s="23">
        <v>0</v>
      </c>
      <c r="CU21" s="23">
        <v>0</v>
      </c>
      <c r="CV21" s="23">
        <v>0</v>
      </c>
      <c r="CW21" s="23">
        <v>1</v>
      </c>
      <c r="CX21" s="23">
        <v>1</v>
      </c>
      <c r="CY21" s="23">
        <v>0</v>
      </c>
      <c r="CZ21" s="23">
        <v>0</v>
      </c>
    </row>
    <row r="22" spans="1:104" s="23" customFormat="1" x14ac:dyDescent="0.25">
      <c r="A22" s="1" t="str">
        <f t="shared" si="22"/>
        <v/>
      </c>
      <c r="B22" s="15" t="s">
        <v>32</v>
      </c>
      <c r="C22" s="177" t="s">
        <v>662</v>
      </c>
      <c r="D22" s="15">
        <v>41</v>
      </c>
      <c r="E22" s="15" t="s">
        <v>295</v>
      </c>
      <c r="F22" s="15">
        <v>66.099999999999994</v>
      </c>
      <c r="G22" s="31">
        <f>IF(OR(E22="",F22=""),"",IF(LEFT(E22,1)="M",VLOOKUP(F22,Setup!$J$9:$K$23,2,TRUE),VLOOKUP(F22,Setup!$L$9:$M$23,2,TRUE)))</f>
        <v>67.5</v>
      </c>
      <c r="H22" s="31">
        <f>IF(F22="",0,VLOOKUP(AL22,DATA!$L$2:$N$1910,IF(LEFT(E22,1)="F",3,2)))</f>
        <v>0.91449999999999998</v>
      </c>
      <c r="I22" s="15"/>
      <c r="J22" s="15"/>
      <c r="K22" s="102"/>
      <c r="L22" s="102"/>
      <c r="M22" s="102"/>
      <c r="N22" s="102"/>
      <c r="O22" s="103">
        <f t="shared" si="23"/>
        <v>0</v>
      </c>
      <c r="P22" s="182">
        <v>11</v>
      </c>
      <c r="Q22" s="249">
        <v>75</v>
      </c>
      <c r="R22" s="249">
        <v>80</v>
      </c>
      <c r="S22" s="249">
        <v>82.5</v>
      </c>
      <c r="T22" s="102"/>
      <c r="U22" s="103">
        <f t="shared" si="24"/>
        <v>82.5</v>
      </c>
      <c r="V22" s="104">
        <f t="shared" si="25"/>
        <v>0</v>
      </c>
      <c r="W22" s="249">
        <v>0</v>
      </c>
      <c r="X22" s="102"/>
      <c r="Y22" s="102"/>
      <c r="Z22" s="102"/>
      <c r="AA22" s="103">
        <f t="shared" si="26"/>
        <v>0</v>
      </c>
      <c r="AB22" s="104">
        <f t="shared" si="27"/>
        <v>0</v>
      </c>
      <c r="AC22" s="105">
        <f t="shared" si="28"/>
        <v>0</v>
      </c>
      <c r="AD22" s="105">
        <f>IF(OR(AB22=0,D22="",D22&lt;40),0,VLOOKUP($D22,DATA!$A$2:$B$53,2,TRUE)*AC22)</f>
        <v>0</v>
      </c>
      <c r="AE22" s="156">
        <v>1</v>
      </c>
      <c r="AF22" s="103">
        <f t="shared" ca="1" si="29"/>
        <v>0</v>
      </c>
      <c r="AG22" s="31">
        <f>IF(OR(AB22=0),0,VLOOKUP(AV22,Setup!$S$6:$T$15,2,TRUE))</f>
        <v>0</v>
      </c>
      <c r="AH22" s="106"/>
      <c r="AI22" s="101" t="s">
        <v>348</v>
      </c>
      <c r="AJ22" s="94">
        <f t="shared" si="30"/>
        <v>0</v>
      </c>
      <c r="AK22" s="31">
        <f t="shared" si="31"/>
        <v>0</v>
      </c>
      <c r="AL22" s="22">
        <f t="shared" si="32"/>
        <v>66.099999999999994</v>
      </c>
      <c r="AM22" s="22">
        <f t="shared" si="33"/>
        <v>0</v>
      </c>
      <c r="AN22" s="22">
        <f t="shared" si="34"/>
        <v>0</v>
      </c>
      <c r="AO22" s="22" t="str">
        <f t="shared" si="35"/>
        <v>F</v>
      </c>
      <c r="AP22" s="22"/>
      <c r="AQ22" s="23">
        <f t="shared" si="36"/>
        <v>0</v>
      </c>
      <c r="AR22" s="175">
        <f t="shared" ca="1" si="37"/>
        <v>17010000000</v>
      </c>
      <c r="AS22" s="22">
        <f t="shared" ca="1" si="38"/>
        <v>2</v>
      </c>
      <c r="AT22" s="139">
        <f t="shared" ca="1" si="39"/>
        <v>17010</v>
      </c>
      <c r="AU22" s="85">
        <f t="shared" ca="1" si="40"/>
        <v>2</v>
      </c>
      <c r="AV22" s="85">
        <f t="shared" ca="1" si="41"/>
        <v>1</v>
      </c>
      <c r="AW22" s="143">
        <f t="shared" si="42"/>
        <v>66.099999999999994</v>
      </c>
      <c r="AX22" s="22">
        <f t="shared" si="43"/>
        <v>20</v>
      </c>
      <c r="AY22" s="175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17010000000</v>
      </c>
      <c r="AZ22" s="31"/>
      <c r="BA22" s="31"/>
      <c r="BB22" s="31"/>
      <c r="BC22" s="31"/>
      <c r="BD22" s="31"/>
      <c r="BE22" s="31"/>
      <c r="BF22" s="31"/>
      <c r="BG22" s="31"/>
      <c r="BH22" s="72"/>
      <c r="BI22" s="72"/>
      <c r="BJ22" s="72"/>
      <c r="BK22" s="72"/>
      <c r="BL22" s="72"/>
      <c r="BM22" s="72"/>
      <c r="BN22" s="25"/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1</v>
      </c>
      <c r="CR22" s="23">
        <v>1</v>
      </c>
      <c r="CS22" s="23">
        <v>1</v>
      </c>
      <c r="CT22" s="23">
        <v>0</v>
      </c>
      <c r="CU22" s="23">
        <v>0</v>
      </c>
      <c r="CV22" s="23">
        <v>0</v>
      </c>
      <c r="CW22" s="23">
        <v>1</v>
      </c>
      <c r="CX22" s="23">
        <v>0</v>
      </c>
      <c r="CY22" s="23">
        <v>0</v>
      </c>
      <c r="CZ22" s="23">
        <v>0</v>
      </c>
    </row>
    <row r="23" spans="1:104" s="23" customFormat="1" x14ac:dyDescent="0.25">
      <c r="A23" s="1" t="str">
        <f t="shared" si="22"/>
        <v/>
      </c>
      <c r="B23" s="15" t="s">
        <v>32</v>
      </c>
      <c r="C23" s="177" t="s">
        <v>659</v>
      </c>
      <c r="D23" s="15">
        <v>17</v>
      </c>
      <c r="E23" s="15" t="s">
        <v>180</v>
      </c>
      <c r="F23" s="15">
        <v>98.95</v>
      </c>
      <c r="G23" s="31">
        <f>IF(OR(E23="",F23=""),"",IF(LEFT(E23,1)="M",VLOOKUP(F23,Setup!$J$9:$K$23,2,TRUE),VLOOKUP(F23,Setup!$L$9:$M$23,2,TRUE)))</f>
        <v>100</v>
      </c>
      <c r="H23" s="31">
        <f>IF(F23="",0,VLOOKUP(AL23,DATA!$L$2:$N$1910,IF(LEFT(E23,1)="F",3,2)))</f>
        <v>0.58379999999999999</v>
      </c>
      <c r="I23" s="15"/>
      <c r="J23" s="15"/>
      <c r="K23" s="102"/>
      <c r="L23" s="102"/>
      <c r="M23" s="102"/>
      <c r="N23" s="102"/>
      <c r="O23" s="103">
        <f t="shared" si="23"/>
        <v>0</v>
      </c>
      <c r="P23" s="182">
        <v>15</v>
      </c>
      <c r="Q23" s="249">
        <v>125</v>
      </c>
      <c r="R23" s="249">
        <v>137.5</v>
      </c>
      <c r="S23" s="249">
        <v>140</v>
      </c>
      <c r="T23" s="102"/>
      <c r="U23" s="103">
        <f t="shared" si="24"/>
        <v>140</v>
      </c>
      <c r="V23" s="104">
        <f t="shared" si="25"/>
        <v>0</v>
      </c>
      <c r="W23" s="102"/>
      <c r="X23" s="102"/>
      <c r="Y23" s="102"/>
      <c r="Z23" s="102"/>
      <c r="AA23" s="103">
        <f t="shared" si="26"/>
        <v>0</v>
      </c>
      <c r="AB23" s="104">
        <f t="shared" si="27"/>
        <v>0</v>
      </c>
      <c r="AC23" s="105">
        <f t="shared" si="28"/>
        <v>0</v>
      </c>
      <c r="AD23" s="105">
        <f>IF(OR(AB23=0,D23="",D23&lt;40),0,VLOOKUP($D23,DATA!$A$2:$B$53,2,TRUE)*AC23)</f>
        <v>0</v>
      </c>
      <c r="AE23" s="156">
        <v>1</v>
      </c>
      <c r="AF23" s="103">
        <f t="shared" ca="1" si="29"/>
        <v>0</v>
      </c>
      <c r="AG23" s="31">
        <f>IF(OR(AB23=0),0,VLOOKUP(AV23,Setup!$S$6:$T$15,2,TRUE))</f>
        <v>0</v>
      </c>
      <c r="AH23" s="106"/>
      <c r="AI23" s="101" t="s">
        <v>348</v>
      </c>
      <c r="AJ23" s="94">
        <f t="shared" si="30"/>
        <v>0</v>
      </c>
      <c r="AK23" s="31">
        <f t="shared" si="31"/>
        <v>0</v>
      </c>
      <c r="AL23" s="22">
        <f t="shared" si="32"/>
        <v>99</v>
      </c>
      <c r="AM23" s="22">
        <f t="shared" si="33"/>
        <v>0</v>
      </c>
      <c r="AN23" s="22">
        <f t="shared" si="34"/>
        <v>0</v>
      </c>
      <c r="AO23" s="22" t="str">
        <f t="shared" si="35"/>
        <v>M</v>
      </c>
      <c r="AP23" s="22"/>
      <c r="AQ23" s="23">
        <f t="shared" si="36"/>
        <v>0</v>
      </c>
      <c r="AR23" s="175">
        <f t="shared" ca="1" si="37"/>
        <v>1708000000</v>
      </c>
      <c r="AS23" s="22">
        <f t="shared" ca="1" si="38"/>
        <v>19</v>
      </c>
      <c r="AT23" s="139">
        <f t="shared" ca="1" si="39"/>
        <v>1708</v>
      </c>
      <c r="AU23" s="85">
        <f t="shared" ca="1" si="40"/>
        <v>19</v>
      </c>
      <c r="AV23" s="85">
        <f t="shared" ca="1" si="41"/>
        <v>1</v>
      </c>
      <c r="AW23" s="143">
        <f t="shared" si="42"/>
        <v>98.95</v>
      </c>
      <c r="AX23" s="22">
        <f t="shared" si="43"/>
        <v>13</v>
      </c>
      <c r="AY23" s="175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1708000000</v>
      </c>
      <c r="AZ23" s="31"/>
      <c r="BA23" s="31"/>
      <c r="BB23" s="31"/>
      <c r="BC23" s="31"/>
      <c r="BD23" s="31"/>
      <c r="BE23" s="31"/>
      <c r="BF23" s="31"/>
      <c r="BG23" s="31"/>
      <c r="BH23" s="72"/>
      <c r="BI23" s="72"/>
      <c r="BJ23" s="72"/>
      <c r="BK23" s="72"/>
      <c r="BL23" s="72"/>
      <c r="BM23" s="72"/>
      <c r="BN23" s="25"/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1</v>
      </c>
      <c r="CR23" s="23">
        <v>1</v>
      </c>
      <c r="CS23" s="23">
        <v>1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</row>
    <row r="24" spans="1:104" s="23" customFormat="1" x14ac:dyDescent="0.25">
      <c r="A24" s="1">
        <f t="shared" ref="A24:A34" si="44">IF(S24,ABS(S24+0.0001*I24),"")</f>
        <v>100</v>
      </c>
      <c r="B24" s="15" t="s">
        <v>33</v>
      </c>
      <c r="C24" s="177" t="s">
        <v>664</v>
      </c>
      <c r="D24" s="15">
        <v>49</v>
      </c>
      <c r="E24" s="15" t="s">
        <v>210</v>
      </c>
      <c r="F24" s="15">
        <v>98.1</v>
      </c>
      <c r="G24" s="31">
        <f>IF(OR(E24="",F24=""),"",IF(LEFT(E24,1)="M",VLOOKUP(F24,Setup!$J$9:$K$23,2,TRUE),VLOOKUP(F24,Setup!$L$9:$M$23,2,TRUE)))</f>
        <v>100</v>
      </c>
      <c r="H24" s="31">
        <f>IF(F24="",0,VLOOKUP(AL24,DATA!$L$2:$N$1910,IF(LEFT(E24,1)="F",3,2)))</f>
        <v>0.58614999999999995</v>
      </c>
      <c r="I24" s="15"/>
      <c r="J24" s="15"/>
      <c r="K24" s="102"/>
      <c r="L24" s="102"/>
      <c r="M24" s="102"/>
      <c r="N24" s="102"/>
      <c r="O24" s="103">
        <f t="shared" si="23"/>
        <v>0</v>
      </c>
      <c r="P24" s="182">
        <v>18</v>
      </c>
      <c r="Q24" s="249">
        <v>85</v>
      </c>
      <c r="R24" s="249">
        <v>-95</v>
      </c>
      <c r="S24" s="102">
        <v>-100</v>
      </c>
      <c r="T24" s="102"/>
      <c r="U24" s="103">
        <f t="shared" si="24"/>
        <v>85</v>
      </c>
      <c r="V24" s="104">
        <f t="shared" si="25"/>
        <v>0</v>
      </c>
      <c r="W24" s="102"/>
      <c r="X24" s="102"/>
      <c r="Y24" s="102"/>
      <c r="Z24" s="102"/>
      <c r="AA24" s="103">
        <f t="shared" si="26"/>
        <v>0</v>
      </c>
      <c r="AB24" s="104">
        <f t="shared" si="27"/>
        <v>0</v>
      </c>
      <c r="AC24" s="105">
        <f t="shared" si="28"/>
        <v>0</v>
      </c>
      <c r="AD24" s="105">
        <f>IF(OR(AB24=0,D24="",D24&lt;40),0,VLOOKUP($D24,DATA!$A$2:$B$53,2,TRUE)*AC24)</f>
        <v>0</v>
      </c>
      <c r="AE24" s="156">
        <v>1</v>
      </c>
      <c r="AF24" s="103">
        <f t="shared" ca="1" si="29"/>
        <v>0</v>
      </c>
      <c r="AG24" s="31">
        <f>IF(OR(AB24=0),0,VLOOKUP(AV24,Setup!$S$6:$T$15,2,TRUE))</f>
        <v>0</v>
      </c>
      <c r="AH24" s="106"/>
      <c r="AI24" s="101" t="s">
        <v>348</v>
      </c>
      <c r="AJ24" s="94">
        <f t="shared" si="30"/>
        <v>0</v>
      </c>
      <c r="AK24" s="31">
        <f t="shared" si="31"/>
        <v>1</v>
      </c>
      <c r="AL24" s="22">
        <f t="shared" si="32"/>
        <v>98.1</v>
      </c>
      <c r="AM24" s="22">
        <f t="shared" si="33"/>
        <v>0</v>
      </c>
      <c r="AN24" s="22">
        <f t="shared" si="34"/>
        <v>0</v>
      </c>
      <c r="AO24" s="22" t="str">
        <f t="shared" si="35"/>
        <v>M</v>
      </c>
      <c r="AP24" s="22"/>
      <c r="AQ24" s="23">
        <f t="shared" si="36"/>
        <v>0</v>
      </c>
      <c r="AR24" s="175">
        <f t="shared" ca="1" si="37"/>
        <v>5708000000</v>
      </c>
      <c r="AS24" s="22">
        <f t="shared" ca="1" si="38"/>
        <v>11</v>
      </c>
      <c r="AT24" s="139">
        <f t="shared" ca="1" si="39"/>
        <v>5708</v>
      </c>
      <c r="AU24" s="85">
        <f t="shared" ca="1" si="40"/>
        <v>11</v>
      </c>
      <c r="AV24" s="85">
        <f t="shared" ca="1" si="41"/>
        <v>1</v>
      </c>
      <c r="AW24" s="143">
        <f t="shared" si="42"/>
        <v>98.1</v>
      </c>
      <c r="AX24" s="22">
        <f t="shared" si="43"/>
        <v>14</v>
      </c>
      <c r="AY24" s="175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5708000000</v>
      </c>
      <c r="AZ24" s="31"/>
      <c r="BA24" s="31"/>
      <c r="BB24" s="31"/>
      <c r="BC24" s="31"/>
      <c r="BD24" s="31"/>
      <c r="BE24" s="31"/>
      <c r="BF24" s="31"/>
      <c r="BG24" s="31"/>
      <c r="BH24" s="72"/>
      <c r="BI24" s="72"/>
      <c r="BJ24" s="72"/>
      <c r="BK24" s="72"/>
      <c r="BL24" s="72"/>
      <c r="BM24" s="72"/>
      <c r="BN24" s="25"/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1</v>
      </c>
      <c r="CR24" s="23">
        <v>-1</v>
      </c>
      <c r="CS24" s="23">
        <v>-1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3">
        <v>0</v>
      </c>
    </row>
    <row r="25" spans="1:104" s="23" customFormat="1" x14ac:dyDescent="0.25">
      <c r="A25" s="1">
        <f t="shared" si="44"/>
        <v>147.5</v>
      </c>
      <c r="B25" s="15" t="s">
        <v>33</v>
      </c>
      <c r="C25" s="177" t="s">
        <v>682</v>
      </c>
      <c r="D25" s="15">
        <v>45</v>
      </c>
      <c r="E25" s="15" t="s">
        <v>210</v>
      </c>
      <c r="F25" s="15">
        <v>154.69999999999999</v>
      </c>
      <c r="G25" s="31" t="str">
        <f>IF(OR(E25="",F25=""),"",IF(LEFT(E25,1)="M",VLOOKUP(F25,Setup!$J$9:$K$23,2,TRUE),VLOOKUP(F25,Setup!$L$9:$M$23,2,TRUE)))</f>
        <v>SHW</v>
      </c>
      <c r="H25" s="31">
        <f>IF(F25="",0,VLOOKUP(AL25,DATA!$L$2:$N$1910,IF(LEFT(E25,1)="F",3,2)))</f>
        <v>0.51954999999999996</v>
      </c>
      <c r="I25" s="15"/>
      <c r="J25" s="15"/>
      <c r="K25" s="102"/>
      <c r="L25" s="102"/>
      <c r="M25" s="102"/>
      <c r="N25" s="102"/>
      <c r="O25" s="103">
        <f t="shared" si="23"/>
        <v>0</v>
      </c>
      <c r="P25" s="182">
        <v>18</v>
      </c>
      <c r="Q25" s="249">
        <v>130</v>
      </c>
      <c r="R25" s="102">
        <v>-142.5</v>
      </c>
      <c r="S25" s="249">
        <v>147.5</v>
      </c>
      <c r="T25" s="102"/>
      <c r="U25" s="103">
        <f t="shared" si="24"/>
        <v>147.5</v>
      </c>
      <c r="V25" s="104">
        <f t="shared" si="25"/>
        <v>0</v>
      </c>
      <c r="W25" s="102"/>
      <c r="X25" s="102"/>
      <c r="Y25" s="102"/>
      <c r="Z25" s="102"/>
      <c r="AA25" s="103">
        <f t="shared" si="26"/>
        <v>0</v>
      </c>
      <c r="AB25" s="104">
        <f t="shared" si="27"/>
        <v>0</v>
      </c>
      <c r="AC25" s="105">
        <f t="shared" si="28"/>
        <v>0</v>
      </c>
      <c r="AD25" s="105">
        <f>IF(OR(AB25=0,D25="",D25&lt;40),0,VLOOKUP($D25,DATA!$A$2:$B$53,2,TRUE)*AC25)</f>
        <v>0</v>
      </c>
      <c r="AE25" s="156">
        <v>1</v>
      </c>
      <c r="AF25" s="103">
        <f t="shared" ca="1" si="29"/>
        <v>0</v>
      </c>
      <c r="AG25" s="31">
        <f>IF(OR(AB25=0),0,VLOOKUP(AV25,Setup!$S$6:$T$15,2,TRUE))</f>
        <v>0</v>
      </c>
      <c r="AH25" s="106"/>
      <c r="AI25" s="101" t="s">
        <v>348</v>
      </c>
      <c r="AJ25" s="94">
        <f t="shared" si="30"/>
        <v>0</v>
      </c>
      <c r="AK25" s="31">
        <f t="shared" si="31"/>
        <v>1</v>
      </c>
      <c r="AL25" s="22">
        <f t="shared" si="32"/>
        <v>154.69999999999999</v>
      </c>
      <c r="AM25" s="22">
        <f t="shared" si="33"/>
        <v>0</v>
      </c>
      <c r="AN25" s="22">
        <f t="shared" si="34"/>
        <v>0</v>
      </c>
      <c r="AO25" s="22" t="str">
        <f t="shared" si="35"/>
        <v>M</v>
      </c>
      <c r="AP25" s="22"/>
      <c r="AQ25" s="23">
        <f t="shared" si="36"/>
        <v>0</v>
      </c>
      <c r="AR25" s="175">
        <f t="shared" ca="1" si="37"/>
        <v>5704000000</v>
      </c>
      <c r="AS25" s="22">
        <f t="shared" ca="1" si="38"/>
        <v>14</v>
      </c>
      <c r="AT25" s="139">
        <f t="shared" ca="1" si="39"/>
        <v>5704</v>
      </c>
      <c r="AU25" s="85">
        <f t="shared" ca="1" si="40"/>
        <v>14</v>
      </c>
      <c r="AV25" s="85">
        <f t="shared" ca="1" si="41"/>
        <v>1</v>
      </c>
      <c r="AW25" s="143">
        <f t="shared" si="42"/>
        <v>154.69999999999999</v>
      </c>
      <c r="AX25" s="22">
        <f t="shared" si="43"/>
        <v>1</v>
      </c>
      <c r="AY25" s="175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5704000000</v>
      </c>
      <c r="AZ25" s="31"/>
      <c r="BA25" s="31"/>
      <c r="BB25" s="31"/>
      <c r="BC25" s="31"/>
      <c r="BD25" s="31"/>
      <c r="BE25" s="31"/>
      <c r="BF25" s="31"/>
      <c r="BG25" s="31"/>
      <c r="BH25" s="72"/>
      <c r="BI25" s="72"/>
      <c r="BJ25" s="72"/>
      <c r="BK25" s="72"/>
      <c r="BL25" s="72"/>
      <c r="BM25" s="72"/>
      <c r="BN25" s="25"/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1</v>
      </c>
      <c r="CR25" s="23">
        <v>-1</v>
      </c>
      <c r="CS25" s="23">
        <v>1</v>
      </c>
      <c r="CT25" s="23">
        <v>0</v>
      </c>
      <c r="CU25" s="23">
        <v>0</v>
      </c>
      <c r="CV25" s="23">
        <v>0</v>
      </c>
      <c r="CW25" s="23">
        <v>0</v>
      </c>
      <c r="CX25" s="23">
        <v>0</v>
      </c>
      <c r="CY25" s="23">
        <v>0</v>
      </c>
      <c r="CZ25" s="23">
        <v>0</v>
      </c>
    </row>
    <row r="26" spans="1:104" s="23" customFormat="1" x14ac:dyDescent="0.25">
      <c r="A26" s="1">
        <f t="shared" si="44"/>
        <v>147.5</v>
      </c>
      <c r="B26" s="15" t="s">
        <v>33</v>
      </c>
      <c r="C26" s="177" t="s">
        <v>683</v>
      </c>
      <c r="D26" s="15">
        <v>45</v>
      </c>
      <c r="E26" s="15" t="s">
        <v>168</v>
      </c>
      <c r="F26" s="15">
        <v>154.69999999999999</v>
      </c>
      <c r="G26" s="31" t="str">
        <f>IF(OR(E26="",F26=""),"",IF(LEFT(E26,1)="M",VLOOKUP(F26,Setup!$J$9:$K$23,2,TRUE),VLOOKUP(F26,Setup!$L$9:$M$23,2,TRUE)))</f>
        <v>SHW</v>
      </c>
      <c r="H26" s="31">
        <f>IF(F26="",0,VLOOKUP(AL26,DATA!$L$2:$N$1910,IF(LEFT(E26,1)="F",3,2)))</f>
        <v>0.51954999999999996</v>
      </c>
      <c r="I26" s="15"/>
      <c r="J26" s="15"/>
      <c r="K26" s="102"/>
      <c r="L26" s="102"/>
      <c r="M26" s="102"/>
      <c r="N26" s="102"/>
      <c r="O26" s="103">
        <f t="shared" si="23"/>
        <v>0</v>
      </c>
      <c r="P26" s="182">
        <v>18</v>
      </c>
      <c r="Q26" s="249">
        <v>130</v>
      </c>
      <c r="R26" s="102">
        <v>-142.5</v>
      </c>
      <c r="S26" s="249">
        <v>147.5</v>
      </c>
      <c r="T26" s="102"/>
      <c r="U26" s="103">
        <f t="shared" si="24"/>
        <v>147.5</v>
      </c>
      <c r="V26" s="104">
        <f t="shared" si="25"/>
        <v>0</v>
      </c>
      <c r="W26" s="102"/>
      <c r="X26" s="102"/>
      <c r="Y26" s="102"/>
      <c r="Z26" s="102"/>
      <c r="AA26" s="103">
        <f t="shared" si="26"/>
        <v>0</v>
      </c>
      <c r="AB26" s="104">
        <f t="shared" si="27"/>
        <v>0</v>
      </c>
      <c r="AC26" s="105">
        <f t="shared" si="28"/>
        <v>0</v>
      </c>
      <c r="AD26" s="105">
        <f>IF(OR(AB26=0,D26="",D26&lt;40),0,VLOOKUP($D26,DATA!$A$2:$B$53,2,TRUE)*AC26)</f>
        <v>0</v>
      </c>
      <c r="AE26" s="156">
        <v>1</v>
      </c>
      <c r="AF26" s="103">
        <f t="shared" ca="1" si="29"/>
        <v>0</v>
      </c>
      <c r="AG26" s="31">
        <f>IF(OR(AB26=0),0,VLOOKUP(AV26,Setup!$S$6:$T$15,2,TRUE))</f>
        <v>0</v>
      </c>
      <c r="AH26" s="106"/>
      <c r="AI26" s="101" t="s">
        <v>348</v>
      </c>
      <c r="AJ26" s="94">
        <f t="shared" si="30"/>
        <v>0</v>
      </c>
      <c r="AK26" s="31">
        <f t="shared" si="31"/>
        <v>1</v>
      </c>
      <c r="AL26" s="22">
        <f t="shared" si="32"/>
        <v>154.69999999999999</v>
      </c>
      <c r="AM26" s="22">
        <f t="shared" si="33"/>
        <v>0</v>
      </c>
      <c r="AN26" s="22">
        <f t="shared" si="34"/>
        <v>0</v>
      </c>
      <c r="AO26" s="22" t="str">
        <f t="shared" si="35"/>
        <v>M</v>
      </c>
      <c r="AP26" s="22"/>
      <c r="AQ26" s="23">
        <f t="shared" si="36"/>
        <v>0</v>
      </c>
      <c r="AR26" s="175">
        <f t="shared" ca="1" si="37"/>
        <v>104000000</v>
      </c>
      <c r="AS26" s="22">
        <f t="shared" ca="1" si="38"/>
        <v>24</v>
      </c>
      <c r="AT26" s="139">
        <f t="shared" ca="1" si="39"/>
        <v>104</v>
      </c>
      <c r="AU26" s="85">
        <f t="shared" ca="1" si="40"/>
        <v>24</v>
      </c>
      <c r="AV26" s="85">
        <f t="shared" ca="1" si="41"/>
        <v>1</v>
      </c>
      <c r="AW26" s="143">
        <f t="shared" si="42"/>
        <v>154.69999999999999</v>
      </c>
      <c r="AX26" s="22">
        <f t="shared" si="43"/>
        <v>1</v>
      </c>
      <c r="AY26" s="175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104000000</v>
      </c>
      <c r="AZ26" s="31"/>
      <c r="BA26" s="31"/>
      <c r="BB26" s="31"/>
      <c r="BC26" s="31"/>
      <c r="BD26" s="31"/>
      <c r="BE26" s="31"/>
      <c r="BF26" s="31"/>
      <c r="BG26" s="31"/>
      <c r="BH26" s="72"/>
      <c r="BI26" s="72"/>
      <c r="BJ26" s="72"/>
      <c r="BK26" s="72"/>
      <c r="BL26" s="72"/>
      <c r="BM26" s="72"/>
      <c r="BN26" s="25"/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1</v>
      </c>
      <c r="CR26" s="23">
        <v>-1</v>
      </c>
      <c r="CS26" s="23">
        <v>1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</row>
    <row r="27" spans="1:104" s="23" customFormat="1" x14ac:dyDescent="0.25">
      <c r="A27" s="1">
        <f t="shared" si="44"/>
        <v>165</v>
      </c>
      <c r="B27" s="15" t="s">
        <v>33</v>
      </c>
      <c r="C27" s="177" t="s">
        <v>663</v>
      </c>
      <c r="D27" s="15">
        <v>50</v>
      </c>
      <c r="E27" s="15" t="s">
        <v>217</v>
      </c>
      <c r="F27" s="15">
        <v>97.05</v>
      </c>
      <c r="G27" s="31">
        <f>IF(OR(E27="",F27=""),"",IF(LEFT(E27,1)="M",VLOOKUP(F27,Setup!$J$9:$K$23,2,TRUE),VLOOKUP(F27,Setup!$L$9:$M$23,2,TRUE)))</f>
        <v>100</v>
      </c>
      <c r="H27" s="31">
        <f>IF(F27="",0,VLOOKUP(AL27,DATA!$L$2:$N$1910,IF(LEFT(E27,1)="F",3,2)))</f>
        <v>0.58884999999999998</v>
      </c>
      <c r="I27" s="15"/>
      <c r="J27" s="15"/>
      <c r="K27" s="102"/>
      <c r="L27" s="102"/>
      <c r="M27" s="102"/>
      <c r="N27" s="102"/>
      <c r="O27" s="103">
        <f t="shared" si="23"/>
        <v>0</v>
      </c>
      <c r="P27" s="182">
        <v>14</v>
      </c>
      <c r="Q27" s="249">
        <v>152.5</v>
      </c>
      <c r="R27" s="249">
        <v>160</v>
      </c>
      <c r="S27" s="102">
        <v>-165</v>
      </c>
      <c r="T27" s="102"/>
      <c r="U27" s="103">
        <f t="shared" si="24"/>
        <v>160</v>
      </c>
      <c r="V27" s="104">
        <f t="shared" si="25"/>
        <v>0</v>
      </c>
      <c r="W27" s="102"/>
      <c r="X27" s="102"/>
      <c r="Y27" s="102"/>
      <c r="Z27" s="102"/>
      <c r="AA27" s="103">
        <f t="shared" si="26"/>
        <v>0</v>
      </c>
      <c r="AB27" s="104">
        <f t="shared" si="27"/>
        <v>0</v>
      </c>
      <c r="AC27" s="105">
        <f t="shared" si="28"/>
        <v>0</v>
      </c>
      <c r="AD27" s="105">
        <f>IF(OR(AB27=0,D27="",D27&lt;40),0,VLOOKUP($D27,DATA!$A$2:$B$53,2,TRUE)*AC27)</f>
        <v>0</v>
      </c>
      <c r="AE27" s="156">
        <v>1</v>
      </c>
      <c r="AF27" s="103">
        <f t="shared" ca="1" si="29"/>
        <v>0</v>
      </c>
      <c r="AG27" s="31">
        <f>IF(OR(AB27=0),0,VLOOKUP(AV27,Setup!$S$6:$T$15,2,TRUE))</f>
        <v>0</v>
      </c>
      <c r="AH27" s="106"/>
      <c r="AI27" s="101" t="s">
        <v>348</v>
      </c>
      <c r="AJ27" s="94">
        <f t="shared" si="30"/>
        <v>0</v>
      </c>
      <c r="AK27" s="31">
        <f t="shared" si="31"/>
        <v>1</v>
      </c>
      <c r="AL27" s="22">
        <f t="shared" si="32"/>
        <v>97.1</v>
      </c>
      <c r="AM27" s="22">
        <f t="shared" si="33"/>
        <v>0</v>
      </c>
      <c r="AN27" s="22">
        <f t="shared" si="34"/>
        <v>0</v>
      </c>
      <c r="AO27" s="22" t="str">
        <f t="shared" si="35"/>
        <v>M</v>
      </c>
      <c r="AP27" s="22"/>
      <c r="AQ27" s="23">
        <f t="shared" si="36"/>
        <v>0</v>
      </c>
      <c r="AR27" s="175">
        <f t="shared" ca="1" si="37"/>
        <v>6608000000</v>
      </c>
      <c r="AS27" s="22">
        <f t="shared" ca="1" si="38"/>
        <v>9</v>
      </c>
      <c r="AT27" s="139">
        <f t="shared" ca="1" si="39"/>
        <v>6608</v>
      </c>
      <c r="AU27" s="85">
        <f t="shared" ca="1" si="40"/>
        <v>9</v>
      </c>
      <c r="AV27" s="85">
        <f t="shared" ca="1" si="41"/>
        <v>1</v>
      </c>
      <c r="AW27" s="143">
        <f t="shared" si="42"/>
        <v>97.05</v>
      </c>
      <c r="AX27" s="22">
        <f t="shared" si="43"/>
        <v>15</v>
      </c>
      <c r="AY27" s="175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6608000000</v>
      </c>
      <c r="AZ27" s="31"/>
      <c r="BA27" s="31"/>
      <c r="BB27" s="31"/>
      <c r="BC27" s="31"/>
      <c r="BD27" s="31"/>
      <c r="BE27" s="31"/>
      <c r="BF27" s="31"/>
      <c r="BG27" s="31"/>
      <c r="BH27" s="72"/>
      <c r="BI27" s="72"/>
      <c r="BJ27" s="72"/>
      <c r="BK27" s="72"/>
      <c r="BL27" s="72"/>
      <c r="BM27" s="72"/>
      <c r="BN27" s="25"/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1</v>
      </c>
      <c r="CR27" s="23">
        <v>1</v>
      </c>
      <c r="CS27" s="23">
        <v>-1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3">
        <v>0</v>
      </c>
    </row>
    <row r="28" spans="1:104" s="23" customFormat="1" x14ac:dyDescent="0.25">
      <c r="A28" s="1">
        <f t="shared" si="44"/>
        <v>182.5</v>
      </c>
      <c r="B28" s="15" t="s">
        <v>33</v>
      </c>
      <c r="C28" s="177" t="s">
        <v>658</v>
      </c>
      <c r="D28" s="15">
        <v>46</v>
      </c>
      <c r="E28" s="15" t="s">
        <v>210</v>
      </c>
      <c r="F28" s="15">
        <v>123.5</v>
      </c>
      <c r="G28" s="31">
        <f>IF(OR(E28="",F28=""),"",IF(LEFT(E28,1)="M",VLOOKUP(F28,Setup!$J$9:$K$23,2,TRUE),VLOOKUP(F28,Setup!$L$9:$M$23,2,TRUE)))</f>
        <v>125</v>
      </c>
      <c r="H28" s="31">
        <f>IF(F28="",0,VLOOKUP(AL28,DATA!$L$2:$N$1910,IF(LEFT(E28,1)="F",3,2)))</f>
        <v>0.54720000000000002</v>
      </c>
      <c r="I28" s="15"/>
      <c r="J28" s="15"/>
      <c r="K28" s="102"/>
      <c r="L28" s="102"/>
      <c r="M28" s="102"/>
      <c r="N28" s="102"/>
      <c r="O28" s="103">
        <f t="shared" si="23"/>
        <v>0</v>
      </c>
      <c r="P28" s="182">
        <v>20</v>
      </c>
      <c r="Q28" s="249">
        <v>172.5</v>
      </c>
      <c r="R28" s="102">
        <v>-182.5</v>
      </c>
      <c r="S28" s="102">
        <v>-182.5</v>
      </c>
      <c r="T28" s="102"/>
      <c r="U28" s="103">
        <f t="shared" si="24"/>
        <v>172.5</v>
      </c>
      <c r="V28" s="104">
        <f t="shared" si="25"/>
        <v>0</v>
      </c>
      <c r="W28" s="102"/>
      <c r="X28" s="102"/>
      <c r="Y28" s="102"/>
      <c r="Z28" s="102"/>
      <c r="AA28" s="103">
        <f t="shared" si="26"/>
        <v>0</v>
      </c>
      <c r="AB28" s="104">
        <f t="shared" si="27"/>
        <v>0</v>
      </c>
      <c r="AC28" s="105">
        <f t="shared" si="28"/>
        <v>0</v>
      </c>
      <c r="AD28" s="105">
        <f>IF(OR(AB28=0,D28="",D28&lt;40),0,VLOOKUP($D28,DATA!$A$2:$B$53,2,TRUE)*AC28)</f>
        <v>0</v>
      </c>
      <c r="AE28" s="156">
        <v>1</v>
      </c>
      <c r="AF28" s="103">
        <f t="shared" ca="1" si="29"/>
        <v>0</v>
      </c>
      <c r="AG28" s="31">
        <f>IF(OR(AB28=0),0,VLOOKUP(AV28,Setup!$S$6:$T$15,2,TRUE))</f>
        <v>0</v>
      </c>
      <c r="AH28" s="106"/>
      <c r="AI28" s="101" t="s">
        <v>348</v>
      </c>
      <c r="AJ28" s="94">
        <f t="shared" si="30"/>
        <v>0</v>
      </c>
      <c r="AK28" s="31">
        <f t="shared" si="31"/>
        <v>1</v>
      </c>
      <c r="AL28" s="22">
        <f t="shared" si="32"/>
        <v>123.5</v>
      </c>
      <c r="AM28" s="22">
        <f t="shared" si="33"/>
        <v>0</v>
      </c>
      <c r="AN28" s="22">
        <f t="shared" si="34"/>
        <v>0</v>
      </c>
      <c r="AO28" s="22" t="str">
        <f t="shared" si="35"/>
        <v>M</v>
      </c>
      <c r="AP28" s="22"/>
      <c r="AQ28" s="23">
        <f t="shared" si="36"/>
        <v>0</v>
      </c>
      <c r="AR28" s="175">
        <f t="shared" ca="1" si="37"/>
        <v>5706000000</v>
      </c>
      <c r="AS28" s="22">
        <f t="shared" ca="1" si="38"/>
        <v>12</v>
      </c>
      <c r="AT28" s="139">
        <f t="shared" ca="1" si="39"/>
        <v>5706</v>
      </c>
      <c r="AU28" s="85">
        <f t="shared" ca="1" si="40"/>
        <v>12</v>
      </c>
      <c r="AV28" s="85">
        <f t="shared" ca="1" si="41"/>
        <v>1</v>
      </c>
      <c r="AW28" s="143">
        <f t="shared" si="42"/>
        <v>123.5</v>
      </c>
      <c r="AX28" s="22">
        <f t="shared" si="43"/>
        <v>9</v>
      </c>
      <c r="AY28" s="175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5706000000</v>
      </c>
      <c r="AZ28" s="31"/>
      <c r="BA28" s="31"/>
      <c r="BB28" s="31"/>
      <c r="BC28" s="31"/>
      <c r="BD28" s="31"/>
      <c r="BE28" s="31"/>
      <c r="BF28" s="31"/>
      <c r="BG28" s="31"/>
      <c r="BH28" s="72"/>
      <c r="BI28" s="72"/>
      <c r="BJ28" s="72"/>
      <c r="BK28" s="72"/>
      <c r="BL28" s="72"/>
      <c r="BM28" s="72"/>
      <c r="BN28" s="25"/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1</v>
      </c>
      <c r="CR28" s="23">
        <v>-1</v>
      </c>
      <c r="CS28" s="23">
        <v>-1</v>
      </c>
      <c r="CT28" s="23">
        <v>0</v>
      </c>
      <c r="CU28" s="23">
        <v>0</v>
      </c>
      <c r="CV28" s="23">
        <v>0</v>
      </c>
      <c r="CW28" s="23">
        <v>0</v>
      </c>
      <c r="CX28" s="23">
        <v>0</v>
      </c>
      <c r="CY28" s="23">
        <v>0</v>
      </c>
      <c r="CZ28" s="23">
        <v>0</v>
      </c>
    </row>
    <row r="29" spans="1:104" s="23" customFormat="1" x14ac:dyDescent="0.25">
      <c r="A29" s="1">
        <f t="shared" si="44"/>
        <v>190</v>
      </c>
      <c r="B29" s="15" t="s">
        <v>33</v>
      </c>
      <c r="C29" s="177" t="s">
        <v>660</v>
      </c>
      <c r="D29" s="15">
        <v>51</v>
      </c>
      <c r="E29" s="15" t="s">
        <v>216</v>
      </c>
      <c r="F29" s="15">
        <v>121.35</v>
      </c>
      <c r="G29" s="31">
        <f>IF(OR(E29="",F29=""),"",IF(LEFT(E29,1)="M",VLOOKUP(F29,Setup!$J$9:$K$23,2,TRUE),VLOOKUP(F29,Setup!$L$9:$M$23,2,TRUE)))</f>
        <v>125</v>
      </c>
      <c r="H29" s="31">
        <f>IF(F29="",0,VLOOKUP(AL29,DATA!$L$2:$N$1910,IF(LEFT(E29,1)="F",3,2)))</f>
        <v>0.54949999999999999</v>
      </c>
      <c r="I29" s="15"/>
      <c r="J29" s="15"/>
      <c r="K29" s="102"/>
      <c r="L29" s="102"/>
      <c r="M29" s="102"/>
      <c r="N29" s="102"/>
      <c r="O29" s="103">
        <f t="shared" si="23"/>
        <v>0</v>
      </c>
      <c r="P29" s="182"/>
      <c r="Q29" s="102">
        <v>-175</v>
      </c>
      <c r="R29" s="102">
        <v>-190</v>
      </c>
      <c r="S29" s="102">
        <v>-190</v>
      </c>
      <c r="T29" s="102"/>
      <c r="U29" s="103">
        <f t="shared" si="24"/>
        <v>0</v>
      </c>
      <c r="V29" s="104">
        <f t="shared" si="25"/>
        <v>0</v>
      </c>
      <c r="W29" s="102"/>
      <c r="X29" s="102"/>
      <c r="Y29" s="102"/>
      <c r="Z29" s="102"/>
      <c r="AA29" s="103">
        <f t="shared" si="26"/>
        <v>0</v>
      </c>
      <c r="AB29" s="104">
        <f t="shared" si="27"/>
        <v>0</v>
      </c>
      <c r="AC29" s="105">
        <f t="shared" si="28"/>
        <v>0</v>
      </c>
      <c r="AD29" s="105">
        <f>IF(OR(AB29=0,D29="",D29&lt;40),0,VLOOKUP($D29,DATA!$A$2:$B$53,2,TRUE)*AC29)</f>
        <v>0</v>
      </c>
      <c r="AE29" s="156">
        <v>1</v>
      </c>
      <c r="AF29" s="103">
        <f t="shared" ca="1" si="29"/>
        <v>0</v>
      </c>
      <c r="AG29" s="31">
        <f>IF(OR(AB29=0),0,VLOOKUP(AV29,Setup!$S$6:$T$15,2,TRUE))</f>
        <v>0</v>
      </c>
      <c r="AH29" s="106"/>
      <c r="AI29" s="101" t="s">
        <v>348</v>
      </c>
      <c r="AJ29" s="94">
        <f t="shared" si="30"/>
        <v>0</v>
      </c>
      <c r="AK29" s="31">
        <f t="shared" si="31"/>
        <v>1</v>
      </c>
      <c r="AL29" s="22">
        <f t="shared" si="32"/>
        <v>121.4</v>
      </c>
      <c r="AM29" s="22">
        <f t="shared" si="33"/>
        <v>0</v>
      </c>
      <c r="AN29" s="22">
        <f t="shared" si="34"/>
        <v>0</v>
      </c>
      <c r="AO29" s="22" t="str">
        <f t="shared" si="35"/>
        <v>M</v>
      </c>
      <c r="AP29" s="22"/>
      <c r="AQ29" s="23">
        <f t="shared" si="36"/>
        <v>0</v>
      </c>
      <c r="AR29" s="175">
        <f t="shared" ca="1" si="37"/>
        <v>6506000000</v>
      </c>
      <c r="AS29" s="22">
        <f t="shared" ca="1" si="38"/>
        <v>10</v>
      </c>
      <c r="AT29" s="139">
        <f t="shared" ca="1" si="39"/>
        <v>6506</v>
      </c>
      <c r="AU29" s="85">
        <f t="shared" ca="1" si="40"/>
        <v>10</v>
      </c>
      <c r="AV29" s="85">
        <f t="shared" ca="1" si="41"/>
        <v>1</v>
      </c>
      <c r="AW29" s="143">
        <f t="shared" si="42"/>
        <v>121.35</v>
      </c>
      <c r="AX29" s="22">
        <f t="shared" si="43"/>
        <v>10</v>
      </c>
      <c r="AY29" s="175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6506000000</v>
      </c>
      <c r="AZ29" s="31"/>
      <c r="BA29" s="31"/>
      <c r="BB29" s="31"/>
      <c r="BC29" s="31"/>
      <c r="BD29" s="31"/>
      <c r="BE29" s="31"/>
      <c r="BF29" s="31"/>
      <c r="BG29" s="31"/>
      <c r="BH29" s="72"/>
      <c r="BI29" s="72"/>
      <c r="BJ29" s="72"/>
      <c r="BK29" s="72"/>
      <c r="BL29" s="72"/>
      <c r="BM29" s="72"/>
      <c r="BN29" s="25"/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-1</v>
      </c>
      <c r="CR29" s="23">
        <v>-1</v>
      </c>
      <c r="CS29" s="23">
        <v>-1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3">
        <v>0</v>
      </c>
    </row>
    <row r="30" spans="1:104" s="23" customFormat="1" x14ac:dyDescent="0.25">
      <c r="A30" s="1">
        <f t="shared" si="44"/>
        <v>225</v>
      </c>
      <c r="B30" s="15" t="s">
        <v>33</v>
      </c>
      <c r="C30" s="177" t="s">
        <v>661</v>
      </c>
      <c r="D30" s="15">
        <v>43</v>
      </c>
      <c r="E30" s="15" t="s">
        <v>205</v>
      </c>
      <c r="F30" s="15">
        <v>137</v>
      </c>
      <c r="G30" s="31">
        <f>IF(OR(E30="",F30=""),"",IF(LEFT(E30,1)="M",VLOOKUP(F30,Setup!$J$9:$K$23,2,TRUE),VLOOKUP(F30,Setup!$L$9:$M$23,2,TRUE)))</f>
        <v>140</v>
      </c>
      <c r="H30" s="31">
        <f>IF(F30="",0,VLOOKUP(AL30,DATA!$L$2:$N$1910,IF(LEFT(E30,1)="F",3,2)))</f>
        <v>0.53370000000000006</v>
      </c>
      <c r="I30" s="15"/>
      <c r="J30" s="15"/>
      <c r="K30" s="102"/>
      <c r="L30" s="102"/>
      <c r="M30" s="102"/>
      <c r="N30" s="102"/>
      <c r="O30" s="103">
        <f t="shared" si="23"/>
        <v>0</v>
      </c>
      <c r="P30" s="182">
        <v>15</v>
      </c>
      <c r="Q30" s="249">
        <v>212.5</v>
      </c>
      <c r="R30" s="249">
        <v>217.5</v>
      </c>
      <c r="S30" s="249">
        <v>225</v>
      </c>
      <c r="T30" s="102"/>
      <c r="U30" s="103">
        <f t="shared" si="24"/>
        <v>225</v>
      </c>
      <c r="V30" s="104">
        <f t="shared" si="25"/>
        <v>0</v>
      </c>
      <c r="W30" s="249">
        <v>237.5</v>
      </c>
      <c r="X30" s="249">
        <v>255</v>
      </c>
      <c r="Y30" s="249">
        <v>272.5</v>
      </c>
      <c r="Z30" s="102"/>
      <c r="AA30" s="103">
        <f t="shared" si="26"/>
        <v>272.5</v>
      </c>
      <c r="AB30" s="104">
        <f t="shared" si="27"/>
        <v>497.5</v>
      </c>
      <c r="AC30" s="105">
        <f t="shared" si="28"/>
        <v>265.51575000000003</v>
      </c>
      <c r="AD30" s="105">
        <f>IF(OR(AB30=0,D30="",D30&lt;40),0,VLOOKUP($D30,DATA!$A$2:$B$53,2,TRUE)*AC30)</f>
        <v>273.74673825000002</v>
      </c>
      <c r="AE30" s="156">
        <v>1</v>
      </c>
      <c r="AF30" s="103" t="str">
        <f t="shared" ca="1" si="29"/>
        <v>1-M_MR_1_AAPF-140</v>
      </c>
      <c r="AG30" s="31">
        <f ca="1">IF(OR(AB30=0),0,VLOOKUP(AV30,Setup!$S$6:$T$15,2,TRUE))</f>
        <v>3</v>
      </c>
      <c r="AH30" s="106"/>
      <c r="AI30" s="101" t="s">
        <v>667</v>
      </c>
      <c r="AJ30" s="94">
        <f t="shared" si="30"/>
        <v>1</v>
      </c>
      <c r="AK30" s="31">
        <f t="shared" si="31"/>
        <v>1</v>
      </c>
      <c r="AL30" s="22">
        <f t="shared" si="32"/>
        <v>137</v>
      </c>
      <c r="AM30" s="22">
        <f t="shared" si="33"/>
        <v>0</v>
      </c>
      <c r="AN30" s="22">
        <f t="shared" si="34"/>
        <v>497.5</v>
      </c>
      <c r="AO30" s="22" t="str">
        <f t="shared" si="35"/>
        <v>M</v>
      </c>
      <c r="AP30" s="22"/>
      <c r="AQ30" s="23">
        <f t="shared" si="36"/>
        <v>1</v>
      </c>
      <c r="AR30" s="175">
        <f t="shared" ca="1" si="37"/>
        <v>5005026006</v>
      </c>
      <c r="AS30" s="22">
        <f t="shared" ca="1" si="38"/>
        <v>16</v>
      </c>
      <c r="AT30" s="139">
        <f t="shared" ca="1" si="39"/>
        <v>5005</v>
      </c>
      <c r="AU30" s="85">
        <f t="shared" ca="1" si="40"/>
        <v>16</v>
      </c>
      <c r="AV30" s="85">
        <f t="shared" ca="1" si="41"/>
        <v>1</v>
      </c>
      <c r="AW30" s="143">
        <f t="shared" si="42"/>
        <v>137</v>
      </c>
      <c r="AX30" s="22">
        <f t="shared" si="43"/>
        <v>6</v>
      </c>
      <c r="AY30" s="175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5005026006</v>
      </c>
      <c r="AZ30" s="31"/>
      <c r="BA30" s="31"/>
      <c r="BB30" s="31"/>
      <c r="BC30" s="31"/>
      <c r="BD30" s="31"/>
      <c r="BE30" s="31"/>
      <c r="BF30" s="31"/>
      <c r="BG30" s="31"/>
      <c r="BH30" s="72"/>
      <c r="BI30" s="72"/>
      <c r="BJ30" s="72"/>
      <c r="BK30" s="72"/>
      <c r="BL30" s="72"/>
      <c r="BM30" s="72"/>
      <c r="BN30" s="25"/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1</v>
      </c>
      <c r="CR30" s="23">
        <v>1</v>
      </c>
      <c r="CS30" s="23">
        <v>1</v>
      </c>
      <c r="CT30" s="23">
        <v>0</v>
      </c>
      <c r="CU30" s="23">
        <v>0</v>
      </c>
      <c r="CV30" s="23">
        <v>0</v>
      </c>
      <c r="CW30" s="23">
        <v>1</v>
      </c>
      <c r="CX30" s="23">
        <v>1</v>
      </c>
      <c r="CY30" s="23">
        <v>1</v>
      </c>
      <c r="CZ30" s="23">
        <v>0</v>
      </c>
    </row>
    <row r="31" spans="1:104" s="23" customFormat="1" x14ac:dyDescent="0.25">
      <c r="A31" s="1">
        <f t="shared" si="44"/>
        <v>227.5</v>
      </c>
      <c r="B31" s="15" t="s">
        <v>33</v>
      </c>
      <c r="C31" s="177" t="s">
        <v>676</v>
      </c>
      <c r="D31" s="15">
        <v>48</v>
      </c>
      <c r="E31" s="15" t="s">
        <v>210</v>
      </c>
      <c r="F31" s="15">
        <v>127.05</v>
      </c>
      <c r="G31" s="31">
        <f>IF(OR(E31="",F31=""),"",IF(LEFT(E31,1)="M",VLOOKUP(F31,Setup!$J$9:$K$23,2,TRUE),VLOOKUP(F31,Setup!$L$9:$M$23,2,TRUE)))</f>
        <v>140</v>
      </c>
      <c r="H31" s="31">
        <f>IF(F31="",0,VLOOKUP(AL31,DATA!$L$2:$N$1910,IF(LEFT(E31,1)="F",3,2)))</f>
        <v>0.54325000000000001</v>
      </c>
      <c r="I31" s="15"/>
      <c r="J31" s="15"/>
      <c r="K31" s="102"/>
      <c r="L31" s="102"/>
      <c r="M31" s="102"/>
      <c r="N31" s="102"/>
      <c r="O31" s="103">
        <f t="shared" si="23"/>
        <v>0</v>
      </c>
      <c r="P31" s="182">
        <v>16</v>
      </c>
      <c r="Q31" s="249">
        <v>210</v>
      </c>
      <c r="R31" s="249">
        <v>220</v>
      </c>
      <c r="S31" s="249">
        <v>227.5</v>
      </c>
      <c r="T31" s="102"/>
      <c r="U31" s="103">
        <f t="shared" si="24"/>
        <v>227.5</v>
      </c>
      <c r="V31" s="104">
        <f t="shared" si="25"/>
        <v>0</v>
      </c>
      <c r="W31" s="102"/>
      <c r="X31" s="102"/>
      <c r="Y31" s="102"/>
      <c r="Z31" s="102"/>
      <c r="AA31" s="103">
        <f t="shared" si="26"/>
        <v>0</v>
      </c>
      <c r="AB31" s="104">
        <f t="shared" si="27"/>
        <v>0</v>
      </c>
      <c r="AC31" s="105">
        <f t="shared" si="28"/>
        <v>0</v>
      </c>
      <c r="AD31" s="105">
        <f>IF(OR(AB31=0,D31="",D31&lt;40),0,VLOOKUP($D31,DATA!$A$2:$B$53,2,TRUE)*AC31)</f>
        <v>0</v>
      </c>
      <c r="AE31" s="156">
        <v>1</v>
      </c>
      <c r="AF31" s="103">
        <f t="shared" ca="1" si="29"/>
        <v>0</v>
      </c>
      <c r="AG31" s="31">
        <f>IF(OR(AB31=0),0,VLOOKUP(AV31,Setup!$S$6:$T$15,2,TRUE))</f>
        <v>0</v>
      </c>
      <c r="AH31" s="106"/>
      <c r="AI31" s="101" t="s">
        <v>348</v>
      </c>
      <c r="AJ31" s="94">
        <f t="shared" si="30"/>
        <v>0</v>
      </c>
      <c r="AK31" s="31">
        <f t="shared" si="31"/>
        <v>1</v>
      </c>
      <c r="AL31" s="22">
        <f t="shared" si="32"/>
        <v>127.1</v>
      </c>
      <c r="AM31" s="22">
        <f t="shared" si="33"/>
        <v>0</v>
      </c>
      <c r="AN31" s="22">
        <f t="shared" si="34"/>
        <v>0</v>
      </c>
      <c r="AO31" s="22" t="str">
        <f t="shared" si="35"/>
        <v>M</v>
      </c>
      <c r="AP31" s="22"/>
      <c r="AQ31" s="23">
        <f t="shared" si="36"/>
        <v>0</v>
      </c>
      <c r="AR31" s="175">
        <f t="shared" ca="1" si="37"/>
        <v>5705000000</v>
      </c>
      <c r="AS31" s="22">
        <f t="shared" ca="1" si="38"/>
        <v>13</v>
      </c>
      <c r="AT31" s="139">
        <f t="shared" ca="1" si="39"/>
        <v>5705</v>
      </c>
      <c r="AU31" s="85">
        <f t="shared" ca="1" si="40"/>
        <v>13</v>
      </c>
      <c r="AV31" s="85">
        <f t="shared" ca="1" si="41"/>
        <v>1</v>
      </c>
      <c r="AW31" s="143">
        <f t="shared" si="42"/>
        <v>127.05</v>
      </c>
      <c r="AX31" s="22">
        <f t="shared" si="43"/>
        <v>7</v>
      </c>
      <c r="AY31" s="175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5705000000</v>
      </c>
      <c r="AZ31" s="31"/>
      <c r="BA31" s="31"/>
      <c r="BB31" s="31"/>
      <c r="BC31" s="31"/>
      <c r="BD31" s="31"/>
      <c r="BE31" s="31"/>
      <c r="BF31" s="31"/>
      <c r="BG31" s="31"/>
      <c r="BH31" s="72"/>
      <c r="BI31" s="72"/>
      <c r="BJ31" s="72"/>
      <c r="BK31" s="72"/>
      <c r="BL31" s="72"/>
      <c r="BM31" s="72"/>
      <c r="BN31" s="25"/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1</v>
      </c>
      <c r="CR31" s="23">
        <v>1</v>
      </c>
      <c r="CS31" s="23">
        <v>1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</row>
    <row r="32" spans="1:104" s="23" customFormat="1" x14ac:dyDescent="0.25">
      <c r="A32" s="1">
        <f t="shared" si="44"/>
        <v>227.5</v>
      </c>
      <c r="B32" s="15" t="s">
        <v>33</v>
      </c>
      <c r="C32" s="177" t="s">
        <v>677</v>
      </c>
      <c r="D32" s="15">
        <v>48</v>
      </c>
      <c r="E32" s="15" t="s">
        <v>168</v>
      </c>
      <c r="F32" s="15">
        <v>127.05</v>
      </c>
      <c r="G32" s="31">
        <f>IF(OR(E32="",F32=""),"",IF(LEFT(E32,1)="M",VLOOKUP(F32,Setup!$J$9:$K$23,2,TRUE),VLOOKUP(F32,Setup!$L$9:$M$23,2,TRUE)))</f>
        <v>140</v>
      </c>
      <c r="H32" s="31">
        <f>IF(F32="",0,VLOOKUP(AL32,DATA!$L$2:$N$1910,IF(LEFT(E32,1)="F",3,2)))</f>
        <v>0.54325000000000001</v>
      </c>
      <c r="I32" s="15"/>
      <c r="J32" s="15"/>
      <c r="K32" s="102"/>
      <c r="L32" s="102"/>
      <c r="M32" s="102"/>
      <c r="N32" s="102"/>
      <c r="O32" s="103">
        <f t="shared" si="23"/>
        <v>0</v>
      </c>
      <c r="P32" s="182">
        <v>16</v>
      </c>
      <c r="Q32" s="249">
        <v>210</v>
      </c>
      <c r="R32" s="249">
        <v>220</v>
      </c>
      <c r="S32" s="249">
        <v>227.5</v>
      </c>
      <c r="T32" s="102"/>
      <c r="U32" s="103">
        <f t="shared" si="24"/>
        <v>227.5</v>
      </c>
      <c r="V32" s="104">
        <f t="shared" si="25"/>
        <v>0</v>
      </c>
      <c r="W32" s="102"/>
      <c r="X32" s="102"/>
      <c r="Y32" s="102"/>
      <c r="Z32" s="102"/>
      <c r="AA32" s="103">
        <f t="shared" si="26"/>
        <v>0</v>
      </c>
      <c r="AB32" s="104">
        <f t="shared" si="27"/>
        <v>0</v>
      </c>
      <c r="AC32" s="105">
        <f t="shared" si="28"/>
        <v>0</v>
      </c>
      <c r="AD32" s="105">
        <f>IF(OR(AB32=0,D32="",D32&lt;40),0,VLOOKUP($D32,DATA!$A$2:$B$53,2,TRUE)*AC32)</f>
        <v>0</v>
      </c>
      <c r="AE32" s="156">
        <v>1</v>
      </c>
      <c r="AF32" s="103">
        <f t="shared" ca="1" si="29"/>
        <v>0</v>
      </c>
      <c r="AG32" s="31">
        <f>IF(OR(AB32=0),0,VLOOKUP(AV32,Setup!$S$6:$T$15,2,TRUE))</f>
        <v>0</v>
      </c>
      <c r="AH32" s="106"/>
      <c r="AI32" s="101" t="s">
        <v>348</v>
      </c>
      <c r="AJ32" s="94">
        <f t="shared" si="30"/>
        <v>0</v>
      </c>
      <c r="AK32" s="31">
        <f t="shared" si="31"/>
        <v>1</v>
      </c>
      <c r="AL32" s="22">
        <f t="shared" si="32"/>
        <v>127.1</v>
      </c>
      <c r="AM32" s="22">
        <f t="shared" si="33"/>
        <v>0</v>
      </c>
      <c r="AN32" s="22">
        <f t="shared" si="34"/>
        <v>0</v>
      </c>
      <c r="AO32" s="22" t="str">
        <f t="shared" si="35"/>
        <v>M</v>
      </c>
      <c r="AP32" s="22"/>
      <c r="AQ32" s="23">
        <f t="shared" si="36"/>
        <v>0</v>
      </c>
      <c r="AR32" s="175">
        <f t="shared" ca="1" si="37"/>
        <v>105000000</v>
      </c>
      <c r="AS32" s="22">
        <f t="shared" ca="1" si="38"/>
        <v>23</v>
      </c>
      <c r="AT32" s="139">
        <f t="shared" ca="1" si="39"/>
        <v>105</v>
      </c>
      <c r="AU32" s="85">
        <f t="shared" ca="1" si="40"/>
        <v>23</v>
      </c>
      <c r="AV32" s="85">
        <f t="shared" ca="1" si="41"/>
        <v>1</v>
      </c>
      <c r="AW32" s="143">
        <f t="shared" si="42"/>
        <v>127.05</v>
      </c>
      <c r="AX32" s="22">
        <f t="shared" si="43"/>
        <v>7</v>
      </c>
      <c r="AY32" s="175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105000000</v>
      </c>
      <c r="AZ32" s="31"/>
      <c r="BA32" s="31"/>
      <c r="BB32" s="31"/>
      <c r="BC32" s="31"/>
      <c r="BD32" s="31"/>
      <c r="BE32" s="31"/>
      <c r="BF32" s="31"/>
      <c r="BG32" s="31"/>
      <c r="BH32" s="72"/>
      <c r="BI32" s="72"/>
      <c r="BJ32" s="72"/>
      <c r="BK32" s="72"/>
      <c r="BL32" s="72"/>
      <c r="BM32" s="72"/>
      <c r="BN32" s="25"/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1</v>
      </c>
      <c r="CR32" s="23">
        <v>1</v>
      </c>
      <c r="CS32" s="23">
        <v>1</v>
      </c>
      <c r="CT32" s="23">
        <v>0</v>
      </c>
      <c r="CU32" s="23">
        <v>0</v>
      </c>
      <c r="CV32" s="23">
        <v>0</v>
      </c>
      <c r="CW32" s="23">
        <v>0</v>
      </c>
      <c r="CX32" s="23">
        <v>0</v>
      </c>
      <c r="CY32" s="23">
        <v>0</v>
      </c>
      <c r="CZ32" s="23">
        <v>0</v>
      </c>
    </row>
    <row r="33" spans="1:104" s="23" customFormat="1" x14ac:dyDescent="0.25">
      <c r="A33" s="1">
        <f t="shared" si="44"/>
        <v>252.5</v>
      </c>
      <c r="B33" s="15" t="s">
        <v>33</v>
      </c>
      <c r="C33" s="177" t="s">
        <v>668</v>
      </c>
      <c r="D33" s="15">
        <v>46</v>
      </c>
      <c r="E33" s="15" t="s">
        <v>210</v>
      </c>
      <c r="F33" s="15">
        <v>151.6</v>
      </c>
      <c r="G33" s="31" t="str">
        <f>IF(OR(E33="",F33=""),"",IF(LEFT(E33,1)="M",VLOOKUP(F33,Setup!$J$9:$K$23,2,TRUE),VLOOKUP(F33,Setup!$L$9:$M$23,2,TRUE)))</f>
        <v>SHW</v>
      </c>
      <c r="H33" s="31">
        <f>IF(F33="",0,VLOOKUP(AL33,DATA!$L$2:$N$1910,IF(LEFT(E33,1)="F",3,2)))</f>
        <v>0.52190000000000003</v>
      </c>
      <c r="I33" s="15"/>
      <c r="J33" s="15"/>
      <c r="K33" s="102"/>
      <c r="L33" s="102"/>
      <c r="M33" s="102"/>
      <c r="N33" s="102"/>
      <c r="O33" s="103">
        <f t="shared" si="23"/>
        <v>0</v>
      </c>
      <c r="P33" s="182">
        <v>16</v>
      </c>
      <c r="Q33" s="249">
        <v>240</v>
      </c>
      <c r="R33" s="102">
        <v>-252.5</v>
      </c>
      <c r="S33" s="102">
        <v>-252.5</v>
      </c>
      <c r="T33" s="102"/>
      <c r="U33" s="103">
        <f t="shared" si="24"/>
        <v>240</v>
      </c>
      <c r="V33" s="104">
        <f t="shared" si="25"/>
        <v>0</v>
      </c>
      <c r="W33" s="102"/>
      <c r="X33" s="102"/>
      <c r="Y33" s="102"/>
      <c r="Z33" s="102"/>
      <c r="AA33" s="103">
        <f t="shared" si="26"/>
        <v>0</v>
      </c>
      <c r="AB33" s="104">
        <f t="shared" si="27"/>
        <v>0</v>
      </c>
      <c r="AC33" s="105">
        <f t="shared" si="28"/>
        <v>0</v>
      </c>
      <c r="AD33" s="105">
        <f>IF(OR(AB33=0,D33="",D33&lt;40),0,VLOOKUP($D33,DATA!$A$2:$B$53,2,TRUE)*AC33)</f>
        <v>0</v>
      </c>
      <c r="AE33" s="156">
        <v>1</v>
      </c>
      <c r="AF33" s="103">
        <f t="shared" ca="1" si="29"/>
        <v>0</v>
      </c>
      <c r="AG33" s="31">
        <f>IF(OR(AB33=0),0,VLOOKUP(AV33,Setup!$S$6:$T$15,2,TRUE))</f>
        <v>0</v>
      </c>
      <c r="AH33" s="106"/>
      <c r="AI33" s="101" t="s">
        <v>348</v>
      </c>
      <c r="AJ33" s="94">
        <f t="shared" si="30"/>
        <v>0</v>
      </c>
      <c r="AK33" s="31">
        <f t="shared" si="31"/>
        <v>1</v>
      </c>
      <c r="AL33" s="22">
        <f t="shared" si="32"/>
        <v>151.6</v>
      </c>
      <c r="AM33" s="22">
        <f t="shared" si="33"/>
        <v>0</v>
      </c>
      <c r="AN33" s="22">
        <f t="shared" si="34"/>
        <v>0</v>
      </c>
      <c r="AO33" s="22" t="str">
        <f t="shared" si="35"/>
        <v>M</v>
      </c>
      <c r="AP33" s="22"/>
      <c r="AQ33" s="23">
        <f t="shared" si="36"/>
        <v>0</v>
      </c>
      <c r="AR33" s="175">
        <f t="shared" ca="1" si="37"/>
        <v>5704000000</v>
      </c>
      <c r="AS33" s="22">
        <f t="shared" ca="1" si="38"/>
        <v>14</v>
      </c>
      <c r="AT33" s="139">
        <f t="shared" ca="1" si="39"/>
        <v>5704</v>
      </c>
      <c r="AU33" s="85">
        <f t="shared" ca="1" si="40"/>
        <v>14</v>
      </c>
      <c r="AV33" s="85">
        <f t="shared" ca="1" si="41"/>
        <v>1</v>
      </c>
      <c r="AW33" s="143">
        <f t="shared" si="42"/>
        <v>151.6</v>
      </c>
      <c r="AX33" s="22">
        <f t="shared" si="43"/>
        <v>3</v>
      </c>
      <c r="AY33" s="175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5704000000</v>
      </c>
      <c r="AZ33" s="31"/>
      <c r="BA33" s="31"/>
      <c r="BB33" s="31"/>
      <c r="BC33" s="31"/>
      <c r="BD33" s="31"/>
      <c r="BE33" s="31"/>
      <c r="BF33" s="31"/>
      <c r="BG33" s="31"/>
      <c r="BH33" s="72"/>
      <c r="BI33" s="72"/>
      <c r="BJ33" s="72"/>
      <c r="BK33" s="72"/>
      <c r="BL33" s="72"/>
      <c r="BM33" s="72"/>
      <c r="BN33" s="25"/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1</v>
      </c>
      <c r="CR33" s="23">
        <v>-1</v>
      </c>
      <c r="CS33" s="23">
        <v>-1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</row>
    <row r="34" spans="1:104" s="23" customFormat="1" x14ac:dyDescent="0.25">
      <c r="A34" s="1">
        <f t="shared" si="44"/>
        <v>252.5</v>
      </c>
      <c r="B34" s="15" t="s">
        <v>33</v>
      </c>
      <c r="C34" s="177" t="s">
        <v>669</v>
      </c>
      <c r="D34" s="15">
        <v>46</v>
      </c>
      <c r="E34" s="15" t="s">
        <v>168</v>
      </c>
      <c r="F34" s="15">
        <v>151.6</v>
      </c>
      <c r="G34" s="31" t="str">
        <f>IF(OR(E34="",F34=""),"",IF(LEFT(E34,1)="M",VLOOKUP(F34,Setup!$J$9:$K$23,2,TRUE),VLOOKUP(F34,Setup!$L$9:$M$23,2,TRUE)))</f>
        <v>SHW</v>
      </c>
      <c r="H34" s="31">
        <f>IF(F34="",0,VLOOKUP(AL34,DATA!$L$2:$N$1910,IF(LEFT(E34,1)="F",3,2)))</f>
        <v>0.52190000000000003</v>
      </c>
      <c r="I34" s="15"/>
      <c r="J34" s="15"/>
      <c r="K34" s="102"/>
      <c r="L34" s="102"/>
      <c r="M34" s="102"/>
      <c r="N34" s="102"/>
      <c r="O34" s="103">
        <f t="shared" si="23"/>
        <v>0</v>
      </c>
      <c r="P34" s="182">
        <v>16</v>
      </c>
      <c r="Q34" s="249">
        <v>240</v>
      </c>
      <c r="R34" s="102">
        <v>-252.5</v>
      </c>
      <c r="S34" s="102">
        <v>-252.5</v>
      </c>
      <c r="T34" s="102"/>
      <c r="U34" s="103">
        <f t="shared" si="24"/>
        <v>240</v>
      </c>
      <c r="V34" s="104">
        <f t="shared" si="25"/>
        <v>0</v>
      </c>
      <c r="W34" s="102"/>
      <c r="X34" s="102"/>
      <c r="Y34" s="102"/>
      <c r="Z34" s="102"/>
      <c r="AA34" s="103">
        <f t="shared" si="26"/>
        <v>0</v>
      </c>
      <c r="AB34" s="104">
        <f t="shared" si="27"/>
        <v>0</v>
      </c>
      <c r="AC34" s="105">
        <f t="shared" si="28"/>
        <v>0</v>
      </c>
      <c r="AD34" s="105">
        <f>IF(OR(AB34=0,D34="",D34&lt;40),0,VLOOKUP($D34,DATA!$A$2:$B$53,2,TRUE)*AC34)</f>
        <v>0</v>
      </c>
      <c r="AE34" s="156">
        <v>1</v>
      </c>
      <c r="AF34" s="103">
        <f t="shared" ca="1" si="29"/>
        <v>0</v>
      </c>
      <c r="AG34" s="31">
        <f>IF(OR(AB34=0),0,VLOOKUP(AV34,Setup!$S$6:$T$15,2,TRUE))</f>
        <v>0</v>
      </c>
      <c r="AH34" s="106"/>
      <c r="AI34" s="101" t="s">
        <v>348</v>
      </c>
      <c r="AJ34" s="94">
        <f t="shared" si="30"/>
        <v>0</v>
      </c>
      <c r="AK34" s="31">
        <f t="shared" si="31"/>
        <v>1</v>
      </c>
      <c r="AL34" s="22">
        <f t="shared" si="32"/>
        <v>151.6</v>
      </c>
      <c r="AM34" s="22">
        <f t="shared" si="33"/>
        <v>0</v>
      </c>
      <c r="AN34" s="22">
        <f t="shared" si="34"/>
        <v>0</v>
      </c>
      <c r="AO34" s="22" t="str">
        <f t="shared" si="35"/>
        <v>M</v>
      </c>
      <c r="AP34" s="22"/>
      <c r="AQ34" s="23">
        <f t="shared" si="36"/>
        <v>0</v>
      </c>
      <c r="AR34" s="175">
        <f t="shared" ca="1" si="37"/>
        <v>104000000</v>
      </c>
      <c r="AS34" s="22">
        <f t="shared" ca="1" si="38"/>
        <v>24</v>
      </c>
      <c r="AT34" s="139">
        <f t="shared" ca="1" si="39"/>
        <v>104</v>
      </c>
      <c r="AU34" s="85">
        <f t="shared" ca="1" si="40"/>
        <v>24</v>
      </c>
      <c r="AV34" s="85">
        <f t="shared" ca="1" si="41"/>
        <v>1</v>
      </c>
      <c r="AW34" s="143">
        <f t="shared" si="42"/>
        <v>151.6</v>
      </c>
      <c r="AX34" s="22">
        <f t="shared" si="43"/>
        <v>3</v>
      </c>
      <c r="AY34" s="175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104000000</v>
      </c>
      <c r="AZ34" s="31"/>
      <c r="BA34" s="31"/>
      <c r="BB34" s="31"/>
      <c r="BC34" s="31"/>
      <c r="BD34" s="31"/>
      <c r="BE34" s="31"/>
      <c r="BF34" s="31"/>
      <c r="BG34" s="31"/>
      <c r="BH34" s="72"/>
      <c r="BI34" s="72"/>
      <c r="BJ34" s="72"/>
      <c r="BK34" s="72"/>
      <c r="BL34" s="72"/>
      <c r="BM34" s="72"/>
      <c r="BN34" s="25"/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1</v>
      </c>
      <c r="CR34" s="23">
        <v>-1</v>
      </c>
      <c r="CS34" s="23">
        <v>-1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</row>
  </sheetData>
  <sheetProtection sheet="1" objects="1" scenarios="1"/>
  <sortState xmlns:xlrd2="http://schemas.microsoft.com/office/spreadsheetml/2017/richdata2" ref="A10:XFD23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F5:G5"/>
  </mergeCells>
  <phoneticPr fontId="0" type="noConversion"/>
  <conditionalFormatting sqref="B9:B34">
    <cfRule type="expression" dxfId="46" priority="781" stopIfTrue="1">
      <formula>AND($B9&lt;&gt;RIGHT($B$8,1))</formula>
    </cfRule>
  </conditionalFormatting>
  <conditionalFormatting sqref="K9:N9 Q9:T9 W9:Z9">
    <cfRule type="expression" dxfId="45" priority="784" stopIfTrue="1">
      <formula>AND(COLUMN(K9)=$A$3,ROW(K9)=$A$4)</formula>
    </cfRule>
    <cfRule type="cellIs" dxfId="44" priority="785" stopIfTrue="1" operator="lessThan">
      <formula>0</formula>
    </cfRule>
    <cfRule type="expression" dxfId="43" priority="786" stopIfTrue="1">
      <formula>OR(AND(ROW(K9)=$A$4,COLUMN(K9)&lt;$A$3,CK9=1),AND(ROW(K9)&lt;$A$4,COLUMN(K9)=$A$3,CK9=1))</formula>
    </cfRule>
  </conditionalFormatting>
  <conditionalFormatting sqref="I9:J9 D9:F9">
    <cfRule type="expression" dxfId="42" priority="787" stopIfTrue="1">
      <formula>AND(ROW(D9)=$A$4)</formula>
    </cfRule>
    <cfRule type="expression" dxfId="41" priority="788" stopIfTrue="1">
      <formula>AND($B9&lt;&gt;RIGHT($B$8,1))</formula>
    </cfRule>
  </conditionalFormatting>
  <conditionalFormatting sqref="O9:P34 U9:U34">
    <cfRule type="expression" dxfId="40" priority="789" stopIfTrue="1">
      <formula>AND(ROW(K9)=$A$4,COLUMN(K9)&lt;$A$3)</formula>
    </cfRule>
  </conditionalFormatting>
  <conditionalFormatting sqref="V9:V34">
    <cfRule type="expression" dxfId="39" priority="790" stopIfTrue="1">
      <formula>AND(ROW(R9)=$A$4,COLUMN(R9)&lt;$A$3)</formula>
    </cfRule>
  </conditionalFormatting>
  <conditionalFormatting sqref="AA9:AA34">
    <cfRule type="expression" dxfId="38" priority="791" stopIfTrue="1">
      <formula>AND(ROW(W9)=$A$4,$A$3&gt;21)</formula>
    </cfRule>
  </conditionalFormatting>
  <conditionalFormatting sqref="AB9:AB34">
    <cfRule type="expression" dxfId="37" priority="798" stopIfTrue="1">
      <formula>AND(ROW(X9)=$A$4)</formula>
    </cfRule>
    <cfRule type="expression" dxfId="36" priority="799" stopIfTrue="1">
      <formula>AND(AE9=1)</formula>
    </cfRule>
  </conditionalFormatting>
  <conditionalFormatting sqref="AC9:AC34">
    <cfRule type="expression" dxfId="35" priority="800" stopIfTrue="1">
      <formula>AND(AE9=2)</formula>
    </cfRule>
  </conditionalFormatting>
  <conditionalFormatting sqref="AD9:AD34">
    <cfRule type="expression" dxfId="34" priority="801" stopIfTrue="1">
      <formula>AND(AE9=3)</formula>
    </cfRule>
  </conditionalFormatting>
  <conditionalFormatting sqref="H3:I4">
    <cfRule type="expression" dxfId="33" priority="792" stopIfTrue="1">
      <formula>AND(COLUMN(H3)=$K$3,ROW(H3)=VALUE(RIGHT(#REF!,1)))</formula>
    </cfRule>
  </conditionalFormatting>
  <conditionalFormatting sqref="D3:F4">
    <cfRule type="expression" dxfId="32" priority="793" stopIfTrue="1">
      <formula>NOT($A$2=$H$4)</formula>
    </cfRule>
    <cfRule type="cellIs" dxfId="31" priority="794" stopIfTrue="1" operator="lessThan">
      <formula>0</formula>
    </cfRule>
    <cfRule type="expression" dxfId="30" priority="795" stopIfTrue="1">
      <formula>OR($A$2=$H$4)</formula>
    </cfRule>
  </conditionalFormatting>
  <conditionalFormatting sqref="K8:N8 Q8:T8 W8:Z8">
    <cfRule type="cellIs" dxfId="29" priority="796" stopIfTrue="1" operator="equal">
      <formula>$B$3</formula>
    </cfRule>
  </conditionalFormatting>
  <conditionalFormatting sqref="G9:H9">
    <cfRule type="expression" dxfId="28" priority="797" stopIfTrue="1">
      <formula>AND(ROW(G9)=$A$4)</formula>
    </cfRule>
  </conditionalFormatting>
  <conditionalFormatting sqref="C9:C34">
    <cfRule type="cellIs" dxfId="27" priority="807" stopIfTrue="1" operator="equal">
      <formula>$B$2</formula>
    </cfRule>
    <cfRule type="expression" dxfId="26" priority="808" stopIfTrue="1">
      <formula>AND($B9&lt;&gt;RIGHT($B$8,1))</formula>
    </cfRule>
  </conditionalFormatting>
  <conditionalFormatting sqref="K10:N34 Q10:T34 W10:Z34">
    <cfRule type="expression" dxfId="25" priority="1" stopIfTrue="1">
      <formula>AND(COLUMN(K10)=$A$3,ROW(K10)=$A$4)</formula>
    </cfRule>
    <cfRule type="cellIs" dxfId="24" priority="2" stopIfTrue="1" operator="lessThan">
      <formula>0</formula>
    </cfRule>
    <cfRule type="expression" dxfId="23" priority="3" stopIfTrue="1">
      <formula>OR(AND(ROW(K10)=$A$4,COLUMN(K10)&lt;$A$3,CK10=1),AND(ROW(K10)&lt;$A$4,COLUMN(K10)=$A$3,CK10=1))</formula>
    </cfRule>
  </conditionalFormatting>
  <conditionalFormatting sqref="I10:J34 D10:F34">
    <cfRule type="expression" dxfId="22" priority="4" stopIfTrue="1">
      <formula>AND(ROW(D10)=$A$4)</formula>
    </cfRule>
    <cfRule type="expression" dxfId="21" priority="5" stopIfTrue="1">
      <formula>AND($B10&lt;&gt;RIGHT($B$8,1))</formula>
    </cfRule>
  </conditionalFormatting>
  <conditionalFormatting sqref="G10:H34">
    <cfRule type="expression" dxfId="20" priority="6" stopIfTrue="1">
      <formula>AND(ROW(G10)=$A$4)</formula>
    </cfRule>
  </conditionalFormatting>
  <dataValidations count="12">
    <dataValidation type="list" allowBlank="1" showInputMessage="1" showErrorMessage="1" sqref="F5:G5" xr:uid="{00000000-0002-0000-0300-000000000000}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 xr:uid="{00000000-0002-0000-0300-000001000000}">
      <formula1>"Flt A,Flt B,Flt C,Flt D,Flt E,Flt F, Flt G,Flt H"</formula1>
    </dataValidation>
    <dataValidation type="list" allowBlank="1" showInputMessage="1" showErrorMessage="1" sqref="B2:E2" xr:uid="{00000000-0002-0000-0300-000002000000}">
      <formula1>INDIRECT($A$7)</formula1>
    </dataValidation>
    <dataValidation type="list" allowBlank="1" showInputMessage="1" showErrorMessage="1" sqref="AB8" xr:uid="{00000000-0002-0000-0300-000003000000}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 xr:uid="{00000000-0002-0000-0300-000004000000}">
      <formula1>INDIRECT($BA$1)</formula1>
    </dataValidation>
    <dataValidation allowBlank="1" showInputMessage="1" showErrorMessage="1" prompt="Don't enter anything here, these are calculated automatically." sqref="AB9:AD34 AG9:AG34 V9:V34 AU9:AU34 G9:H34" xr:uid="{00000000-0002-0000-0300-000005000000}"/>
    <dataValidation type="custom" errorStyle="warning" allowBlank="1" showInputMessage="1" showErrorMessage="1" error="Must be a multiple of 2.5 unless record attempt" sqref="W9:W34 K9:K34 Q9:Q34" xr:uid="{00000000-0002-0000-0300-000006000000}">
      <formula1>AND(MOD(K9,2.5)=0)</formula1>
    </dataValidation>
    <dataValidation type="list" allowBlank="1" showInputMessage="1" showErrorMessage="1" sqref="B9:B34" xr:uid="{00000000-0002-0000-0300-000007000000}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34" xr:uid="{00000000-0002-0000-0300-000008000000}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34" xr:uid="{00000000-0002-0000-0300-000009000000}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34" xr:uid="{00000000-0002-0000-0300-00000A000000}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X9:Z34 R9:T34 L9:N34" xr:uid="{00000000-0002-0000-0300-00000B000000}">
      <formula1>AND(MOD(L9,2.5)=0,L9&gt;=ABS(K9),L9&gt;K9)</formula1>
    </dataValidation>
  </dataValidations>
  <pageMargins left="0.75" right="0.75" top="1" bottom="1" header="0.5" footer="0.5"/>
  <pageSetup scale="1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1036320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236220</xdr:colOff>
                    <xdr:row>5</xdr:row>
                    <xdr:rowOff>38100</xdr:rowOff>
                  </from>
                  <to>
                    <xdr:col>7</xdr:col>
                    <xdr:colOff>411480</xdr:colOff>
                    <xdr:row>5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R17"/>
  <sheetViews>
    <sheetView zoomScale="70" zoomScaleNormal="70" workbookViewId="0">
      <selection activeCell="Z11" sqref="Z11"/>
    </sheetView>
  </sheetViews>
  <sheetFormatPr defaultColWidth="9.109375" defaultRowHeight="36" customHeight="1" x14ac:dyDescent="0.25"/>
  <cols>
    <col min="2" max="2" width="10" customWidth="1"/>
    <col min="3" max="3" width="9.109375" customWidth="1"/>
    <col min="8" max="8" width="9.44140625" customWidth="1"/>
  </cols>
  <sheetData>
    <row r="1" spans="1:18" ht="36" customHeight="1" x14ac:dyDescent="0.25">
      <c r="A1" s="384" t="str">
        <f>IF(RIGHT(Lifting!$B$2,1) = ")",MID(Lifting!$B$2,1,(SEARCH("(",Lifting!$B$2,1)-2)),Lifting!$B$2)</f>
        <v>Lupe Hernandez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  <c r="Q1" s="196"/>
    </row>
    <row r="2" spans="1:18" ht="36" customHeight="1" x14ac:dyDescent="0.25">
      <c r="A2" s="387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9"/>
      <c r="Q2" s="196"/>
    </row>
    <row r="3" spans="1:18" ht="48.75" customHeight="1" x14ac:dyDescent="0.25">
      <c r="A3" s="396">
        <f ca="1">INDIRECT("Lifting!AH"&amp;Lifting!A4)</f>
        <v>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Q3" s="196"/>
    </row>
    <row r="4" spans="1:18" ht="33" customHeight="1" x14ac:dyDescent="0.25">
      <c r="A4" s="390" t="str">
        <f>Lifting!B8</f>
        <v>Flt A</v>
      </c>
      <c r="B4" s="391"/>
      <c r="C4" s="391" t="str">
        <f>Lifting!B3</f>
        <v>Deadlift 3</v>
      </c>
      <c r="D4" s="391"/>
      <c r="E4" s="391"/>
      <c r="F4" s="398" t="s">
        <v>167</v>
      </c>
      <c r="G4" s="398"/>
      <c r="H4" s="398">
        <f ca="1">Lifting!H2</f>
        <v>67.5</v>
      </c>
      <c r="I4" s="398"/>
      <c r="J4" s="213"/>
      <c r="K4" s="213"/>
      <c r="L4" s="392" t="str">
        <f ca="1">Lifting!B4</f>
        <v/>
      </c>
      <c r="M4" s="392"/>
      <c r="N4" s="392"/>
      <c r="O4" s="392"/>
      <c r="P4" s="393"/>
      <c r="Q4" s="196"/>
    </row>
    <row r="5" spans="1:18" ht="36" customHeight="1" x14ac:dyDescent="0.25">
      <c r="L5" s="392" t="str">
        <f ca="1">CONCATENATE("#25 - ",Setup!H12)</f>
        <v>#25 - 1</v>
      </c>
      <c r="M5" s="392"/>
      <c r="N5" s="392"/>
      <c r="O5" s="392"/>
      <c r="P5" s="393"/>
      <c r="Q5" s="196"/>
    </row>
    <row r="6" spans="1:18" ht="36" customHeight="1" x14ac:dyDescent="0.25">
      <c r="A6" s="394">
        <f ca="1">Lifting!D3</f>
        <v>120</v>
      </c>
      <c r="B6" s="395"/>
      <c r="C6" s="395"/>
      <c r="D6" s="395"/>
      <c r="E6" s="395"/>
      <c r="F6" s="395"/>
      <c r="G6" s="395"/>
      <c r="H6" s="395"/>
      <c r="I6" s="201"/>
      <c r="J6" s="380" t="str">
        <f xml:space="preserve"> Lifting!G3</f>
        <v>Kg</v>
      </c>
      <c r="K6" s="380"/>
      <c r="L6" s="380"/>
      <c r="M6" s="380"/>
      <c r="N6" s="380"/>
      <c r="O6" s="380"/>
      <c r="P6" s="381"/>
      <c r="Q6" s="196"/>
    </row>
    <row r="7" spans="1:18" ht="36" customHeight="1" x14ac:dyDescent="0.25">
      <c r="A7" s="394"/>
      <c r="B7" s="395"/>
      <c r="C7" s="395"/>
      <c r="D7" s="395"/>
      <c r="E7" s="395"/>
      <c r="F7" s="395"/>
      <c r="G7" s="395"/>
      <c r="H7" s="395"/>
      <c r="I7" s="202"/>
      <c r="J7" s="380"/>
      <c r="K7" s="380"/>
      <c r="L7" s="380"/>
      <c r="M7" s="380"/>
      <c r="N7" s="380"/>
      <c r="O7" s="380"/>
      <c r="P7" s="381"/>
      <c r="Q7" s="196"/>
    </row>
    <row r="8" spans="1:18" ht="36" customHeight="1" x14ac:dyDescent="0.25">
      <c r="A8" s="196"/>
      <c r="P8" s="212"/>
      <c r="Q8" s="196"/>
      <c r="R8" s="5"/>
    </row>
    <row r="9" spans="1:18" ht="36" customHeight="1" x14ac:dyDescent="0.25">
      <c r="A9" s="196"/>
      <c r="I9" s="201"/>
      <c r="P9" s="212"/>
      <c r="Q9" s="196"/>
    </row>
    <row r="10" spans="1:18" ht="36" customHeight="1" x14ac:dyDescent="0.25">
      <c r="A10" s="196"/>
      <c r="P10" s="212"/>
      <c r="Q10" s="196"/>
    </row>
    <row r="11" spans="1:18" ht="36" customHeight="1" x14ac:dyDescent="0.25">
      <c r="A11" s="196"/>
      <c r="P11" s="212"/>
      <c r="Q11" s="196"/>
    </row>
    <row r="12" spans="1:18" ht="36" customHeight="1" x14ac:dyDescent="0.25">
      <c r="A12" s="196"/>
      <c r="P12" s="212"/>
      <c r="Q12" s="196"/>
    </row>
    <row r="13" spans="1:18" ht="36" customHeight="1" x14ac:dyDescent="0.25">
      <c r="A13" s="196"/>
      <c r="P13" s="212"/>
      <c r="Q13" s="196"/>
    </row>
    <row r="14" spans="1:18" ht="36" customHeight="1" x14ac:dyDescent="0.25">
      <c r="A14" s="196"/>
      <c r="P14" s="212"/>
      <c r="Q14" s="196"/>
    </row>
    <row r="15" spans="1:18" ht="36" customHeight="1" x14ac:dyDescent="0.25">
      <c r="A15" s="196"/>
      <c r="P15" s="212"/>
      <c r="Q15" s="196"/>
    </row>
    <row r="16" spans="1:18" ht="36" customHeight="1" x14ac:dyDescent="0.25">
      <c r="A16" s="376">
        <f ca="1">Lifting!D4</f>
        <v>264.55200000000002</v>
      </c>
      <c r="B16" s="377"/>
      <c r="C16" s="377"/>
      <c r="D16" s="377"/>
      <c r="E16" s="377"/>
      <c r="F16" s="377"/>
      <c r="G16" s="377"/>
      <c r="H16" s="377"/>
      <c r="I16" s="201"/>
      <c r="J16" s="380" t="str">
        <f>Lifting!G4</f>
        <v>Lb</v>
      </c>
      <c r="K16" s="380"/>
      <c r="L16" s="380"/>
      <c r="M16" s="380"/>
      <c r="N16" s="380"/>
      <c r="O16" s="380"/>
      <c r="P16" s="381"/>
      <c r="Q16" s="196"/>
    </row>
    <row r="17" spans="1:17" ht="36" customHeight="1" x14ac:dyDescent="0.25">
      <c r="A17" s="378"/>
      <c r="B17" s="379"/>
      <c r="C17" s="379"/>
      <c r="D17" s="379"/>
      <c r="E17" s="379"/>
      <c r="F17" s="379"/>
      <c r="G17" s="379"/>
      <c r="H17" s="379"/>
      <c r="I17" s="203"/>
      <c r="J17" s="382"/>
      <c r="K17" s="382"/>
      <c r="L17" s="382"/>
      <c r="M17" s="382"/>
      <c r="N17" s="382"/>
      <c r="O17" s="382"/>
      <c r="P17" s="383"/>
      <c r="Q17" s="196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  <webPublishItems count="1">
    <webPublishItem id="14334" divId="Senior_nat_ltw_14334" sourceType="range" sourceRef="A1:P17" destinationFile="C:\wamp\www\BarLoad\NextLifter_BarLoad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M190"/>
  <sheetViews>
    <sheetView zoomScale="90" zoomScaleNormal="90" workbookViewId="0">
      <selection activeCell="A4" sqref="A4:C14"/>
    </sheetView>
  </sheetViews>
  <sheetFormatPr defaultColWidth="9.109375" defaultRowHeight="13.2" x14ac:dyDescent="0.25"/>
  <cols>
    <col min="1" max="1" width="4.44140625" customWidth="1"/>
    <col min="2" max="2" width="26.88671875" customWidth="1"/>
    <col min="3" max="3" width="9.109375" customWidth="1"/>
    <col min="4" max="4" width="6.44140625" customWidth="1"/>
    <col min="5" max="5" width="21" customWidth="1"/>
    <col min="6" max="6" width="9.6640625" customWidth="1"/>
    <col min="8" max="8" width="5" customWidth="1"/>
    <col min="9" max="9" width="5.109375" customWidth="1"/>
    <col min="10" max="10" width="22.6640625" customWidth="1"/>
    <col min="11" max="11" width="5.109375" hidden="1" customWidth="1"/>
    <col min="12" max="12" width="13.88671875" customWidth="1"/>
    <col min="13" max="13" width="0.109375" hidden="1" customWidth="1"/>
    <col min="14" max="15" width="9.44140625" customWidth="1"/>
  </cols>
  <sheetData>
    <row r="1" spans="1:4" ht="22.8" x14ac:dyDescent="0.4">
      <c r="A1" s="399" t="s">
        <v>674</v>
      </c>
      <c r="B1" s="399"/>
      <c r="C1" s="399"/>
      <c r="D1" s="399"/>
    </row>
    <row r="2" spans="1:4" ht="23.25" customHeight="1" x14ac:dyDescent="0.4">
      <c r="A2" s="400" t="s">
        <v>675</v>
      </c>
      <c r="B2" s="400"/>
      <c r="C2" s="401">
        <f>Lifting!J5</f>
        <v>6.9444444444444441E-3</v>
      </c>
      <c r="D2" s="401"/>
    </row>
    <row r="4" spans="1:4" s="233" customFormat="1" x14ac:dyDescent="0.25">
      <c r="A4" s="218" t="s">
        <v>673</v>
      </c>
      <c r="B4" s="218" t="s">
        <v>0</v>
      </c>
      <c r="C4" s="218" t="s">
        <v>17</v>
      </c>
    </row>
    <row r="5" spans="1:4" s="232" customFormat="1" x14ac:dyDescent="0.25"/>
    <row r="6" spans="1:4" s="232" customFormat="1" x14ac:dyDescent="0.25"/>
    <row r="7" spans="1:4" s="232" customFormat="1" x14ac:dyDescent="0.25"/>
    <row r="8" spans="1:4" s="232" customFormat="1" x14ac:dyDescent="0.25"/>
    <row r="9" spans="1:4" s="232" customFormat="1" x14ac:dyDescent="0.25"/>
    <row r="10" spans="1:4" s="232" customFormat="1" x14ac:dyDescent="0.25"/>
    <row r="11" spans="1:4" s="232" customFormat="1" x14ac:dyDescent="0.25"/>
    <row r="12" spans="1:4" s="232" customFormat="1" x14ac:dyDescent="0.25"/>
    <row r="13" spans="1:4" s="232" customFormat="1" x14ac:dyDescent="0.25"/>
    <row r="14" spans="1:4" s="232" customFormat="1" x14ac:dyDescent="0.25"/>
    <row r="15" spans="1:4" s="232" customFormat="1" x14ac:dyDescent="0.25"/>
    <row r="16" spans="1:4" s="232" customFormat="1" x14ac:dyDescent="0.25"/>
    <row r="17" s="232" customFormat="1" x14ac:dyDescent="0.25"/>
    <row r="18" s="232" customFormat="1" x14ac:dyDescent="0.25"/>
    <row r="19" s="232" customFormat="1" x14ac:dyDescent="0.25"/>
    <row r="20" s="232" customFormat="1" x14ac:dyDescent="0.25"/>
    <row r="21" s="232" customFormat="1" x14ac:dyDescent="0.25"/>
    <row r="22" s="232" customFormat="1" x14ac:dyDescent="0.25"/>
    <row r="23" s="232" customFormat="1" x14ac:dyDescent="0.25"/>
    <row r="24" s="232" customFormat="1" x14ac:dyDescent="0.25"/>
    <row r="25" s="232" customFormat="1" x14ac:dyDescent="0.25"/>
    <row r="26" s="232" customFormat="1" x14ac:dyDescent="0.25"/>
    <row r="27" s="232" customFormat="1" x14ac:dyDescent="0.25"/>
    <row r="28" s="232" customFormat="1" x14ac:dyDescent="0.25"/>
    <row r="29" s="232" customFormat="1" x14ac:dyDescent="0.25"/>
    <row r="30" s="232" customFormat="1" x14ac:dyDescent="0.25"/>
    <row r="31" s="232" customFormat="1" x14ac:dyDescent="0.25"/>
    <row r="32" s="232" customFormat="1" x14ac:dyDescent="0.25"/>
    <row r="33" s="232" customFormat="1" x14ac:dyDescent="0.25"/>
    <row r="34" s="232" customFormat="1" x14ac:dyDescent="0.25"/>
    <row r="35" s="232" customFormat="1" x14ac:dyDescent="0.25"/>
    <row r="36" s="232" customFormat="1" x14ac:dyDescent="0.25"/>
    <row r="37" s="232" customFormat="1" x14ac:dyDescent="0.25"/>
    <row r="38" s="232" customFormat="1" x14ac:dyDescent="0.25"/>
    <row r="39" s="232" customFormat="1" x14ac:dyDescent="0.25"/>
    <row r="40" s="232" customFormat="1" x14ac:dyDescent="0.25"/>
    <row r="41" s="232" customFormat="1" x14ac:dyDescent="0.25"/>
    <row r="42" s="232" customFormat="1" x14ac:dyDescent="0.25"/>
    <row r="43" s="232" customFormat="1" x14ac:dyDescent="0.25"/>
    <row r="44" s="232" customFormat="1" x14ac:dyDescent="0.25"/>
    <row r="45" s="232" customFormat="1" x14ac:dyDescent="0.25"/>
    <row r="46" s="232" customFormat="1" x14ac:dyDescent="0.25"/>
    <row r="47" s="232" customFormat="1" x14ac:dyDescent="0.25"/>
    <row r="48" s="232" customFormat="1" x14ac:dyDescent="0.25"/>
    <row r="49" s="232" customFormat="1" x14ac:dyDescent="0.25"/>
    <row r="50" s="232" customFormat="1" x14ac:dyDescent="0.25"/>
    <row r="51" s="232" customFormat="1" x14ac:dyDescent="0.25"/>
    <row r="52" s="232" customFormat="1" x14ac:dyDescent="0.25"/>
    <row r="53" s="232" customFormat="1" x14ac:dyDescent="0.25"/>
    <row r="54" s="232" customFormat="1" x14ac:dyDescent="0.25"/>
    <row r="55" s="232" customFormat="1" x14ac:dyDescent="0.25"/>
    <row r="56" s="232" customFormat="1" x14ac:dyDescent="0.25"/>
    <row r="57" s="232" customFormat="1" x14ac:dyDescent="0.25"/>
    <row r="58" s="232" customFormat="1" x14ac:dyDescent="0.25"/>
    <row r="59" s="232" customFormat="1" x14ac:dyDescent="0.25"/>
    <row r="60" s="232" customFormat="1" x14ac:dyDescent="0.25"/>
    <row r="61" s="232" customFormat="1" x14ac:dyDescent="0.25"/>
    <row r="62" s="232" customFormat="1" x14ac:dyDescent="0.25"/>
    <row r="63" s="232" customFormat="1" x14ac:dyDescent="0.25"/>
    <row r="64" s="232" customFormat="1" x14ac:dyDescent="0.25"/>
    <row r="65" s="232" customFormat="1" x14ac:dyDescent="0.25"/>
    <row r="66" s="232" customFormat="1" x14ac:dyDescent="0.25"/>
    <row r="67" s="232" customFormat="1" x14ac:dyDescent="0.25"/>
    <row r="68" s="232" customFormat="1" x14ac:dyDescent="0.25"/>
    <row r="69" s="232" customFormat="1" x14ac:dyDescent="0.25"/>
    <row r="70" s="232" customFormat="1" x14ac:dyDescent="0.25"/>
    <row r="71" s="232" customFormat="1" x14ac:dyDescent="0.25"/>
    <row r="72" s="232" customFormat="1" x14ac:dyDescent="0.25"/>
    <row r="73" s="232" customFormat="1" x14ac:dyDescent="0.25"/>
    <row r="74" s="232" customFormat="1" x14ac:dyDescent="0.25"/>
    <row r="75" s="232" customFormat="1" x14ac:dyDescent="0.25"/>
    <row r="76" s="232" customFormat="1" x14ac:dyDescent="0.25"/>
    <row r="77" s="232" customFormat="1" x14ac:dyDescent="0.25"/>
    <row r="78" s="232" customFormat="1" x14ac:dyDescent="0.25"/>
    <row r="79" s="232" customFormat="1" x14ac:dyDescent="0.25"/>
    <row r="80" s="232" customFormat="1" x14ac:dyDescent="0.25"/>
    <row r="81" s="232" customFormat="1" x14ac:dyDescent="0.25"/>
    <row r="82" s="232" customFormat="1" x14ac:dyDescent="0.25"/>
    <row r="83" s="232" customFormat="1" x14ac:dyDescent="0.25"/>
    <row r="84" s="232" customFormat="1" x14ac:dyDescent="0.25"/>
    <row r="85" s="232" customFormat="1" x14ac:dyDescent="0.25"/>
    <row r="86" s="232" customFormat="1" x14ac:dyDescent="0.25"/>
    <row r="87" s="232" customFormat="1" x14ac:dyDescent="0.25"/>
    <row r="88" s="232" customFormat="1" x14ac:dyDescent="0.25"/>
    <row r="89" s="232" customFormat="1" x14ac:dyDescent="0.25"/>
    <row r="90" s="232" customFormat="1" x14ac:dyDescent="0.25"/>
    <row r="91" s="232" customFormat="1" x14ac:dyDescent="0.25"/>
    <row r="92" s="232" customFormat="1" x14ac:dyDescent="0.25"/>
    <row r="93" s="232" customFormat="1" x14ac:dyDescent="0.25"/>
    <row r="94" s="232" customFormat="1" x14ac:dyDescent="0.25"/>
    <row r="95" s="232" customFormat="1" x14ac:dyDescent="0.25"/>
    <row r="96" s="232" customFormat="1" x14ac:dyDescent="0.25"/>
    <row r="97" s="232" customFormat="1" x14ac:dyDescent="0.25"/>
    <row r="98" s="232" customFormat="1" x14ac:dyDescent="0.25"/>
    <row r="99" s="232" customFormat="1" x14ac:dyDescent="0.25"/>
    <row r="100" s="232" customFormat="1" x14ac:dyDescent="0.25"/>
    <row r="101" s="232" customFormat="1" x14ac:dyDescent="0.25"/>
    <row r="102" s="232" customFormat="1" x14ac:dyDescent="0.25"/>
    <row r="103" s="232" customFormat="1" x14ac:dyDescent="0.25"/>
    <row r="104" s="232" customFormat="1" x14ac:dyDescent="0.25"/>
    <row r="105" s="232" customFormat="1" x14ac:dyDescent="0.25"/>
    <row r="106" s="232" customFormat="1" x14ac:dyDescent="0.25"/>
    <row r="107" s="232" customFormat="1" x14ac:dyDescent="0.25"/>
    <row r="108" s="232" customFormat="1" x14ac:dyDescent="0.25"/>
    <row r="109" s="232" customFormat="1" x14ac:dyDescent="0.25"/>
    <row r="110" s="232" customFormat="1" x14ac:dyDescent="0.25"/>
    <row r="111" s="232" customFormat="1" x14ac:dyDescent="0.25"/>
    <row r="112" s="232" customFormat="1" x14ac:dyDescent="0.25"/>
    <row r="113" s="232" customFormat="1" x14ac:dyDescent="0.25"/>
    <row r="114" s="232" customFormat="1" x14ac:dyDescent="0.25"/>
    <row r="115" s="232" customFormat="1" x14ac:dyDescent="0.25"/>
    <row r="116" s="232" customFormat="1" x14ac:dyDescent="0.25"/>
    <row r="117" s="232" customFormat="1" x14ac:dyDescent="0.25"/>
    <row r="118" s="232" customFormat="1" x14ac:dyDescent="0.25"/>
    <row r="119" s="232" customFormat="1" x14ac:dyDescent="0.25"/>
    <row r="120" s="232" customFormat="1" x14ac:dyDescent="0.25"/>
    <row r="121" s="232" customFormat="1" x14ac:dyDescent="0.25"/>
    <row r="122" s="232" customFormat="1" x14ac:dyDescent="0.25"/>
    <row r="123" s="232" customFormat="1" x14ac:dyDescent="0.25"/>
    <row r="124" s="232" customFormat="1" x14ac:dyDescent="0.25"/>
    <row r="125" s="232" customFormat="1" x14ac:dyDescent="0.25"/>
    <row r="126" s="232" customFormat="1" x14ac:dyDescent="0.25"/>
    <row r="127" s="232" customFormat="1" x14ac:dyDescent="0.25"/>
    <row r="128" s="232" customFormat="1" x14ac:dyDescent="0.25"/>
    <row r="129" s="232" customFormat="1" x14ac:dyDescent="0.25"/>
    <row r="130" s="232" customFormat="1" x14ac:dyDescent="0.25"/>
    <row r="131" s="232" customFormat="1" x14ac:dyDescent="0.25"/>
    <row r="132" s="232" customFormat="1" x14ac:dyDescent="0.25"/>
    <row r="133" s="232" customFormat="1" x14ac:dyDescent="0.25"/>
    <row r="134" s="232" customFormat="1" x14ac:dyDescent="0.25"/>
    <row r="135" s="232" customFormat="1" x14ac:dyDescent="0.25"/>
    <row r="136" s="232" customFormat="1" x14ac:dyDescent="0.25"/>
    <row r="137" s="232" customFormat="1" x14ac:dyDescent="0.25"/>
    <row r="138" s="232" customFormat="1" x14ac:dyDescent="0.25"/>
    <row r="139" s="232" customFormat="1" x14ac:dyDescent="0.25"/>
    <row r="140" s="232" customFormat="1" x14ac:dyDescent="0.25"/>
    <row r="141" s="232" customFormat="1" x14ac:dyDescent="0.25"/>
    <row r="142" s="232" customFormat="1" x14ac:dyDescent="0.25"/>
    <row r="143" s="232" customFormat="1" x14ac:dyDescent="0.25"/>
    <row r="144" s="232" customFormat="1" x14ac:dyDescent="0.25"/>
    <row r="145" s="232" customFormat="1" x14ac:dyDescent="0.25"/>
    <row r="146" s="232" customFormat="1" x14ac:dyDescent="0.25"/>
    <row r="147" s="232" customFormat="1" x14ac:dyDescent="0.25"/>
    <row r="148" s="232" customFormat="1" x14ac:dyDescent="0.25"/>
    <row r="149" s="232" customFormat="1" x14ac:dyDescent="0.25"/>
    <row r="150" s="232" customFormat="1" x14ac:dyDescent="0.25"/>
    <row r="151" s="232" customFormat="1" x14ac:dyDescent="0.25"/>
    <row r="152" s="232" customFormat="1" x14ac:dyDescent="0.25"/>
    <row r="153" s="232" customFormat="1" x14ac:dyDescent="0.25"/>
    <row r="154" s="232" customFormat="1" x14ac:dyDescent="0.25"/>
    <row r="155" s="232" customFormat="1" x14ac:dyDescent="0.25"/>
    <row r="156" s="232" customFormat="1" x14ac:dyDescent="0.25"/>
    <row r="157" s="232" customFormat="1" x14ac:dyDescent="0.25"/>
    <row r="158" s="232" customFormat="1" x14ac:dyDescent="0.25"/>
    <row r="159" s="232" customFormat="1" x14ac:dyDescent="0.25"/>
    <row r="160" s="232" customFormat="1" x14ac:dyDescent="0.25"/>
    <row r="161" s="232" customFormat="1" x14ac:dyDescent="0.25"/>
    <row r="162" s="232" customFormat="1" x14ac:dyDescent="0.25"/>
    <row r="163" s="232" customFormat="1" x14ac:dyDescent="0.25"/>
    <row r="164" s="232" customFormat="1" x14ac:dyDescent="0.25"/>
    <row r="165" s="232" customFormat="1" x14ac:dyDescent="0.25"/>
    <row r="166" s="232" customFormat="1" x14ac:dyDescent="0.25"/>
    <row r="167" s="232" customFormat="1" x14ac:dyDescent="0.25"/>
    <row r="168" s="232" customFormat="1" x14ac:dyDescent="0.25"/>
    <row r="169" s="232" customFormat="1" x14ac:dyDescent="0.25"/>
    <row r="170" s="232" customFormat="1" x14ac:dyDescent="0.25"/>
    <row r="171" s="232" customFormat="1" x14ac:dyDescent="0.25"/>
    <row r="172" s="232" customFormat="1" x14ac:dyDescent="0.25"/>
    <row r="173" s="232" customFormat="1" x14ac:dyDescent="0.25"/>
    <row r="174" s="232" customFormat="1" x14ac:dyDescent="0.25"/>
    <row r="175" s="232" customFormat="1" x14ac:dyDescent="0.25"/>
    <row r="176" s="232" customFormat="1" x14ac:dyDescent="0.25"/>
    <row r="177" s="232" customFormat="1" x14ac:dyDescent="0.25"/>
    <row r="178" s="232" customFormat="1" x14ac:dyDescent="0.25"/>
    <row r="179" s="232" customFormat="1" x14ac:dyDescent="0.25"/>
    <row r="180" s="232" customFormat="1" x14ac:dyDescent="0.25"/>
    <row r="181" s="232" customFormat="1" x14ac:dyDescent="0.25"/>
    <row r="182" s="232" customFormat="1" x14ac:dyDescent="0.25"/>
    <row r="183" s="232" customFormat="1" x14ac:dyDescent="0.25"/>
    <row r="184" s="232" customFormat="1" x14ac:dyDescent="0.25"/>
    <row r="185" s="232" customFormat="1" x14ac:dyDescent="0.25"/>
    <row r="186" s="232" customFormat="1" x14ac:dyDescent="0.25"/>
    <row r="187" s="232" customFormat="1" x14ac:dyDescent="0.25"/>
    <row r="188" s="232" customFormat="1" x14ac:dyDescent="0.25"/>
    <row r="189" s="232" customFormat="1" x14ac:dyDescent="0.25"/>
    <row r="190" s="232" customFormat="1" x14ac:dyDescent="0.25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48"/>
  <sheetViews>
    <sheetView zoomScale="85" zoomScaleNormal="85" workbookViewId="0">
      <pane ySplit="2" topLeftCell="A3" activePane="bottomLeft" state="frozen"/>
      <selection pane="bottomLeft" activeCell="A2" sqref="A2"/>
    </sheetView>
  </sheetViews>
  <sheetFormatPr defaultColWidth="8.88671875" defaultRowHeight="13.2" x14ac:dyDescent="0.25"/>
  <cols>
    <col min="1" max="1" width="18.77734375" customWidth="1"/>
    <col min="2" max="2" width="5.77734375" style="5" customWidth="1"/>
    <col min="3" max="3" width="6.33203125" style="5" customWidth="1"/>
    <col min="4" max="4" width="6.5546875" style="5" customWidth="1"/>
    <col min="5" max="22" width="7.5546875" style="5" customWidth="1"/>
    <col min="23" max="25" width="9.77734375" style="241" customWidth="1"/>
    <col min="26" max="27" width="11.77734375" style="237" customWidth="1"/>
    <col min="28" max="29" width="8.88671875" style="5"/>
  </cols>
  <sheetData>
    <row r="1" spans="1:45" s="108" customFormat="1" ht="30" customHeight="1" thickBot="1" x14ac:dyDescent="0.3">
      <c r="A1" s="242">
        <v>45458</v>
      </c>
      <c r="B1" s="108" t="s">
        <v>685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8"/>
      <c r="X1" s="238"/>
      <c r="Y1" s="238"/>
      <c r="Z1" s="235"/>
      <c r="AA1" s="235"/>
      <c r="AB1" s="234"/>
      <c r="AC1" s="234"/>
    </row>
    <row r="2" spans="1:45" s="79" customFormat="1" ht="28.5" customHeight="1" thickBot="1" x14ac:dyDescent="0.3">
      <c r="A2" s="75" t="s">
        <v>0</v>
      </c>
      <c r="B2" s="76" t="s">
        <v>1</v>
      </c>
      <c r="C2" s="77" t="s">
        <v>29</v>
      </c>
      <c r="D2" s="77" t="s">
        <v>158</v>
      </c>
      <c r="E2" s="77" t="s">
        <v>103</v>
      </c>
      <c r="F2" s="83" t="s">
        <v>156</v>
      </c>
      <c r="G2" s="78" t="s">
        <v>22</v>
      </c>
      <c r="H2" s="78" t="s">
        <v>23</v>
      </c>
      <c r="I2" s="78" t="s">
        <v>24</v>
      </c>
      <c r="J2" s="78" t="s">
        <v>25</v>
      </c>
      <c r="K2" s="77" t="s">
        <v>11</v>
      </c>
      <c r="L2" s="78" t="s">
        <v>12</v>
      </c>
      <c r="M2" s="78" t="s">
        <v>13</v>
      </c>
      <c r="N2" s="78" t="s">
        <v>14</v>
      </c>
      <c r="O2" s="78" t="s">
        <v>113</v>
      </c>
      <c r="P2" s="77" t="s">
        <v>15</v>
      </c>
      <c r="Q2" s="77" t="s">
        <v>16</v>
      </c>
      <c r="R2" s="78" t="s">
        <v>17</v>
      </c>
      <c r="S2" s="78" t="s">
        <v>18</v>
      </c>
      <c r="T2" s="78" t="s">
        <v>19</v>
      </c>
      <c r="U2" s="78" t="s">
        <v>20</v>
      </c>
      <c r="V2" s="78" t="s">
        <v>21</v>
      </c>
      <c r="W2" s="239" t="s">
        <v>68</v>
      </c>
      <c r="X2" s="240" t="s">
        <v>90</v>
      </c>
      <c r="Y2" s="240" t="s">
        <v>95</v>
      </c>
      <c r="Z2" s="236" t="s">
        <v>134</v>
      </c>
      <c r="AA2" s="236" t="s">
        <v>30</v>
      </c>
      <c r="AB2" s="77" t="s">
        <v>135</v>
      </c>
      <c r="AC2" s="93" t="s">
        <v>44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</row>
    <row r="9" spans="1:45" ht="22.8" x14ac:dyDescent="0.25">
      <c r="A9" s="108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8"/>
      <c r="X9" s="238"/>
      <c r="Y9" s="238"/>
      <c r="Z9" s="235"/>
      <c r="AA9" s="235"/>
      <c r="AB9" s="234"/>
      <c r="AC9" s="234"/>
    </row>
    <row r="17" spans="1:101" ht="22.8" x14ac:dyDescent="0.25"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</row>
    <row r="26" spans="1:101" s="108" customFormat="1" ht="30" customHeight="1" x14ac:dyDescent="0.25">
      <c r="A2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241"/>
      <c r="X26" s="241"/>
      <c r="Y26" s="241"/>
      <c r="Z26" s="237"/>
      <c r="AA26" s="237"/>
      <c r="AB26" s="5"/>
      <c r="AC26" s="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48" spans="2:29" s="108" customFormat="1" ht="12" customHeight="1" x14ac:dyDescent="0.25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8"/>
      <c r="X48" s="238"/>
      <c r="Y48" s="238"/>
      <c r="Z48" s="235"/>
      <c r="AA48" s="235"/>
      <c r="AB48" s="234"/>
      <c r="AC48" s="234"/>
    </row>
  </sheetData>
  <phoneticPr fontId="0" type="noConversion"/>
  <conditionalFormatting sqref="G2:J2 L2:O2 R2:U2">
    <cfRule type="cellIs" dxfId="19" priority="1" stopIfTrue="1" operator="equal">
      <formula>#REF!</formula>
    </cfRule>
  </conditionalFormatting>
  <printOptions gridLines="1"/>
  <pageMargins left="0.5" right="0.5" top="0.75" bottom="0.75" header="0.5" footer="0.5"/>
  <pageSetup paperSize="5" scale="6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G2"/>
  <sheetViews>
    <sheetView workbookViewId="0">
      <selection activeCell="A2" sqref="A2"/>
    </sheetView>
  </sheetViews>
  <sheetFormatPr defaultColWidth="8.88671875" defaultRowHeight="13.2" x14ac:dyDescent="0.25"/>
  <cols>
    <col min="1" max="1" width="18.77734375" customWidth="1"/>
    <col min="2" max="2" width="5.77734375" style="5" customWidth="1"/>
    <col min="3" max="3" width="6.33203125" style="5" customWidth="1"/>
    <col min="4" max="4" width="6.5546875" style="5" customWidth="1"/>
    <col min="5" max="10" width="7.5546875" style="5" customWidth="1"/>
    <col min="11" max="13" width="9.77734375" style="241" customWidth="1"/>
    <col min="14" max="15" width="11.77734375" style="237" customWidth="1"/>
    <col min="16" max="17" width="8.88671875" style="5"/>
  </cols>
  <sheetData>
    <row r="1" spans="1:33" s="108" customFormat="1" ht="30" customHeight="1" thickBot="1" x14ac:dyDescent="0.3">
      <c r="A1" s="242">
        <v>45458</v>
      </c>
      <c r="B1" s="108" t="s">
        <v>685</v>
      </c>
      <c r="C1" s="234"/>
      <c r="D1" s="234"/>
      <c r="E1" s="234"/>
      <c r="F1" s="234"/>
      <c r="G1" s="234"/>
      <c r="H1" s="234"/>
      <c r="I1" s="234"/>
      <c r="J1" s="234"/>
      <c r="K1" s="238"/>
      <c r="L1" s="238"/>
      <c r="M1" s="238"/>
      <c r="N1" s="235"/>
      <c r="O1" s="235"/>
      <c r="P1" s="234"/>
      <c r="Q1" s="234"/>
    </row>
    <row r="2" spans="1:33" s="79" customFormat="1" ht="28.5" customHeight="1" thickBot="1" x14ac:dyDescent="0.3">
      <c r="A2" s="75" t="s">
        <v>0</v>
      </c>
      <c r="B2" s="76" t="s">
        <v>1</v>
      </c>
      <c r="C2" s="77" t="s">
        <v>29</v>
      </c>
      <c r="D2" s="77" t="s">
        <v>158</v>
      </c>
      <c r="E2" s="77" t="s">
        <v>103</v>
      </c>
      <c r="F2" s="83" t="s">
        <v>156</v>
      </c>
      <c r="G2" s="78" t="s">
        <v>22</v>
      </c>
      <c r="H2" s="78" t="s">
        <v>23</v>
      </c>
      <c r="I2" s="78" t="s">
        <v>24</v>
      </c>
      <c r="J2" s="78" t="s">
        <v>25</v>
      </c>
      <c r="K2" s="239" t="s">
        <v>11</v>
      </c>
      <c r="L2" s="240" t="s">
        <v>90</v>
      </c>
      <c r="M2" s="240" t="s">
        <v>95</v>
      </c>
      <c r="N2" s="236" t="s">
        <v>134</v>
      </c>
      <c r="O2" s="236" t="s">
        <v>30</v>
      </c>
      <c r="P2" s="77" t="s">
        <v>135</v>
      </c>
      <c r="Q2" s="93" t="s">
        <v>44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</sheetData>
  <phoneticPr fontId="0" type="noConversion"/>
  <conditionalFormatting sqref="G2:J2">
    <cfRule type="cellIs" dxfId="18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>
      <selection activeCell="C43" sqref="C43"/>
    </sheetView>
  </sheetViews>
  <sheetFormatPr defaultColWidth="8.88671875" defaultRowHeight="13.2" x14ac:dyDescent="0.25"/>
  <cols>
    <col min="1" max="1" width="18.77734375" customWidth="1"/>
    <col min="2" max="2" width="5.77734375" style="5" customWidth="1"/>
    <col min="3" max="3" width="23" style="5" bestFit="1" customWidth="1"/>
    <col min="4" max="4" width="6.5546875" style="5" customWidth="1"/>
    <col min="5" max="10" width="7.5546875" style="5" customWidth="1"/>
    <col min="11" max="13" width="9.77734375" style="241" customWidth="1"/>
    <col min="14" max="14" width="11.77734375" style="237" hidden="1" customWidth="1"/>
    <col min="15" max="15" width="33" style="237" bestFit="1" customWidth="1"/>
    <col min="16" max="17" width="0" style="5" hidden="1" customWidth="1"/>
  </cols>
  <sheetData>
    <row r="1" spans="1:89" s="108" customFormat="1" ht="30" customHeight="1" thickBot="1" x14ac:dyDescent="0.3">
      <c r="A1" s="242">
        <v>45458</v>
      </c>
      <c r="B1" s="108" t="s">
        <v>685</v>
      </c>
      <c r="C1" s="234"/>
      <c r="D1" s="234"/>
      <c r="E1" s="234"/>
      <c r="F1" s="234"/>
      <c r="G1" s="234"/>
      <c r="H1" s="234"/>
      <c r="I1" s="234"/>
      <c r="J1" s="234"/>
      <c r="K1" s="238"/>
      <c r="L1" s="238"/>
      <c r="M1" s="238"/>
      <c r="N1" s="235"/>
      <c r="O1" s="235"/>
      <c r="P1" s="234"/>
      <c r="Q1" s="234"/>
    </row>
    <row r="2" spans="1:89" s="79" customFormat="1" ht="28.5" customHeight="1" thickBot="1" x14ac:dyDescent="0.3">
      <c r="A2" s="75" t="s">
        <v>0</v>
      </c>
      <c r="B2" s="76" t="s">
        <v>1</v>
      </c>
      <c r="C2" s="77" t="s">
        <v>29</v>
      </c>
      <c r="D2" s="77" t="s">
        <v>158</v>
      </c>
      <c r="E2" s="77" t="s">
        <v>103</v>
      </c>
      <c r="F2" s="83" t="s">
        <v>156</v>
      </c>
      <c r="G2" s="78" t="s">
        <v>12</v>
      </c>
      <c r="H2" s="78" t="s">
        <v>13</v>
      </c>
      <c r="I2" s="78" t="s">
        <v>14</v>
      </c>
      <c r="J2" s="78" t="s">
        <v>113</v>
      </c>
      <c r="K2" s="239" t="s">
        <v>15</v>
      </c>
      <c r="L2" s="240" t="s">
        <v>90</v>
      </c>
      <c r="M2" s="240" t="s">
        <v>95</v>
      </c>
      <c r="N2" s="236" t="s">
        <v>134</v>
      </c>
      <c r="O2" s="236" t="s">
        <v>30</v>
      </c>
      <c r="P2" s="77" t="s">
        <v>135</v>
      </c>
      <c r="Q2" s="93" t="s">
        <v>44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89" s="250" customFormat="1" ht="15" x14ac:dyDescent="0.25">
      <c r="A3" s="217" t="s">
        <v>662</v>
      </c>
      <c r="B3" s="244">
        <v>41</v>
      </c>
      <c r="C3" s="244" t="s">
        <v>295</v>
      </c>
      <c r="D3" s="244">
        <v>66.099999999999994</v>
      </c>
      <c r="E3" s="244">
        <v>67.5</v>
      </c>
      <c r="F3" s="265">
        <v>0.91449999999999998</v>
      </c>
      <c r="G3" s="244">
        <v>75</v>
      </c>
      <c r="H3" s="244">
        <v>80</v>
      </c>
      <c r="I3" s="244">
        <v>82.5</v>
      </c>
      <c r="J3" s="244"/>
      <c r="K3" s="248">
        <v>82.5</v>
      </c>
      <c r="L3" s="263">
        <v>75.446249999999992</v>
      </c>
      <c r="M3" s="263">
        <v>76.200712499999995</v>
      </c>
      <c r="N3" s="246">
        <v>1</v>
      </c>
      <c r="O3" s="246" t="s">
        <v>697</v>
      </c>
      <c r="P3" s="244">
        <v>3</v>
      </c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s="250" customFormat="1" ht="15" x14ac:dyDescent="0.25">
      <c r="A4" s="217" t="s">
        <v>663</v>
      </c>
      <c r="B4" s="244">
        <v>50</v>
      </c>
      <c r="C4" s="244" t="s">
        <v>217</v>
      </c>
      <c r="D4" s="244">
        <v>97.05</v>
      </c>
      <c r="E4" s="244">
        <v>100</v>
      </c>
      <c r="F4" s="265">
        <v>0.58884999999999998</v>
      </c>
      <c r="G4" s="244">
        <v>152.5</v>
      </c>
      <c r="H4" s="244">
        <v>160</v>
      </c>
      <c r="I4" s="244">
        <v>-165</v>
      </c>
      <c r="J4" s="244"/>
      <c r="K4" s="248">
        <v>160</v>
      </c>
      <c r="L4" s="263">
        <v>94.215999999999994</v>
      </c>
      <c r="M4" s="263">
        <v>106.46407999999998</v>
      </c>
      <c r="N4" s="246">
        <v>1</v>
      </c>
      <c r="O4" s="246" t="s">
        <v>701</v>
      </c>
      <c r="P4" s="244">
        <v>3</v>
      </c>
      <c r="Q4" s="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1:89" s="250" customFormat="1" ht="15" x14ac:dyDescent="0.25">
      <c r="A5" s="217" t="s">
        <v>660</v>
      </c>
      <c r="B5" s="244">
        <v>51</v>
      </c>
      <c r="C5" s="244" t="s">
        <v>216</v>
      </c>
      <c r="D5" s="244">
        <v>121.35</v>
      </c>
      <c r="E5" s="244">
        <v>125</v>
      </c>
      <c r="F5" s="265">
        <v>0.54949999999999999</v>
      </c>
      <c r="G5" s="244">
        <v>-175</v>
      </c>
      <c r="H5" s="244">
        <v>-190</v>
      </c>
      <c r="I5" s="244">
        <v>-190</v>
      </c>
      <c r="J5" s="244"/>
      <c r="K5" s="248">
        <v>0</v>
      </c>
      <c r="L5" s="263">
        <v>0</v>
      </c>
      <c r="M5" s="263">
        <v>0</v>
      </c>
      <c r="N5" s="246">
        <v>1</v>
      </c>
      <c r="O5" s="246">
        <v>0</v>
      </c>
      <c r="P5" s="244">
        <v>0</v>
      </c>
      <c r="Q5" s="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s="250" customFormat="1" ht="22.8" x14ac:dyDescent="0.25">
      <c r="A6" s="217" t="s">
        <v>664</v>
      </c>
      <c r="B6" s="244">
        <v>49</v>
      </c>
      <c r="C6" s="244" t="s">
        <v>210</v>
      </c>
      <c r="D6" s="244">
        <v>98.1</v>
      </c>
      <c r="E6" s="244">
        <v>100</v>
      </c>
      <c r="F6" s="265">
        <v>0.58614999999999995</v>
      </c>
      <c r="G6" s="244">
        <v>85</v>
      </c>
      <c r="H6" s="244">
        <v>-95</v>
      </c>
      <c r="I6" s="244">
        <v>-100</v>
      </c>
      <c r="J6" s="244"/>
      <c r="K6" s="248">
        <v>85</v>
      </c>
      <c r="L6" s="263">
        <v>49.822749999999999</v>
      </c>
      <c r="M6" s="263">
        <v>55.452720749999997</v>
      </c>
      <c r="N6" s="246">
        <v>1</v>
      </c>
      <c r="O6" s="246" t="s">
        <v>699</v>
      </c>
      <c r="P6" s="244">
        <v>3</v>
      </c>
      <c r="Q6" s="5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</row>
    <row r="7" spans="1:89" s="250" customFormat="1" ht="15" x14ac:dyDescent="0.25">
      <c r="A7" s="217" t="s">
        <v>658</v>
      </c>
      <c r="B7" s="244">
        <v>46</v>
      </c>
      <c r="C7" s="244" t="s">
        <v>210</v>
      </c>
      <c r="D7" s="244">
        <v>123.5</v>
      </c>
      <c r="E7" s="244">
        <v>125</v>
      </c>
      <c r="F7" s="265">
        <v>0.54720000000000002</v>
      </c>
      <c r="G7" s="244">
        <v>172.5</v>
      </c>
      <c r="H7" s="244">
        <v>-182.5</v>
      </c>
      <c r="I7" s="244">
        <v>-182.5</v>
      </c>
      <c r="J7" s="244"/>
      <c r="K7" s="248">
        <v>172.5</v>
      </c>
      <c r="L7" s="263">
        <v>94.39200000000001</v>
      </c>
      <c r="M7" s="263">
        <v>100.81065600000002</v>
      </c>
      <c r="N7" s="246">
        <v>1</v>
      </c>
      <c r="O7" s="246" t="s">
        <v>702</v>
      </c>
      <c r="P7" s="244">
        <v>3</v>
      </c>
      <c r="Q7" s="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s="250" customFormat="1" ht="15" x14ac:dyDescent="0.25">
      <c r="A8" s="217" t="s">
        <v>676</v>
      </c>
      <c r="B8" s="244">
        <v>48</v>
      </c>
      <c r="C8" s="244" t="s">
        <v>210</v>
      </c>
      <c r="D8" s="244">
        <v>127.05</v>
      </c>
      <c r="E8" s="244">
        <v>140</v>
      </c>
      <c r="F8" s="265">
        <v>0.54325000000000001</v>
      </c>
      <c r="G8" s="244">
        <v>210</v>
      </c>
      <c r="H8" s="244">
        <v>220</v>
      </c>
      <c r="I8" s="244">
        <v>227.5</v>
      </c>
      <c r="J8" s="244"/>
      <c r="K8" s="248">
        <v>227.5</v>
      </c>
      <c r="L8" s="263">
        <v>123.589375</v>
      </c>
      <c r="M8" s="263">
        <v>135.577544375</v>
      </c>
      <c r="N8" s="246">
        <v>1</v>
      </c>
      <c r="O8" s="246" t="s">
        <v>703</v>
      </c>
      <c r="P8" s="244">
        <v>3</v>
      </c>
      <c r="Q8" s="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250" customFormat="1" ht="15" x14ac:dyDescent="0.25">
      <c r="A9" s="217" t="s">
        <v>668</v>
      </c>
      <c r="B9" s="244">
        <v>46</v>
      </c>
      <c r="C9" s="244" t="s">
        <v>210</v>
      </c>
      <c r="D9" s="244">
        <v>151.6</v>
      </c>
      <c r="E9" s="244" t="s">
        <v>81</v>
      </c>
      <c r="F9" s="265">
        <v>0.52190000000000003</v>
      </c>
      <c r="G9" s="244">
        <v>240</v>
      </c>
      <c r="H9" s="244">
        <v>-252.5</v>
      </c>
      <c r="I9" s="244">
        <v>-252.5</v>
      </c>
      <c r="J9" s="244"/>
      <c r="K9" s="248">
        <v>240</v>
      </c>
      <c r="L9" s="263">
        <v>125.256</v>
      </c>
      <c r="M9" s="263">
        <v>133.77340800000002</v>
      </c>
      <c r="N9" s="246">
        <v>1</v>
      </c>
      <c r="O9" s="246" t="s">
        <v>704</v>
      </c>
      <c r="P9" s="244">
        <v>3</v>
      </c>
      <c r="Q9" s="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s="250" customFormat="1" ht="15" x14ac:dyDescent="0.25">
      <c r="A10" s="217" t="s">
        <v>682</v>
      </c>
      <c r="B10" s="244">
        <v>45</v>
      </c>
      <c r="C10" s="244" t="s">
        <v>210</v>
      </c>
      <c r="D10" s="244">
        <v>154.69999999999999</v>
      </c>
      <c r="E10" s="244" t="s">
        <v>81</v>
      </c>
      <c r="F10" s="265">
        <v>0.51954999999999996</v>
      </c>
      <c r="G10" s="244">
        <v>130</v>
      </c>
      <c r="H10" s="244">
        <v>-142.5</v>
      </c>
      <c r="I10" s="244">
        <v>147.5</v>
      </c>
      <c r="J10" s="244"/>
      <c r="K10" s="248">
        <v>147.5</v>
      </c>
      <c r="L10" s="263">
        <v>76.633624999999995</v>
      </c>
      <c r="M10" s="263">
        <v>80.848474374999995</v>
      </c>
      <c r="N10" s="246">
        <v>1</v>
      </c>
      <c r="O10" s="246" t="s">
        <v>700</v>
      </c>
      <c r="P10" s="244">
        <v>3</v>
      </c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250" customFormat="1" ht="13.5" customHeight="1" x14ac:dyDescent="0.25">
      <c r="A11" s="257" t="s">
        <v>659</v>
      </c>
      <c r="B11" s="258">
        <v>17</v>
      </c>
      <c r="C11" s="258" t="s">
        <v>180</v>
      </c>
      <c r="D11" s="258">
        <v>98.95</v>
      </c>
      <c r="E11" s="258">
        <v>100</v>
      </c>
      <c r="F11" s="266">
        <v>0.58379999999999999</v>
      </c>
      <c r="G11" s="258">
        <v>125</v>
      </c>
      <c r="H11" s="258">
        <v>137.5</v>
      </c>
      <c r="I11" s="258">
        <v>140</v>
      </c>
      <c r="J11" s="258"/>
      <c r="K11" s="259">
        <v>140</v>
      </c>
      <c r="L11" s="264">
        <v>81.731999999999999</v>
      </c>
      <c r="M11" s="264">
        <v>0</v>
      </c>
      <c r="N11" s="260">
        <v>1</v>
      </c>
      <c r="O11" s="260" t="s">
        <v>698</v>
      </c>
      <c r="P11" s="258">
        <v>3</v>
      </c>
      <c r="Q11" s="234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</row>
    <row r="12" spans="1:89" s="250" customFormat="1" ht="15" x14ac:dyDescent="0.25">
      <c r="A12" s="217" t="s">
        <v>677</v>
      </c>
      <c r="B12" s="244">
        <v>48</v>
      </c>
      <c r="C12" s="244" t="s">
        <v>168</v>
      </c>
      <c r="D12" s="244">
        <v>127.05</v>
      </c>
      <c r="E12" s="244">
        <v>140</v>
      </c>
      <c r="F12" s="265">
        <v>0.54325000000000001</v>
      </c>
      <c r="G12" s="244">
        <v>210</v>
      </c>
      <c r="H12" s="244">
        <v>220</v>
      </c>
      <c r="I12" s="244">
        <v>227.5</v>
      </c>
      <c r="J12" s="244"/>
      <c r="K12" s="248">
        <v>227.5</v>
      </c>
      <c r="L12" s="263">
        <v>123.589375</v>
      </c>
      <c r="M12" s="263">
        <v>135.577544375</v>
      </c>
      <c r="N12" s="246">
        <v>1</v>
      </c>
      <c r="O12" s="246" t="s">
        <v>687</v>
      </c>
      <c r="P12" s="244">
        <v>3</v>
      </c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250" customFormat="1" ht="22.8" x14ac:dyDescent="0.25">
      <c r="A13" s="257" t="s">
        <v>669</v>
      </c>
      <c r="B13" s="258">
        <v>46</v>
      </c>
      <c r="C13" s="258" t="s">
        <v>168</v>
      </c>
      <c r="D13" s="258">
        <v>151.6</v>
      </c>
      <c r="E13" s="258" t="s">
        <v>81</v>
      </c>
      <c r="F13" s="266">
        <v>0.52190000000000003</v>
      </c>
      <c r="G13" s="258">
        <v>240</v>
      </c>
      <c r="H13" s="258">
        <v>-252.5</v>
      </c>
      <c r="I13" s="258">
        <v>-252.5</v>
      </c>
      <c r="J13" s="258"/>
      <c r="K13" s="259">
        <v>240</v>
      </c>
      <c r="L13" s="264">
        <v>125.256</v>
      </c>
      <c r="M13" s="264">
        <v>133.77340800000002</v>
      </c>
      <c r="N13" s="260">
        <v>1</v>
      </c>
      <c r="O13" s="260" t="s">
        <v>688</v>
      </c>
      <c r="P13" s="258">
        <v>3</v>
      </c>
      <c r="Q13" s="23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s="254" customFormat="1" ht="30" customHeight="1" x14ac:dyDescent="0.25">
      <c r="A14" s="257" t="s">
        <v>683</v>
      </c>
      <c r="B14" s="258">
        <v>45</v>
      </c>
      <c r="C14" s="258" t="s">
        <v>168</v>
      </c>
      <c r="D14" s="258">
        <v>154.69999999999999</v>
      </c>
      <c r="E14" s="258" t="s">
        <v>81</v>
      </c>
      <c r="F14" s="266">
        <v>0.51954999999999996</v>
      </c>
      <c r="G14" s="258">
        <v>130</v>
      </c>
      <c r="H14" s="258">
        <v>-142.5</v>
      </c>
      <c r="I14" s="258">
        <v>147.5</v>
      </c>
      <c r="J14" s="258"/>
      <c r="K14" s="259">
        <v>147.5</v>
      </c>
      <c r="L14" s="264">
        <v>76.633624999999995</v>
      </c>
      <c r="M14" s="264">
        <v>80.848474374999995</v>
      </c>
      <c r="N14" s="260">
        <v>1</v>
      </c>
      <c r="O14" s="260" t="s">
        <v>686</v>
      </c>
      <c r="P14" s="258">
        <v>3</v>
      </c>
      <c r="Q14" s="23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ht="15" x14ac:dyDescent="0.25">
      <c r="A15" s="250"/>
      <c r="B15" s="251"/>
      <c r="C15" s="251"/>
      <c r="D15" s="251"/>
      <c r="E15" s="251"/>
      <c r="F15" s="251"/>
      <c r="G15" s="251"/>
      <c r="H15" s="251"/>
      <c r="I15" s="251"/>
      <c r="J15" s="251"/>
      <c r="K15" s="252"/>
      <c r="L15" s="252"/>
      <c r="M15" s="252"/>
      <c r="N15" s="253"/>
      <c r="O15" s="253"/>
      <c r="P15" s="251"/>
      <c r="Q15" s="251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</row>
    <row r="16" spans="1:89" s="108" customFormat="1" ht="30" customHeight="1" thickBot="1" x14ac:dyDescent="0.3">
      <c r="A16" s="242"/>
      <c r="B16" s="108" t="s">
        <v>689</v>
      </c>
      <c r="C16" s="234"/>
      <c r="D16" s="234"/>
      <c r="E16" s="234"/>
      <c r="F16" s="234"/>
      <c r="G16" s="234"/>
      <c r="H16" s="234"/>
      <c r="I16" s="234"/>
      <c r="J16" s="234"/>
      <c r="K16" s="238"/>
      <c r="L16" s="238"/>
      <c r="M16" s="238"/>
      <c r="N16" s="235"/>
      <c r="O16" s="235"/>
      <c r="P16" s="234"/>
      <c r="Q16" s="234"/>
    </row>
    <row r="17" spans="1:89" s="108" customFormat="1" ht="30" customHeight="1" thickBot="1" x14ac:dyDescent="0.3">
      <c r="A17" s="75" t="s">
        <v>0</v>
      </c>
      <c r="B17" s="76" t="s">
        <v>1</v>
      </c>
      <c r="C17" s="77" t="s">
        <v>29</v>
      </c>
      <c r="D17" s="77" t="s">
        <v>158</v>
      </c>
      <c r="E17" s="77" t="s">
        <v>103</v>
      </c>
      <c r="F17" s="83" t="s">
        <v>156</v>
      </c>
      <c r="G17" s="78" t="s">
        <v>12</v>
      </c>
      <c r="H17" s="78" t="s">
        <v>13</v>
      </c>
      <c r="I17" s="78" t="s">
        <v>14</v>
      </c>
      <c r="J17" s="78" t="s">
        <v>113</v>
      </c>
      <c r="K17" s="239" t="s">
        <v>15</v>
      </c>
      <c r="L17" s="240" t="s">
        <v>90</v>
      </c>
      <c r="M17" s="240" t="s">
        <v>95</v>
      </c>
      <c r="N17" s="236" t="s">
        <v>134</v>
      </c>
      <c r="O17" s="236" t="s">
        <v>30</v>
      </c>
      <c r="P17" s="77" t="s">
        <v>135</v>
      </c>
      <c r="Q17" s="93" t="s">
        <v>44</v>
      </c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</row>
    <row r="18" spans="1:89" ht="15" x14ac:dyDescent="0.25">
      <c r="A18" s="217" t="s">
        <v>662</v>
      </c>
      <c r="B18" s="244">
        <v>41</v>
      </c>
      <c r="C18" s="244" t="s">
        <v>295</v>
      </c>
      <c r="D18" s="244">
        <v>66.099999999999994</v>
      </c>
      <c r="E18" s="244">
        <v>67.5</v>
      </c>
      <c r="F18" s="265">
        <v>0.91449999999999998</v>
      </c>
      <c r="G18" s="270">
        <v>165.345</v>
      </c>
      <c r="H18" s="270">
        <v>176.36799999999999</v>
      </c>
      <c r="I18" s="270">
        <v>181.87950000000001</v>
      </c>
      <c r="J18" s="272">
        <v>0</v>
      </c>
      <c r="K18" s="261">
        <v>181.87950000000001</v>
      </c>
      <c r="L18" s="263">
        <v>75.446249999999992</v>
      </c>
      <c r="M18" s="263">
        <v>76.200712499999995</v>
      </c>
      <c r="N18" s="246">
        <v>1</v>
      </c>
      <c r="O18" s="246" t="s">
        <v>697</v>
      </c>
      <c r="P18" s="244">
        <v>3</v>
      </c>
      <c r="Q18" s="244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</row>
    <row r="19" spans="1:89" ht="15" x14ac:dyDescent="0.25">
      <c r="A19" s="217" t="s">
        <v>663</v>
      </c>
      <c r="B19" s="244">
        <v>50</v>
      </c>
      <c r="C19" s="244" t="s">
        <v>217</v>
      </c>
      <c r="D19" s="244">
        <v>97.05</v>
      </c>
      <c r="E19" s="244">
        <v>100</v>
      </c>
      <c r="F19" s="265">
        <v>0.58884999999999998</v>
      </c>
      <c r="G19" s="270">
        <v>336.20150000000001</v>
      </c>
      <c r="H19" s="270">
        <v>352.73599999999999</v>
      </c>
      <c r="I19" s="270">
        <v>-363.75900000000001</v>
      </c>
      <c r="J19" s="272">
        <v>0</v>
      </c>
      <c r="K19" s="261">
        <v>352.73599999999999</v>
      </c>
      <c r="L19" s="263">
        <v>94.215999999999994</v>
      </c>
      <c r="M19" s="263">
        <v>106.46407999999998</v>
      </c>
      <c r="N19" s="246">
        <v>1</v>
      </c>
      <c r="O19" s="246" t="s">
        <v>701</v>
      </c>
      <c r="P19" s="244">
        <v>3</v>
      </c>
      <c r="Q19" s="244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</row>
    <row r="20" spans="1:89" ht="13.5" customHeight="1" x14ac:dyDescent="0.25">
      <c r="A20" s="217" t="s">
        <v>660</v>
      </c>
      <c r="B20" s="244">
        <v>51</v>
      </c>
      <c r="C20" s="244" t="s">
        <v>216</v>
      </c>
      <c r="D20" s="244">
        <v>121.35</v>
      </c>
      <c r="E20" s="244">
        <v>125</v>
      </c>
      <c r="F20" s="265">
        <v>0.54949999999999999</v>
      </c>
      <c r="G20" s="270">
        <v>-385.80500000000001</v>
      </c>
      <c r="H20" s="270">
        <v>-418.87400000000002</v>
      </c>
      <c r="I20" s="270">
        <v>-418.87400000000002</v>
      </c>
      <c r="J20" s="272">
        <v>0</v>
      </c>
      <c r="K20" s="261">
        <v>0</v>
      </c>
      <c r="L20" s="263">
        <v>0</v>
      </c>
      <c r="M20" s="263">
        <v>0</v>
      </c>
      <c r="N20" s="246">
        <v>1</v>
      </c>
      <c r="O20" s="246">
        <v>0</v>
      </c>
      <c r="P20" s="244">
        <v>0</v>
      </c>
      <c r="Q20" s="244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</row>
    <row r="21" spans="1:89" ht="15" x14ac:dyDescent="0.25">
      <c r="A21" s="217" t="s">
        <v>664</v>
      </c>
      <c r="B21" s="244">
        <v>49</v>
      </c>
      <c r="C21" s="244" t="s">
        <v>210</v>
      </c>
      <c r="D21" s="244">
        <v>98.1</v>
      </c>
      <c r="E21" s="244">
        <v>100</v>
      </c>
      <c r="F21" s="265">
        <v>0.58614999999999995</v>
      </c>
      <c r="G21" s="270">
        <v>187.39100000000002</v>
      </c>
      <c r="H21" s="270">
        <v>-209.43700000000001</v>
      </c>
      <c r="I21" s="270">
        <v>-220.46</v>
      </c>
      <c r="J21" s="272">
        <v>0</v>
      </c>
      <c r="K21" s="261">
        <v>187.39100000000002</v>
      </c>
      <c r="L21" s="263">
        <v>49.822749999999999</v>
      </c>
      <c r="M21" s="263">
        <v>55.452720749999997</v>
      </c>
      <c r="N21" s="246">
        <v>1</v>
      </c>
      <c r="O21" s="246" t="s">
        <v>699</v>
      </c>
      <c r="P21" s="244">
        <v>3</v>
      </c>
      <c r="Q21" s="24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</row>
    <row r="22" spans="1:89" ht="22.8" x14ac:dyDescent="0.25">
      <c r="A22" s="217" t="s">
        <v>658</v>
      </c>
      <c r="B22" s="244">
        <v>46</v>
      </c>
      <c r="C22" s="244" t="s">
        <v>210</v>
      </c>
      <c r="D22" s="244">
        <v>123.5</v>
      </c>
      <c r="E22" s="244">
        <v>125</v>
      </c>
      <c r="F22" s="265">
        <v>0.54720000000000002</v>
      </c>
      <c r="G22" s="270">
        <v>380.29349999999999</v>
      </c>
      <c r="H22" s="270">
        <v>-402.33950000000004</v>
      </c>
      <c r="I22" s="270">
        <v>-402.33950000000004</v>
      </c>
      <c r="J22" s="272">
        <v>0</v>
      </c>
      <c r="K22" s="261">
        <v>380.29349999999999</v>
      </c>
      <c r="L22" s="263">
        <v>94.39200000000001</v>
      </c>
      <c r="M22" s="263">
        <v>100.81065600000002</v>
      </c>
      <c r="N22" s="246">
        <v>1</v>
      </c>
      <c r="O22" s="246" t="s">
        <v>702</v>
      </c>
      <c r="P22" s="244">
        <v>3</v>
      </c>
      <c r="Q22" s="244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</row>
    <row r="23" spans="1:89" s="108" customFormat="1" ht="11.25" customHeight="1" x14ac:dyDescent="0.25">
      <c r="A23" s="217" t="s">
        <v>676</v>
      </c>
      <c r="B23" s="244">
        <v>48</v>
      </c>
      <c r="C23" s="244" t="s">
        <v>210</v>
      </c>
      <c r="D23" s="244">
        <v>127.05</v>
      </c>
      <c r="E23" s="244">
        <v>140</v>
      </c>
      <c r="F23" s="265">
        <v>0.54325000000000001</v>
      </c>
      <c r="G23" s="270">
        <v>462.96600000000001</v>
      </c>
      <c r="H23" s="270">
        <v>485.012</v>
      </c>
      <c r="I23" s="270">
        <v>501.54650000000004</v>
      </c>
      <c r="J23" s="272">
        <v>0</v>
      </c>
      <c r="K23" s="261">
        <v>501.54650000000004</v>
      </c>
      <c r="L23" s="263">
        <v>123.589375</v>
      </c>
      <c r="M23" s="263">
        <v>135.577544375</v>
      </c>
      <c r="N23" s="246">
        <v>1</v>
      </c>
      <c r="O23" s="246" t="s">
        <v>703</v>
      </c>
      <c r="P23" s="244">
        <v>3</v>
      </c>
      <c r="Q23" s="244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</row>
    <row r="24" spans="1:89" ht="15" x14ac:dyDescent="0.25">
      <c r="A24" s="217" t="s">
        <v>668</v>
      </c>
      <c r="B24" s="244">
        <v>46</v>
      </c>
      <c r="C24" s="244" t="s">
        <v>210</v>
      </c>
      <c r="D24" s="244">
        <v>151.6</v>
      </c>
      <c r="E24" s="244" t="s">
        <v>81</v>
      </c>
      <c r="F24" s="265">
        <v>0.52190000000000003</v>
      </c>
      <c r="G24" s="270">
        <v>529.10400000000004</v>
      </c>
      <c r="H24" s="270">
        <v>-556.66150000000005</v>
      </c>
      <c r="I24" s="270">
        <v>-556.66150000000005</v>
      </c>
      <c r="J24" s="272">
        <v>0</v>
      </c>
      <c r="K24" s="261">
        <v>529.10400000000004</v>
      </c>
      <c r="L24" s="263">
        <v>125.256</v>
      </c>
      <c r="M24" s="263">
        <v>133.77340800000002</v>
      </c>
      <c r="N24" s="246">
        <v>1</v>
      </c>
      <c r="O24" s="246" t="s">
        <v>704</v>
      </c>
      <c r="P24" s="244">
        <v>3</v>
      </c>
      <c r="Q24" s="244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</row>
    <row r="25" spans="1:89" ht="15" x14ac:dyDescent="0.25">
      <c r="A25" s="217" t="s">
        <v>682</v>
      </c>
      <c r="B25" s="244">
        <v>45</v>
      </c>
      <c r="C25" s="244" t="s">
        <v>210</v>
      </c>
      <c r="D25" s="244">
        <v>154.69999999999999</v>
      </c>
      <c r="E25" s="244" t="s">
        <v>81</v>
      </c>
      <c r="F25" s="265">
        <v>0.51954999999999996</v>
      </c>
      <c r="G25" s="270">
        <v>286.59800000000001</v>
      </c>
      <c r="H25" s="270">
        <v>-314.15550000000002</v>
      </c>
      <c r="I25" s="270">
        <v>325.17850000000004</v>
      </c>
      <c r="J25" s="272">
        <v>0</v>
      </c>
      <c r="K25" s="261">
        <v>325.17850000000004</v>
      </c>
      <c r="L25" s="263">
        <v>76.633624999999995</v>
      </c>
      <c r="M25" s="263">
        <v>80.848474374999995</v>
      </c>
      <c r="N25" s="246">
        <v>1</v>
      </c>
      <c r="O25" s="246" t="s">
        <v>700</v>
      </c>
      <c r="P25" s="244">
        <v>3</v>
      </c>
      <c r="Q25" s="244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</row>
    <row r="26" spans="1:89" ht="15" x14ac:dyDescent="0.25">
      <c r="A26" s="257" t="s">
        <v>659</v>
      </c>
      <c r="B26" s="258">
        <v>17</v>
      </c>
      <c r="C26" s="258" t="s">
        <v>180</v>
      </c>
      <c r="D26" s="258">
        <v>98.95</v>
      </c>
      <c r="E26" s="258">
        <v>100</v>
      </c>
      <c r="F26" s="266">
        <v>0.58379999999999999</v>
      </c>
      <c r="G26" s="271">
        <v>275.57499999999999</v>
      </c>
      <c r="H26" s="271">
        <v>303.13249999999999</v>
      </c>
      <c r="I26" s="271">
        <v>308.64400000000001</v>
      </c>
      <c r="J26" s="273">
        <v>0</v>
      </c>
      <c r="K26" s="262">
        <v>308.64400000000001</v>
      </c>
      <c r="L26" s="264">
        <v>81.731999999999999</v>
      </c>
      <c r="M26" s="264">
        <v>0</v>
      </c>
      <c r="N26" s="260">
        <v>1</v>
      </c>
      <c r="O26" s="260" t="s">
        <v>698</v>
      </c>
      <c r="P26" s="258">
        <v>3</v>
      </c>
      <c r="Q26" s="258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</row>
    <row r="27" spans="1:89" ht="15" x14ac:dyDescent="0.25">
      <c r="A27" s="217" t="s">
        <v>677</v>
      </c>
      <c r="B27" s="244">
        <v>48</v>
      </c>
      <c r="C27" s="244" t="s">
        <v>168</v>
      </c>
      <c r="D27" s="244">
        <v>127.05</v>
      </c>
      <c r="E27" s="244">
        <v>140</v>
      </c>
      <c r="F27" s="265">
        <v>0.54325000000000001</v>
      </c>
      <c r="G27" s="270">
        <v>462.96600000000001</v>
      </c>
      <c r="H27" s="270">
        <v>485.012</v>
      </c>
      <c r="I27" s="270">
        <v>501.54650000000004</v>
      </c>
      <c r="J27" s="272">
        <v>0</v>
      </c>
      <c r="K27" s="261">
        <v>501.54650000000004</v>
      </c>
      <c r="L27" s="263">
        <v>123.589375</v>
      </c>
      <c r="M27" s="263">
        <v>135.577544375</v>
      </c>
      <c r="N27" s="246">
        <v>1</v>
      </c>
      <c r="O27" s="246" t="s">
        <v>687</v>
      </c>
      <c r="P27" s="244">
        <v>3</v>
      </c>
      <c r="Q27" s="244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</row>
    <row r="28" spans="1:89" x14ac:dyDescent="0.25">
      <c r="A28" s="257" t="s">
        <v>669</v>
      </c>
      <c r="B28" s="258">
        <v>46</v>
      </c>
      <c r="C28" s="258" t="s">
        <v>168</v>
      </c>
      <c r="D28" s="258">
        <v>151.6</v>
      </c>
      <c r="E28" s="258" t="s">
        <v>81</v>
      </c>
      <c r="F28" s="266">
        <v>0.52190000000000003</v>
      </c>
      <c r="G28" s="271">
        <v>529.10400000000004</v>
      </c>
      <c r="H28" s="271">
        <v>-556.66150000000005</v>
      </c>
      <c r="I28" s="271">
        <v>-556.66150000000005</v>
      </c>
      <c r="J28" s="273">
        <v>0</v>
      </c>
      <c r="K28" s="262">
        <v>529.10400000000004</v>
      </c>
      <c r="L28" s="264">
        <v>125.256</v>
      </c>
      <c r="M28" s="264">
        <v>133.77340800000002</v>
      </c>
      <c r="N28" s="260">
        <v>1</v>
      </c>
      <c r="O28" s="260" t="s">
        <v>688</v>
      </c>
      <c r="P28" s="258">
        <v>3</v>
      </c>
      <c r="Q28" s="258"/>
    </row>
    <row r="29" spans="1:89" x14ac:dyDescent="0.25">
      <c r="A29" s="257" t="s">
        <v>683</v>
      </c>
      <c r="B29" s="258">
        <v>45</v>
      </c>
      <c r="C29" s="258" t="s">
        <v>168</v>
      </c>
      <c r="D29" s="258">
        <v>154.69999999999999</v>
      </c>
      <c r="E29" s="258" t="s">
        <v>81</v>
      </c>
      <c r="F29" s="266">
        <v>0.51954999999999996</v>
      </c>
      <c r="G29" s="271">
        <v>286.59800000000001</v>
      </c>
      <c r="H29" s="271">
        <v>-314.15550000000002</v>
      </c>
      <c r="I29" s="271">
        <v>325.17850000000004</v>
      </c>
      <c r="J29" s="273">
        <v>0</v>
      </c>
      <c r="K29" s="262">
        <v>325.17850000000004</v>
      </c>
      <c r="L29" s="264">
        <v>76.633624999999995</v>
      </c>
      <c r="M29" s="264">
        <v>80.848474374999995</v>
      </c>
      <c r="N29" s="260">
        <v>1</v>
      </c>
      <c r="O29" s="260" t="s">
        <v>686</v>
      </c>
      <c r="P29" s="258">
        <v>3</v>
      </c>
      <c r="Q29" s="258"/>
    </row>
    <row r="36" ht="11.25" customHeight="1" x14ac:dyDescent="0.25"/>
    <row r="46" ht="13.5" customHeight="1" x14ac:dyDescent="0.25"/>
    <row r="56" spans="2:17" ht="12" customHeight="1" x14ac:dyDescent="0.25"/>
    <row r="61" spans="2:17" s="108" customFormat="1" ht="14.25" customHeight="1" x14ac:dyDescent="0.25">
      <c r="B61" s="234"/>
      <c r="C61" s="234"/>
      <c r="D61" s="234"/>
      <c r="E61" s="234"/>
      <c r="F61" s="234"/>
      <c r="G61" s="234"/>
      <c r="H61" s="234"/>
      <c r="I61" s="234"/>
      <c r="J61" s="234"/>
      <c r="K61" s="238"/>
      <c r="L61" s="238"/>
      <c r="M61" s="238"/>
      <c r="N61" s="235"/>
      <c r="O61" s="235"/>
      <c r="P61" s="234"/>
      <c r="Q61" s="234"/>
    </row>
    <row r="82" spans="2:17" ht="12.75" customHeight="1" x14ac:dyDescent="0.25"/>
    <row r="93" spans="2:17" s="108" customFormat="1" ht="30" customHeight="1" x14ac:dyDescent="0.25">
      <c r="B93" s="234"/>
      <c r="C93" s="234"/>
      <c r="D93" s="234"/>
      <c r="E93" s="234"/>
      <c r="F93" s="234"/>
      <c r="G93" s="234"/>
      <c r="H93" s="234"/>
      <c r="I93" s="234"/>
      <c r="J93" s="234"/>
      <c r="K93" s="238"/>
      <c r="L93" s="238"/>
      <c r="M93" s="238"/>
      <c r="N93" s="235"/>
      <c r="O93" s="235"/>
      <c r="P93" s="234"/>
      <c r="Q93" s="234"/>
    </row>
  </sheetData>
  <phoneticPr fontId="0" type="noConversion"/>
  <conditionalFormatting sqref="G2:J2">
    <cfRule type="cellIs" dxfId="17" priority="2" stopIfTrue="1" operator="equal">
      <formula>#REF!</formula>
    </cfRule>
  </conditionalFormatting>
  <conditionalFormatting sqref="G17:J17">
    <cfRule type="cellIs" dxfId="16" priority="1" stopIfTrue="1" operator="equal">
      <formula>#REF!</formula>
    </cfRule>
  </conditionalFormatting>
  <printOptions gridLines="1"/>
  <pageMargins left="0.75" right="0.75" top="1" bottom="1" header="0.5" footer="0.5"/>
  <pageSetup paperSize="5" scale="8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88cd7a8-cf23-490d-86d0-82cde4baad9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BD9D1A4FD827F46A54D7915E76C6AB0" ma:contentTypeVersion="13" ma:contentTypeDescription="צור מסמך חדש." ma:contentTypeScope="" ma:versionID="9244f6427df124d424b41031cf9e07c9">
  <xsd:schema xmlns:xsd="http://www.w3.org/2001/XMLSchema" xmlns:xs="http://www.w3.org/2001/XMLSchema" xmlns:p="http://schemas.microsoft.com/office/2006/metadata/properties" xmlns:ns3="b3c695fd-7479-4368-9b09-820a44c3e0e3" xmlns:ns4="088cd7a8-cf23-490d-86d0-82cde4baad96" targetNamespace="http://schemas.microsoft.com/office/2006/metadata/properties" ma:root="true" ma:fieldsID="432fa48500c3d2545ce5c63de9bdc8fa" ns3:_="" ns4:_="">
    <xsd:import namespace="b3c695fd-7479-4368-9b09-820a44c3e0e3"/>
    <xsd:import namespace="088cd7a8-cf23-490d-86d0-82cde4baad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_activity" minOccurs="0"/>
                <xsd:element ref="ns4:MediaServiceMetadata" minOccurs="0"/>
                <xsd:element ref="ns4:MediaServiceFastMetadata" minOccurs="0"/>
                <xsd:element ref="ns4:MediaServiceSearchProperties" minOccurs="0"/>
                <xsd:element ref="ns4:MediaServiceObjectDetectorVersions" minOccurs="0"/>
                <xsd:element ref="ns4:MediaServiceDateTaken" minOccurs="0"/>
                <xsd:element ref="ns4:MediaServiceSystemTag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695fd-7479-4368-9b09-820a44c3e0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של רמז לשיתוף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cd7a8-cf23-490d-86d0-82cde4baad96" elementFormDefault="qualified">
    <xsd:import namespace="http://schemas.microsoft.com/office/2006/documentManagement/types"/>
    <xsd:import namespace="http://schemas.microsoft.com/office/infopath/2007/PartnerControls"/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DAFE33-439B-4FFA-92CA-170A8BE97CAD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b3c695fd-7479-4368-9b09-820a44c3e0e3"/>
    <ds:schemaRef ds:uri="088cd7a8-cf23-490d-86d0-82cde4baad9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61C1A2-1FBB-444D-839A-F5CC087266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7648FB-AF7A-4BD6-83C8-5D83837E6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c695fd-7479-4368-9b09-820a44c3e0e3"/>
    <ds:schemaRef ds:uri="088cd7a8-cf23-490d-86d0-82cde4baa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Setup</vt:lpstr>
      <vt:lpstr>Weigh-in</vt:lpstr>
      <vt:lpstr>Loading Chart</vt:lpstr>
      <vt:lpstr>Lifting</vt:lpstr>
      <vt:lpstr>BarLoad</vt:lpstr>
      <vt:lpstr>Upcoming Flights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'3-Lift'!Print_Area</vt:lpstr>
      <vt:lpstr>Bench!Print_Area</vt:lpstr>
      <vt:lpstr>Deadlift!Print_Area</vt:lpstr>
      <vt:lpstr>PrintSheet!Print_Area</vt:lpstr>
      <vt:lpstr>'Push-Pull'!Print_Area</vt:lpstr>
      <vt:lpstr>Squat!Print_Area</vt:lpstr>
      <vt:lpstr>'Black &amp; White load sheet'!Print_Titles</vt:lpstr>
      <vt:lpstr>PrintSheet!Print_Titles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2024-06-15T15:09:16Z</cp:lastPrinted>
  <dcterms:created xsi:type="dcterms:W3CDTF">2004-08-23T15:45:10Z</dcterms:created>
  <dcterms:modified xsi:type="dcterms:W3CDTF">2024-06-24T19:30:08Z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0x0101000BD9D1A4FD827F46A54D7915E76C6AB0</vt:lpwstr>
  </property>
</Properties>
</file>